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briggs\Documents\Coding_Practice\Python\Jerseys\"/>
    </mc:Choice>
  </mc:AlternateContent>
  <xr:revisionPtr revIDLastSave="0" documentId="13_ncr:1_{3F9F904B-C3E2-4BBF-BD14-1F6C15AAE246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0" i="1" l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4" i="7"/>
  <c r="E4" i="7"/>
  <c r="F4" i="7"/>
  <c r="G4" i="7"/>
  <c r="H4" i="7"/>
  <c r="D9" i="7"/>
  <c r="D11" i="7"/>
  <c r="E11" i="7"/>
  <c r="F11" i="7"/>
  <c r="G11" i="7"/>
  <c r="H11" i="7"/>
  <c r="I11" i="7"/>
  <c r="D17" i="7"/>
  <c r="E17" i="7"/>
  <c r="F17" i="7"/>
  <c r="G17" i="7"/>
  <c r="H17" i="7"/>
  <c r="I17" i="7"/>
  <c r="D32" i="7"/>
  <c r="E32" i="7"/>
  <c r="F32" i="7"/>
  <c r="G32" i="7"/>
  <c r="H32" i="7"/>
  <c r="D22" i="7"/>
  <c r="E22" i="7"/>
  <c r="F22" i="7"/>
  <c r="G22" i="7"/>
  <c r="D18" i="7"/>
  <c r="E18" i="7"/>
  <c r="F18" i="7"/>
  <c r="G18" i="7"/>
  <c r="D19" i="7"/>
  <c r="E19" i="7"/>
  <c r="F19" i="7"/>
  <c r="G19" i="7"/>
  <c r="H19" i="7"/>
  <c r="I19" i="7"/>
  <c r="D2" i="7"/>
  <c r="E2" i="7"/>
  <c r="F2" i="7"/>
  <c r="G2" i="7"/>
  <c r="H2" i="7"/>
  <c r="I2" i="7"/>
  <c r="D29" i="7"/>
  <c r="E29" i="7"/>
  <c r="F29" i="7"/>
  <c r="G29" i="7"/>
  <c r="H29" i="7"/>
  <c r="D8" i="7"/>
  <c r="E8" i="7"/>
  <c r="F8" i="7"/>
  <c r="G8" i="7"/>
  <c r="D28" i="7"/>
  <c r="E28" i="7"/>
  <c r="F28" i="7"/>
  <c r="G28" i="7"/>
  <c r="D20" i="7"/>
  <c r="E20" i="7"/>
  <c r="F20" i="7"/>
  <c r="G20" i="7"/>
  <c r="H20" i="7"/>
  <c r="I20" i="7"/>
  <c r="D5" i="7"/>
  <c r="E5" i="7"/>
  <c r="F5" i="7"/>
  <c r="G5" i="7"/>
  <c r="H5" i="7"/>
  <c r="D15" i="7"/>
  <c r="D25" i="7"/>
  <c r="E25" i="7"/>
  <c r="F25" i="7"/>
  <c r="G25" i="7"/>
  <c r="H25" i="7"/>
  <c r="I25" i="7"/>
  <c r="D12" i="7"/>
  <c r="E12" i="7"/>
  <c r="F12" i="7"/>
  <c r="G12" i="7"/>
  <c r="H12" i="7"/>
  <c r="I12" i="7"/>
  <c r="D14" i="7"/>
  <c r="E14" i="7"/>
  <c r="F14" i="7"/>
  <c r="G14" i="7"/>
  <c r="D7" i="7"/>
  <c r="E7" i="7"/>
  <c r="F7" i="7"/>
  <c r="G7" i="7"/>
  <c r="H7" i="7"/>
  <c r="I7" i="7"/>
  <c r="D16" i="7"/>
  <c r="E16" i="7"/>
  <c r="F16" i="7"/>
  <c r="G16" i="7"/>
  <c r="H16" i="7"/>
  <c r="I16" i="7"/>
  <c r="D13" i="7"/>
  <c r="E13" i="7"/>
  <c r="F13" i="7"/>
  <c r="G13" i="7"/>
  <c r="D31" i="7"/>
  <c r="E31" i="7"/>
  <c r="F31" i="7"/>
  <c r="G31" i="7"/>
  <c r="H31" i="7"/>
  <c r="D30" i="7"/>
  <c r="E30" i="7"/>
  <c r="F30" i="7"/>
  <c r="G30" i="7"/>
  <c r="H30" i="7"/>
  <c r="I30" i="7"/>
  <c r="D23" i="7"/>
  <c r="E23" i="7"/>
  <c r="F23" i="7"/>
  <c r="G23" i="7"/>
  <c r="H23" i="7"/>
  <c r="D3" i="7"/>
  <c r="E3" i="7"/>
  <c r="F3" i="7"/>
  <c r="G3" i="7"/>
  <c r="H3" i="7"/>
  <c r="I3" i="7"/>
  <c r="D6" i="7"/>
  <c r="E6" i="7"/>
  <c r="F6" i="7"/>
  <c r="G6" i="7"/>
  <c r="H6" i="7"/>
  <c r="D21" i="7"/>
  <c r="E21" i="7"/>
  <c r="F21" i="7"/>
  <c r="G21" i="7"/>
  <c r="H21" i="7"/>
  <c r="D33" i="7"/>
  <c r="E33" i="7"/>
  <c r="F33" i="7"/>
  <c r="G33" i="7"/>
  <c r="H33" i="7"/>
  <c r="I33" i="7"/>
  <c r="D27" i="7"/>
  <c r="E27" i="7"/>
  <c r="F27" i="7"/>
  <c r="G27" i="7"/>
  <c r="H27" i="7"/>
  <c r="D24" i="7"/>
  <c r="E24" i="7"/>
  <c r="F24" i="7"/>
  <c r="G24" i="7"/>
  <c r="H24" i="7"/>
  <c r="I24" i="7"/>
  <c r="D10" i="7"/>
  <c r="E10" i="7"/>
  <c r="F10" i="7"/>
  <c r="G10" i="7"/>
  <c r="H10" i="7"/>
  <c r="E26" i="7"/>
  <c r="F26" i="7"/>
  <c r="G26" i="7"/>
  <c r="H26" i="7"/>
  <c r="I26" i="7"/>
  <c r="D26" i="7"/>
  <c r="CR34" i="2" a="1"/>
  <c r="BB23" i="2"/>
  <c r="BB25" i="2"/>
  <c r="BB30" i="2"/>
  <c r="BB22" i="2"/>
  <c r="BB17" i="2"/>
  <c r="BB28" i="2"/>
  <c r="BB26" i="2"/>
  <c r="BB20" i="2"/>
  <c r="BB13" i="2"/>
  <c r="BB33" i="2"/>
  <c r="BB5" i="2"/>
  <c r="BB2" i="2"/>
  <c r="BB8" i="2"/>
  <c r="BB31" i="2"/>
  <c r="BB7" i="2"/>
  <c r="BB14" i="2"/>
  <c r="BB11" i="2"/>
  <c r="BB10" i="2"/>
  <c r="BB15" i="2"/>
  <c r="BB16" i="2"/>
  <c r="BB19" i="2"/>
  <c r="BB9" i="2"/>
  <c r="BB18" i="2"/>
  <c r="BB3" i="2"/>
  <c r="BB6" i="2"/>
  <c r="BB24" i="2"/>
  <c r="BB21" i="2"/>
  <c r="BB29" i="2"/>
  <c r="BB12" i="2"/>
  <c r="BB27" i="2"/>
  <c r="BB32" i="2"/>
  <c r="BB4" i="2"/>
  <c r="AX23" i="2"/>
  <c r="AX25" i="2"/>
  <c r="AX30" i="2"/>
  <c r="AX22" i="2"/>
  <c r="AX17" i="2"/>
  <c r="AX28" i="2"/>
  <c r="AX26" i="2"/>
  <c r="AX20" i="2"/>
  <c r="AX13" i="2"/>
  <c r="AX33" i="2"/>
  <c r="AX5" i="2"/>
  <c r="AX2" i="2"/>
  <c r="AX8" i="2"/>
  <c r="AX31" i="2"/>
  <c r="AX7" i="2"/>
  <c r="AX14" i="2"/>
  <c r="AX11" i="2"/>
  <c r="AX10" i="2"/>
  <c r="AX15" i="2"/>
  <c r="AX16" i="2"/>
  <c r="AX19" i="2"/>
  <c r="AX9" i="2"/>
  <c r="AX18" i="2"/>
  <c r="AX3" i="2"/>
  <c r="AX6" i="2"/>
  <c r="AX24" i="2"/>
  <c r="AX21" i="2"/>
  <c r="AX29" i="2"/>
  <c r="AX12" i="2"/>
  <c r="AX27" i="2"/>
  <c r="AX32" i="2"/>
  <c r="AX4" i="2"/>
  <c r="AY17" i="2"/>
  <c r="AZ17" i="2"/>
  <c r="BC17" i="2"/>
  <c r="BD17" i="2"/>
  <c r="AY31" i="2"/>
  <c r="AZ31" i="2"/>
  <c r="BC31" i="2"/>
  <c r="BD31" i="2"/>
  <c r="AY5" i="2"/>
  <c r="AZ5" i="2"/>
  <c r="BC5" i="2"/>
  <c r="BD5" i="2"/>
  <c r="AY18" i="2"/>
  <c r="AZ18" i="2"/>
  <c r="BC18" i="2"/>
  <c r="BD18" i="2"/>
  <c r="AY30" i="2"/>
  <c r="AZ30" i="2"/>
  <c r="BC30" i="2"/>
  <c r="BD30" i="2"/>
  <c r="AY26" i="2"/>
  <c r="AZ26" i="2"/>
  <c r="BC26" i="2"/>
  <c r="BD26" i="2"/>
  <c r="AY2" i="2"/>
  <c r="AZ2" i="2"/>
  <c r="BC2" i="2"/>
  <c r="BD2" i="2"/>
  <c r="AY3" i="2"/>
  <c r="AZ3" i="2"/>
  <c r="BC3" i="2"/>
  <c r="BD3" i="2"/>
  <c r="AY15" i="2"/>
  <c r="AZ15" i="2"/>
  <c r="BC15" i="2"/>
  <c r="BD15" i="2"/>
  <c r="AY23" i="2"/>
  <c r="AZ23" i="2"/>
  <c r="BC23" i="2"/>
  <c r="BD23" i="2"/>
  <c r="AY22" i="2"/>
  <c r="AZ22" i="2"/>
  <c r="BC22" i="2"/>
  <c r="BD22" i="2"/>
  <c r="AY10" i="2"/>
  <c r="AZ10" i="2"/>
  <c r="BC10" i="2"/>
  <c r="BD10" i="2"/>
  <c r="AY9" i="2"/>
  <c r="AZ9" i="2"/>
  <c r="BC9" i="2"/>
  <c r="BD9" i="2"/>
  <c r="AY12" i="2"/>
  <c r="AZ12" i="2"/>
  <c r="BC12" i="2"/>
  <c r="BD12" i="2"/>
  <c r="AY16" i="2"/>
  <c r="AZ16" i="2"/>
  <c r="BC16" i="2"/>
  <c r="BD16" i="2"/>
  <c r="AY32" i="2"/>
  <c r="AZ32" i="2"/>
  <c r="BC32" i="2"/>
  <c r="BD32" i="2"/>
  <c r="AY14" i="2"/>
  <c r="AZ14" i="2"/>
  <c r="BC14" i="2"/>
  <c r="BD14" i="2"/>
  <c r="AY20" i="2"/>
  <c r="AZ20" i="2"/>
  <c r="BC20" i="2"/>
  <c r="BD20" i="2"/>
  <c r="AY21" i="2"/>
  <c r="AZ21" i="2"/>
  <c r="BC21" i="2"/>
  <c r="BD21" i="2"/>
  <c r="AY11" i="2"/>
  <c r="AZ11" i="2"/>
  <c r="BC11" i="2"/>
  <c r="BD11" i="2"/>
  <c r="AY8" i="2"/>
  <c r="AZ8" i="2"/>
  <c r="BC8" i="2"/>
  <c r="BD8" i="2"/>
  <c r="AY24" i="2"/>
  <c r="AZ24" i="2"/>
  <c r="BC24" i="2"/>
  <c r="BD24" i="2"/>
  <c r="AY27" i="2"/>
  <c r="AZ27" i="2"/>
  <c r="BC27" i="2"/>
  <c r="BD27" i="2"/>
  <c r="AY29" i="2"/>
  <c r="AZ29" i="2"/>
  <c r="BC29" i="2"/>
  <c r="BD29" i="2"/>
  <c r="AY13" i="2"/>
  <c r="AZ13" i="2"/>
  <c r="BC13" i="2"/>
  <c r="BD13" i="2"/>
  <c r="AY19" i="2"/>
  <c r="AZ19" i="2"/>
  <c r="BC19" i="2"/>
  <c r="BD19" i="2"/>
  <c r="AY28" i="2"/>
  <c r="AZ28" i="2"/>
  <c r="BC28" i="2"/>
  <c r="BD28" i="2"/>
  <c r="AY33" i="2"/>
  <c r="AZ33" i="2"/>
  <c r="BC33" i="2"/>
  <c r="BD33" i="2"/>
  <c r="AY6" i="2"/>
  <c r="AZ6" i="2"/>
  <c r="BC6" i="2"/>
  <c r="BD6" i="2"/>
  <c r="AY25" i="2"/>
  <c r="AZ25" i="2"/>
  <c r="BC25" i="2"/>
  <c r="BD25" i="2"/>
  <c r="AY4" i="2"/>
  <c r="AZ4" i="2"/>
  <c r="BC4" i="2"/>
  <c r="BD4" i="2"/>
  <c r="BD7" i="2"/>
  <c r="BC7" i="2"/>
  <c r="AZ7" i="2"/>
  <c r="AY7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9" i="7"/>
  <c r="E45" i="7"/>
  <c r="I48" i="7"/>
  <c r="H48" i="7"/>
  <c r="G48" i="7"/>
  <c r="F48" i="7"/>
  <c r="E48" i="7"/>
  <c r="BS5" i="1" a="1"/>
  <c r="I31" i="7"/>
  <c r="I23" i="7"/>
  <c r="G9" i="7"/>
  <c r="H9" i="7"/>
  <c r="I9" i="7"/>
  <c r="F9" i="7"/>
  <c r="G15" i="7"/>
  <c r="H15" i="7"/>
  <c r="I15" i="7"/>
  <c r="E15" i="7"/>
  <c r="F15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4" i="2"/>
  <c r="CE4" i="2" s="1"/>
  <c r="CF25" i="2"/>
  <c r="CE25" i="2" s="1"/>
  <c r="CF6" i="2"/>
  <c r="CE6" i="2" s="1"/>
  <c r="CF23" i="2"/>
  <c r="CE23" i="2" s="1"/>
  <c r="CF10" i="2"/>
  <c r="CE10" i="2" s="1"/>
  <c r="CF9" i="2"/>
  <c r="CE9" i="2" s="1"/>
  <c r="CF3" i="2"/>
  <c r="CE3" i="2" s="1"/>
  <c r="CF19" i="2"/>
  <c r="CE19" i="2" s="1"/>
  <c r="CF5" i="2"/>
  <c r="CE5" i="2" s="1"/>
  <c r="CF2" i="2"/>
  <c r="CE2" i="2" s="1"/>
  <c r="CF16" i="2"/>
  <c r="CE16" i="2" s="1"/>
  <c r="CF22" i="2"/>
  <c r="CE22" i="2" s="1"/>
  <c r="CF13" i="2"/>
  <c r="CE13" i="2" s="1"/>
  <c r="CF30" i="2"/>
  <c r="CE30" i="2" s="1"/>
  <c r="CF18" i="2"/>
  <c r="CE18" i="2" s="1"/>
  <c r="CF21" i="2"/>
  <c r="CE21" i="2" s="1"/>
  <c r="CF33" i="2"/>
  <c r="CE33" i="2" s="1"/>
  <c r="CF12" i="2"/>
  <c r="CE12" i="2" s="1"/>
  <c r="CF17" i="2"/>
  <c r="CE17" i="2" s="1"/>
  <c r="CF15" i="2"/>
  <c r="CE15" i="2" s="1"/>
  <c r="CF29" i="2"/>
  <c r="CE29" i="2" s="1"/>
  <c r="CF20" i="2"/>
  <c r="CE20" i="2" s="1"/>
  <c r="CF11" i="2"/>
  <c r="CE11" i="2" s="1"/>
  <c r="CF8" i="2"/>
  <c r="CE8" i="2" s="1"/>
  <c r="CF28" i="2"/>
  <c r="CE28" i="2" s="1"/>
  <c r="CF7" i="2"/>
  <c r="CE7" i="2" s="1"/>
  <c r="CF14" i="2"/>
  <c r="CE14" i="2" s="1"/>
  <c r="CF24" i="2"/>
  <c r="CE24" i="2" s="1"/>
  <c r="CF31" i="2"/>
  <c r="CE31" i="2" s="1"/>
  <c r="CF32" i="2"/>
  <c r="CE32" i="2" s="1"/>
  <c r="CF27" i="2"/>
  <c r="CE27" i="2" s="1"/>
  <c r="CF26" i="2"/>
  <c r="CE26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18" i="2" l="1"/>
  <c r="D16" i="2"/>
  <c r="D9" i="2"/>
  <c r="D14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7" i="2"/>
  <c r="O27" i="2"/>
  <c r="M27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16" i="2"/>
  <c r="V16" i="2"/>
  <c r="W16" i="2"/>
  <c r="AP47" i="5"/>
  <c r="AU42" i="5"/>
  <c r="AI32" i="5"/>
  <c r="AF35" i="5"/>
  <c r="BD39" i="5"/>
  <c r="AM56" i="5"/>
  <c r="AZ15" i="5"/>
  <c r="O52" i="5"/>
  <c r="BF13" i="5"/>
  <c r="M58" i="5"/>
  <c r="V28" i="2"/>
  <c r="W28" i="2"/>
  <c r="U28" i="2"/>
  <c r="V25" i="5"/>
  <c r="Y22" i="5"/>
  <c r="AO8" i="5"/>
  <c r="H41" i="5"/>
  <c r="AX9" i="5"/>
  <c r="I50" i="5"/>
  <c r="D27" i="2"/>
  <c r="AS4" i="5"/>
  <c r="D45" i="5"/>
  <c r="T29" i="5"/>
  <c r="AC20" i="5"/>
  <c r="N61" i="5"/>
  <c r="BI14" i="5"/>
  <c r="D6" i="2"/>
  <c r="V7" i="2"/>
  <c r="W7" i="2"/>
  <c r="U7" i="2"/>
  <c r="O5" i="2"/>
  <c r="N5" i="2"/>
  <c r="M5" i="2"/>
  <c r="W3" i="2"/>
  <c r="V3" i="2"/>
  <c r="U3" i="2"/>
  <c r="AN23" i="5"/>
  <c r="W40" i="5"/>
  <c r="BN53" i="5"/>
  <c r="BA66" i="5"/>
  <c r="AI56" i="5"/>
  <c r="BD35" i="5"/>
  <c r="AU32" i="5"/>
  <c r="AF47" i="5"/>
  <c r="N23" i="2"/>
  <c r="O23" i="2"/>
  <c r="M23" i="2"/>
  <c r="N24" i="2"/>
  <c r="W12" i="2"/>
  <c r="U12" i="2"/>
  <c r="O24" i="2"/>
  <c r="M24" i="2"/>
  <c r="V12" i="2"/>
  <c r="W10" i="2"/>
  <c r="T10" i="2"/>
  <c r="U10" i="2"/>
  <c r="V10" i="2"/>
  <c r="S66" i="1"/>
  <c r="T16" i="2"/>
  <c r="AA62" i="5"/>
  <c r="BJ27" i="5"/>
  <c r="E66" i="5"/>
  <c r="BN5" i="5"/>
  <c r="S62" i="1"/>
  <c r="T28" i="2"/>
  <c r="S77" i="1"/>
  <c r="L27" i="2"/>
  <c r="AH23" i="8"/>
  <c r="S58" i="1"/>
  <c r="T7" i="2"/>
  <c r="S57" i="1"/>
  <c r="L5" i="2"/>
  <c r="T6" i="2"/>
  <c r="V6" i="2"/>
  <c r="W6" i="2"/>
  <c r="U6" i="2"/>
  <c r="T3" i="2"/>
  <c r="U4" i="2"/>
  <c r="V4" i="2"/>
  <c r="O17" i="2"/>
  <c r="W4" i="2"/>
  <c r="N17" i="2"/>
  <c r="T4" i="2"/>
  <c r="S53" i="1"/>
  <c r="L23" i="2"/>
  <c r="S52" i="1"/>
  <c r="T12" i="2"/>
  <c r="L24" i="2"/>
  <c r="N8" i="2"/>
  <c r="O8" i="2"/>
  <c r="AY60" i="5"/>
  <c r="BH51" i="5"/>
  <c r="U56" i="5"/>
  <c r="BD21" i="5"/>
  <c r="BE16" i="5"/>
  <c r="P57" i="5"/>
  <c r="AA30" i="5"/>
  <c r="AD27" i="5"/>
  <c r="L33" i="5"/>
  <c r="AG12" i="5"/>
  <c r="AR25" i="5"/>
  <c r="Y44" i="5"/>
  <c r="U18" i="2"/>
  <c r="T18" i="2"/>
  <c r="V18" i="2"/>
  <c r="W18" i="2"/>
  <c r="S46" i="1"/>
  <c r="M22" i="2"/>
  <c r="W11" i="2"/>
  <c r="L22" i="2"/>
  <c r="T11" i="2"/>
  <c r="U11" i="2"/>
  <c r="O22" i="2"/>
  <c r="V11" i="2"/>
  <c r="N22" i="2"/>
  <c r="AP35" i="5"/>
  <c r="AI42" i="5"/>
  <c r="F53" i="5"/>
  <c r="BA6" i="5"/>
  <c r="AL63" i="5"/>
  <c r="BK38" i="5"/>
  <c r="D31" i="2"/>
  <c r="Q8" i="5"/>
  <c r="H17" i="5"/>
  <c r="S45" i="1"/>
  <c r="N15" i="2"/>
  <c r="W19" i="2"/>
  <c r="O15" i="2"/>
  <c r="L15" i="2"/>
  <c r="V19" i="2"/>
  <c r="M15" i="2"/>
  <c r="S44" i="1"/>
  <c r="N25" i="2"/>
  <c r="M25" i="2"/>
  <c r="O25" i="2"/>
  <c r="L25" i="2"/>
  <c r="S43" i="1"/>
  <c r="W21" i="2"/>
  <c r="O32" i="2"/>
  <c r="M32" i="2"/>
  <c r="V21" i="2"/>
  <c r="U21" i="2"/>
  <c r="T21" i="2"/>
  <c r="L32" i="2"/>
  <c r="N32" i="2"/>
  <c r="M13" i="2"/>
  <c r="L13" i="2"/>
  <c r="O13" i="2"/>
  <c r="N13" i="2"/>
  <c r="S41" i="1"/>
  <c r="O2" i="2"/>
  <c r="N2" i="2"/>
  <c r="BM40" i="5"/>
  <c r="AN65" i="5"/>
  <c r="D4" i="2"/>
  <c r="U20" i="2"/>
  <c r="T20" i="2"/>
  <c r="W20" i="2"/>
  <c r="V20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2" i="2"/>
  <c r="N33" i="2"/>
  <c r="M33" i="2"/>
  <c r="L33" i="2"/>
  <c r="U23" i="2"/>
  <c r="W23" i="2"/>
  <c r="O33" i="2"/>
  <c r="V23" i="2"/>
  <c r="T23" i="2"/>
  <c r="V9" i="2"/>
  <c r="T9" i="2"/>
  <c r="U9" i="2"/>
  <c r="W9" i="2"/>
  <c r="BM38" i="5"/>
  <c r="AL65" i="5"/>
  <c r="M4" i="2"/>
  <c r="O4" i="2"/>
  <c r="V14" i="2"/>
  <c r="L4" i="2"/>
  <c r="T14" i="2"/>
  <c r="N4" i="2"/>
  <c r="U14" i="2"/>
  <c r="W14" i="2"/>
  <c r="AO26" i="5"/>
  <c r="Z41" i="5"/>
  <c r="AM46" i="5"/>
  <c r="AT39" i="5"/>
  <c r="AG54" i="5"/>
  <c r="BB33" i="5"/>
  <c r="AQ10" i="5"/>
  <c r="D5" i="2"/>
  <c r="J43" i="5"/>
  <c r="D11" i="2"/>
  <c r="AE16" i="5"/>
  <c r="P31" i="5"/>
  <c r="G6" i="5"/>
  <c r="F7" i="5"/>
  <c r="S26" i="1"/>
  <c r="L31" i="2"/>
  <c r="M31" i="2"/>
  <c r="O31" i="2"/>
  <c r="N31" i="2"/>
  <c r="S33" i="1"/>
  <c r="V26" i="2"/>
  <c r="U26" i="2"/>
  <c r="W26" i="2"/>
  <c r="T26" i="2"/>
  <c r="BC22" i="5"/>
  <c r="V55" i="5"/>
  <c r="S27" i="1"/>
  <c r="L19" i="2"/>
  <c r="O19" i="2"/>
  <c r="N19" i="2"/>
  <c r="M19" i="2"/>
  <c r="AY14" i="5"/>
  <c r="N51" i="5"/>
  <c r="D29" i="2"/>
  <c r="W30" i="2"/>
  <c r="N29" i="2"/>
  <c r="M29" i="2"/>
  <c r="L29" i="2"/>
  <c r="O29" i="2"/>
  <c r="U30" i="2"/>
  <c r="T30" i="2"/>
  <c r="V30" i="2"/>
  <c r="BL27" i="5"/>
  <c r="AA64" i="5"/>
  <c r="D25" i="2"/>
  <c r="M10" i="2"/>
  <c r="N10" i="2"/>
  <c r="BH13" i="5"/>
  <c r="D33" i="2"/>
  <c r="M60" i="5"/>
  <c r="BI50" i="5"/>
  <c r="AX61" i="5"/>
  <c r="C48" i="5"/>
  <c r="AV3" i="5"/>
  <c r="D24" i="2"/>
  <c r="D7" i="2"/>
  <c r="U27" i="2"/>
  <c r="L6" i="2"/>
  <c r="M6" i="2"/>
  <c r="T27" i="2"/>
  <c r="V27" i="2"/>
  <c r="W27" i="2"/>
  <c r="N6" i="2"/>
  <c r="O6" i="2"/>
  <c r="S23" i="1"/>
  <c r="W24" i="2"/>
  <c r="U24" i="2"/>
  <c r="M7" i="2"/>
  <c r="N7" i="2"/>
  <c r="O7" i="2"/>
  <c r="T24" i="2"/>
  <c r="L7" i="2"/>
  <c r="V24" i="2"/>
  <c r="BE18" i="5"/>
  <c r="R57" i="5"/>
  <c r="D28" i="2"/>
  <c r="S21" i="1"/>
  <c r="M30" i="2"/>
  <c r="V33" i="2"/>
  <c r="W33" i="2"/>
  <c r="N30" i="2"/>
  <c r="U33" i="2"/>
  <c r="T33" i="2"/>
  <c r="L28" i="2"/>
  <c r="O28" i="2"/>
  <c r="W2" i="2"/>
  <c r="T2" i="2"/>
  <c r="U2" i="2"/>
  <c r="M28" i="2"/>
  <c r="V2" i="2"/>
  <c r="N28" i="2"/>
  <c r="BL19" i="5"/>
  <c r="S64" i="5"/>
  <c r="W25" i="2"/>
  <c r="O3" i="2"/>
  <c r="N3" i="2"/>
  <c r="M3" i="2"/>
  <c r="T25" i="2"/>
  <c r="U25" i="2"/>
  <c r="V25" i="2"/>
  <c r="L3" i="2"/>
  <c r="AJ11" i="5"/>
  <c r="K36" i="5"/>
  <c r="N18" i="2"/>
  <c r="M18" i="2"/>
  <c r="U32" i="2"/>
  <c r="L18" i="2"/>
  <c r="O18" i="2"/>
  <c r="V32" i="2"/>
  <c r="T32" i="2"/>
  <c r="W32" i="2"/>
  <c r="AG10" i="5"/>
  <c r="J33" i="5"/>
  <c r="W5" i="2"/>
  <c r="T5" i="2"/>
  <c r="U5" i="2"/>
  <c r="O16" i="2"/>
  <c r="M16" i="2"/>
  <c r="L16" i="2"/>
  <c r="N16" i="2"/>
  <c r="V5" i="2"/>
  <c r="AQ26" i="5"/>
  <c r="Z43" i="5"/>
  <c r="M11" i="2"/>
  <c r="W22" i="2"/>
  <c r="N11" i="2"/>
  <c r="O11" i="2"/>
  <c r="V22" i="2"/>
  <c r="L11" i="2"/>
  <c r="AO54" i="5"/>
  <c r="D21" i="2"/>
  <c r="D13" i="2"/>
  <c r="BB41" i="5"/>
  <c r="N21" i="2"/>
  <c r="T13" i="2"/>
  <c r="L21" i="2"/>
  <c r="W13" i="2"/>
  <c r="O21" i="2"/>
  <c r="U13" i="2"/>
  <c r="M21" i="2"/>
  <c r="V13" i="2"/>
  <c r="AE22" i="5"/>
  <c r="V31" i="5"/>
  <c r="D15" i="2"/>
  <c r="W15" i="2"/>
  <c r="L12" i="2"/>
  <c r="U15" i="2"/>
  <c r="T15" i="2"/>
  <c r="O12" i="2"/>
  <c r="V15" i="2"/>
  <c r="N12" i="2"/>
  <c r="M12" i="2"/>
  <c r="AM8" i="5"/>
  <c r="H39" i="5"/>
  <c r="N20" i="2"/>
  <c r="V31" i="2"/>
  <c r="O20" i="2"/>
  <c r="U31" i="2"/>
  <c r="T31" i="2"/>
  <c r="W31" i="2"/>
  <c r="M20" i="2"/>
  <c r="L20" i="2"/>
  <c r="O6" i="5"/>
  <c r="F15" i="5"/>
  <c r="D17" i="2"/>
  <c r="O26" i="2"/>
  <c r="W17" i="2"/>
  <c r="V17" i="2"/>
  <c r="U17" i="2"/>
  <c r="T17" i="2"/>
  <c r="L26" i="2"/>
  <c r="N26" i="2"/>
  <c r="M26" i="2"/>
  <c r="AK46" i="5"/>
  <c r="AT37" i="5"/>
  <c r="O14" i="2"/>
  <c r="N14" i="2"/>
  <c r="T8" i="2"/>
  <c r="V8" i="2"/>
  <c r="W8" i="2"/>
  <c r="M14" i="2"/>
  <c r="U8" i="2"/>
  <c r="L14" i="2"/>
  <c r="AC52" i="5"/>
  <c r="AZ29" i="5"/>
  <c r="S17" i="1"/>
  <c r="W29" i="2"/>
  <c r="U29" i="2"/>
  <c r="L9" i="2"/>
  <c r="N9" i="2"/>
  <c r="O9" i="2"/>
  <c r="M9" i="2"/>
  <c r="V29" i="2"/>
  <c r="T29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18" i="2"/>
  <c r="I18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8" i="2"/>
  <c r="I8" i="2" s="1"/>
  <c r="F14" i="2"/>
  <c r="G14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8" i="2"/>
  <c r="I28" i="2" s="1"/>
  <c r="BF13" i="4"/>
  <c r="M58" i="4"/>
  <c r="AT57" i="10"/>
  <c r="BE46" i="10"/>
  <c r="AT57" i="8"/>
  <c r="BE46" i="8"/>
  <c r="H11" i="2"/>
  <c r="I11" i="2" s="1"/>
  <c r="F22" i="2"/>
  <c r="G22" i="2" s="1"/>
  <c r="AR25" i="4"/>
  <c r="Y44" i="4"/>
  <c r="AP49" i="10"/>
  <c r="AW42" i="10"/>
  <c r="AP49" i="8"/>
  <c r="AW42" i="8"/>
  <c r="F4" i="2"/>
  <c r="G4" i="2" s="1"/>
  <c r="H14" i="2"/>
  <c r="I14" i="2" s="1"/>
  <c r="BM38" i="4"/>
  <c r="AL65" i="4"/>
  <c r="AS58" i="10"/>
  <c r="BF45" i="10"/>
  <c r="BF45" i="8"/>
  <c r="AS58" i="8"/>
  <c r="F11" i="2"/>
  <c r="G11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7" i="2"/>
  <c r="G27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5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1" i="2"/>
  <c r="G21" i="2" s="1"/>
  <c r="H13" i="2"/>
  <c r="I13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5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5" i="2"/>
  <c r="I15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2" i="2"/>
  <c r="G32" i="2" s="1"/>
  <c r="H21" i="2"/>
  <c r="I21" i="2" s="1"/>
  <c r="AP35" i="4"/>
  <c r="AI42" i="4"/>
  <c r="BD65" i="10"/>
  <c r="BM56" i="10"/>
  <c r="BM56" i="8"/>
  <c r="BD65" i="8"/>
  <c r="F19" i="2"/>
  <c r="G19" i="2" s="1"/>
  <c r="BC22" i="4"/>
  <c r="V55" i="4"/>
  <c r="AQ54" i="10"/>
  <c r="BB43" i="10"/>
  <c r="BB43" i="8"/>
  <c r="AQ54" i="8"/>
  <c r="F20" i="2"/>
  <c r="G20" i="2" s="1"/>
  <c r="H31" i="2"/>
  <c r="I31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5" i="2"/>
  <c r="I5" i="2" s="1"/>
  <c r="F16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7" i="2"/>
  <c r="I7" i="2" s="1"/>
  <c r="AZ63" i="10"/>
  <c r="BK52" i="10"/>
  <c r="BK52" i="8"/>
  <c r="AZ63" i="8"/>
  <c r="F13" i="2"/>
  <c r="G13" i="2" s="1"/>
  <c r="BA6" i="4"/>
  <c r="F53" i="4"/>
  <c r="BA52" i="10"/>
  <c r="AZ53" i="10"/>
  <c r="AZ53" i="8"/>
  <c r="BA52" i="8"/>
  <c r="F31" i="2"/>
  <c r="G31" i="2" s="1"/>
  <c r="G6" i="4"/>
  <c r="F7" i="4"/>
  <c r="S52" i="10"/>
  <c r="AZ19" i="10"/>
  <c r="AZ19" i="8"/>
  <c r="S52" i="8"/>
  <c r="H17" i="2"/>
  <c r="I17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5" i="2"/>
  <c r="G5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29" i="2"/>
  <c r="G29" i="2" s="1"/>
  <c r="H30" i="2"/>
  <c r="I30" i="2" s="1"/>
  <c r="AY14" i="4"/>
  <c r="N51" i="4"/>
  <c r="I18" i="10"/>
  <c r="R9" i="10"/>
  <c r="R9" i="8"/>
  <c r="I18" i="8"/>
  <c r="H6" i="2"/>
  <c r="I6" i="2" s="1"/>
  <c r="F10" i="2"/>
  <c r="G10" i="2" s="1"/>
  <c r="L10" i="2"/>
  <c r="O10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3" i="2"/>
  <c r="H23" i="2"/>
  <c r="I23" i="2" s="1"/>
  <c r="X13" i="5"/>
  <c r="M24" i="5"/>
  <c r="L30" i="2"/>
  <c r="F30" i="2"/>
  <c r="G30" i="2" s="1"/>
  <c r="D30" i="2"/>
  <c r="O30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24" i="2"/>
  <c r="I24" i="2" s="1"/>
  <c r="F7" i="2"/>
  <c r="G7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6" i="2"/>
  <c r="G6" i="2" s="1"/>
  <c r="H27" i="2"/>
  <c r="I27" i="2" s="1"/>
  <c r="BG66" i="10"/>
  <c r="BN59" i="10"/>
  <c r="BN59" i="8"/>
  <c r="BG66" i="8"/>
  <c r="T19" i="2"/>
  <c r="D12" i="2"/>
  <c r="H19" i="2"/>
  <c r="I19" i="2" s="1"/>
  <c r="BD31" i="5"/>
  <c r="AE56" i="5"/>
  <c r="D19" i="2"/>
  <c r="U19" i="2"/>
  <c r="BD31" i="4"/>
  <c r="AE56" i="4"/>
  <c r="F12" i="2"/>
  <c r="G12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7" i="2"/>
  <c r="G17" i="2" s="1"/>
  <c r="E66" i="4"/>
  <c r="BN5" i="4"/>
  <c r="H4" i="2"/>
  <c r="I4" i="2" s="1"/>
  <c r="L17" i="2"/>
  <c r="M17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3" i="2"/>
  <c r="G23" i="2" s="1"/>
  <c r="AN23" i="4"/>
  <c r="W40" i="4"/>
  <c r="H15" i="10"/>
  <c r="O8" i="10"/>
  <c r="O8" i="8"/>
  <c r="H15" i="8"/>
  <c r="F33" i="2"/>
  <c r="G33" i="2" s="1"/>
  <c r="BG24" i="4"/>
  <c r="X59" i="4"/>
  <c r="E16" i="10"/>
  <c r="P5" i="10"/>
  <c r="P5" i="8"/>
  <c r="E16" i="8"/>
  <c r="H33" i="2"/>
  <c r="I33" i="2" s="1"/>
  <c r="BH13" i="4"/>
  <c r="M60" i="4"/>
  <c r="J21" i="10"/>
  <c r="U10" i="10"/>
  <c r="J21" i="8"/>
  <c r="U10" i="8"/>
  <c r="H10" i="2"/>
  <c r="I10" i="2" s="1"/>
  <c r="AB17" i="4"/>
  <c r="Q28" i="4"/>
  <c r="D2" i="2"/>
  <c r="F2" i="2"/>
  <c r="G2" i="2" s="1"/>
  <c r="L2" i="2"/>
  <c r="AB17" i="5"/>
  <c r="M2" i="2"/>
  <c r="Q28" i="5"/>
  <c r="D10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24" i="2"/>
  <c r="G24" i="2" s="1"/>
  <c r="H12" i="2"/>
  <c r="I12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8" i="2"/>
  <c r="G28" i="2" s="1"/>
  <c r="BE18" i="4"/>
  <c r="R57" i="4"/>
  <c r="AU44" i="10"/>
  <c r="AR47" i="10"/>
  <c r="AU44" i="8"/>
  <c r="AR47" i="8"/>
  <c r="D20" i="2"/>
  <c r="AS40" i="5"/>
  <c r="AN45" i="5"/>
  <c r="M8" i="2"/>
  <c r="F8" i="2"/>
  <c r="G8" i="2" s="1"/>
  <c r="H20" i="2"/>
  <c r="I20" i="2" s="1"/>
  <c r="D8" i="2"/>
  <c r="L8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5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18" i="2"/>
  <c r="G18" i="2" s="1"/>
  <c r="H32" i="2"/>
  <c r="I32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9" i="2"/>
  <c r="I9" i="2" s="1"/>
  <c r="K30" i="4"/>
  <c r="AD11" i="4"/>
  <c r="S58" i="10"/>
  <c r="BF19" i="10"/>
  <c r="BF19" i="8"/>
  <c r="S58" i="8"/>
  <c r="BD12" i="1"/>
  <c r="BD13" i="1"/>
  <c r="Z15" i="5"/>
  <c r="D22" i="2"/>
  <c r="O26" i="5"/>
  <c r="D26" i="2"/>
  <c r="CS10" i="2"/>
  <c r="F26" i="2"/>
  <c r="G26" i="2" s="1"/>
  <c r="CS9" i="2"/>
  <c r="Z15" i="4"/>
  <c r="U22" i="2"/>
  <c r="O26" i="4"/>
  <c r="H22" i="2"/>
  <c r="I22" i="2" s="1"/>
  <c r="T22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16" i="2"/>
  <c r="I16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6" i="2"/>
  <c r="I26" i="2" s="1"/>
  <c r="BG20" i="8"/>
  <c r="AE16" i="4"/>
  <c r="Y30" i="10"/>
  <c r="AD25" i="10"/>
  <c r="AD25" i="8"/>
  <c r="Y30" i="8"/>
  <c r="F9" i="2"/>
  <c r="G9" i="2" s="1"/>
  <c r="H29" i="2"/>
  <c r="I29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2" i="2"/>
  <c r="BU2" i="2"/>
  <c r="BU9" i="2"/>
  <c r="O991" i="1"/>
  <c r="AD991" i="1" s="1"/>
  <c r="BU23" i="2"/>
  <c r="BU3" i="2"/>
  <c r="BU19" i="2"/>
  <c r="BU33" i="2"/>
  <c r="BU29" i="2"/>
  <c r="BU21" i="2"/>
  <c r="BU25" i="2"/>
  <c r="BU26" i="2"/>
  <c r="BU18" i="2"/>
  <c r="BU16" i="2"/>
  <c r="BU31" i="2"/>
  <c r="BU6" i="2"/>
  <c r="BU32" i="2"/>
  <c r="BU30" i="2"/>
  <c r="BU5" i="2"/>
  <c r="BU17" i="2"/>
  <c r="BU28" i="2"/>
  <c r="BU27" i="2"/>
  <c r="BU14" i="2"/>
  <c r="BU22" i="2"/>
  <c r="BU20" i="2"/>
  <c r="BU8" i="2"/>
  <c r="BU13" i="2"/>
  <c r="BU24" i="2"/>
  <c r="BU4" i="2"/>
  <c r="BU7" i="2"/>
  <c r="BU11" i="2"/>
  <c r="BU15" i="2"/>
  <c r="O989" i="1"/>
  <c r="AD989" i="1" s="1"/>
  <c r="BU10" i="2"/>
  <c r="O984" i="1"/>
  <c r="AD984" i="1" s="1"/>
  <c r="BT14" i="2"/>
  <c r="O953" i="1"/>
  <c r="AD953" i="1" s="1"/>
  <c r="BT22" i="2"/>
  <c r="BT10" i="2"/>
  <c r="O977" i="1"/>
  <c r="AD977" i="1" s="1"/>
  <c r="BT6" i="2"/>
  <c r="BT23" i="2"/>
  <c r="BT12" i="2"/>
  <c r="BT2" i="2"/>
  <c r="BT32" i="2"/>
  <c r="BT33" i="2"/>
  <c r="BT9" i="2"/>
  <c r="BT21" i="2"/>
  <c r="BT5" i="2"/>
  <c r="BT4" i="2"/>
  <c r="BT8" i="2"/>
  <c r="BT30" i="2"/>
  <c r="BT25" i="2"/>
  <c r="BT20" i="2"/>
  <c r="BT31" i="2"/>
  <c r="BT24" i="2"/>
  <c r="BT29" i="2"/>
  <c r="BT19" i="2"/>
  <c r="BT17" i="2"/>
  <c r="BT18" i="2"/>
  <c r="BT13" i="2"/>
  <c r="BT7" i="2"/>
  <c r="BT16" i="2"/>
  <c r="BT26" i="2"/>
  <c r="BT3" i="2"/>
  <c r="BT28" i="2"/>
  <c r="BT11" i="2"/>
  <c r="BT15" i="2"/>
  <c r="BT27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19" i="2"/>
  <c r="BG29" i="2"/>
  <c r="BE29" i="2"/>
  <c r="BF14" i="2"/>
  <c r="BE33" i="2"/>
  <c r="BA27" i="2"/>
  <c r="BG17" i="2"/>
  <c r="BA4" i="2"/>
  <c r="BF28" i="2"/>
  <c r="BG24" i="2"/>
  <c r="BE4" i="2"/>
  <c r="BF19" i="2"/>
  <c r="BG13" i="2"/>
  <c r="BA14" i="2"/>
  <c r="BA6" i="2"/>
  <c r="BG33" i="2"/>
  <c r="BE19" i="2"/>
  <c r="BF3" i="2"/>
  <c r="BA30" i="2"/>
  <c r="BA18" i="2"/>
  <c r="BF5" i="2"/>
  <c r="BA24" i="2"/>
  <c r="BF11" i="2"/>
  <c r="BG32" i="2"/>
  <c r="BA10" i="2"/>
  <c r="BF12" i="2"/>
  <c r="BG23" i="2"/>
  <c r="BE15" i="2"/>
  <c r="BA26" i="2"/>
  <c r="BG28" i="2"/>
  <c r="BG8" i="2"/>
  <c r="BG16" i="2"/>
  <c r="BE9" i="2"/>
  <c r="BA22" i="2"/>
  <c r="BF23" i="2"/>
  <c r="BF30" i="2"/>
  <c r="BG31" i="2"/>
  <c r="BA23" i="2"/>
  <c r="BE30" i="2"/>
  <c r="BA8" i="2"/>
  <c r="BA21" i="2"/>
  <c r="BF16" i="2"/>
  <c r="BE22" i="2"/>
  <c r="BG2" i="2"/>
  <c r="BE2" i="2"/>
  <c r="BA17" i="2"/>
  <c r="BF6" i="2"/>
  <c r="BG25" i="2"/>
  <c r="BE6" i="2"/>
  <c r="BA33" i="2"/>
  <c r="BF8" i="2"/>
  <c r="BA11" i="2"/>
  <c r="BA20" i="2"/>
  <c r="BE31" i="2"/>
  <c r="BE14" i="2"/>
  <c r="BA32" i="2"/>
  <c r="BF22" i="2"/>
  <c r="BA15" i="2"/>
  <c r="BE3" i="2"/>
  <c r="BE18" i="2"/>
  <c r="BA5" i="2"/>
  <c r="BE13" i="2"/>
  <c r="BF4" i="2"/>
  <c r="BA29" i="2"/>
  <c r="BF27" i="2"/>
  <c r="BE8" i="2"/>
  <c r="BE20" i="2"/>
  <c r="BG12" i="2"/>
  <c r="BF9" i="2"/>
  <c r="BE17" i="2"/>
  <c r="BF33" i="2"/>
  <c r="BE28" i="2"/>
  <c r="BA19" i="2"/>
  <c r="BF13" i="2"/>
  <c r="BE27" i="2"/>
  <c r="BE24" i="2"/>
  <c r="BG20" i="2"/>
  <c r="BE16" i="2"/>
  <c r="BE10" i="2"/>
  <c r="BG15" i="2"/>
  <c r="BA3" i="2"/>
  <c r="BA2" i="2"/>
  <c r="BE26" i="2"/>
  <c r="BG5" i="2"/>
  <c r="BF31" i="2"/>
  <c r="BG4" i="2"/>
  <c r="BE11" i="2"/>
  <c r="BG21" i="2"/>
  <c r="BG10" i="2"/>
  <c r="BG26" i="2"/>
  <c r="BG18" i="2"/>
  <c r="BE5" i="2"/>
  <c r="BA31" i="2"/>
  <c r="BA25" i="2"/>
  <c r="BE25" i="2"/>
  <c r="BA28" i="2"/>
  <c r="BE21" i="2"/>
  <c r="BE32" i="2"/>
  <c r="BE12" i="2"/>
  <c r="BG9" i="2"/>
  <c r="BA13" i="2"/>
  <c r="BG11" i="2"/>
  <c r="BA9" i="2"/>
  <c r="BE23" i="2"/>
  <c r="BF15" i="2"/>
  <c r="BG3" i="2"/>
  <c r="BF17" i="2"/>
  <c r="BF25" i="2"/>
  <c r="BG6" i="2"/>
  <c r="BF29" i="2"/>
  <c r="BG27" i="2"/>
  <c r="BF20" i="2"/>
  <c r="BG14" i="2"/>
  <c r="BF10" i="2"/>
  <c r="BG22" i="2"/>
  <c r="BF26" i="2"/>
  <c r="BG30" i="2"/>
  <c r="BF21" i="2"/>
  <c r="BF2" i="2"/>
  <c r="BA16" i="2"/>
  <c r="BF24" i="2"/>
  <c r="BF32" i="2"/>
  <c r="BA12" i="2"/>
  <c r="BF18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D1030" i="1" l="1"/>
  <c r="AD1130" i="1"/>
  <c r="AC1092" i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7" i="2"/>
  <c r="S27" i="2"/>
  <c r="Q27" i="2"/>
  <c r="AC1142" i="1"/>
  <c r="AD961" i="1"/>
  <c r="Z16" i="2"/>
  <c r="Y16" i="2"/>
  <c r="AA16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8" i="2"/>
  <c r="Z28" i="2"/>
  <c r="AA28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7" i="2"/>
  <c r="Z7" i="2"/>
  <c r="Y7" i="2"/>
  <c r="Q5" i="2"/>
  <c r="R5" i="2"/>
  <c r="S5" i="2"/>
  <c r="AA3" i="2"/>
  <c r="Z3" i="2"/>
  <c r="Y3" i="2"/>
  <c r="R23" i="2"/>
  <c r="Q23" i="2"/>
  <c r="S23" i="2"/>
  <c r="S24" i="2"/>
  <c r="R24" i="2"/>
  <c r="Q24" i="2"/>
  <c r="Y12" i="2"/>
  <c r="AA12" i="2"/>
  <c r="Z12" i="2"/>
  <c r="AD1133" i="1"/>
  <c r="AC1119" i="1"/>
  <c r="AD933" i="1"/>
  <c r="AC1135" i="1"/>
  <c r="AC1066" i="1"/>
  <c r="Z6" i="2"/>
  <c r="AA6" i="2"/>
  <c r="Y6" i="2"/>
  <c r="AC1094" i="1"/>
  <c r="AD902" i="1"/>
  <c r="AD747" i="1"/>
  <c r="R8" i="2"/>
  <c r="Q8" i="2"/>
  <c r="S8" i="2"/>
  <c r="AC1148" i="1"/>
  <c r="AC1162" i="1"/>
  <c r="Z10" i="2"/>
  <c r="AA10" i="2"/>
  <c r="Y10" i="2"/>
  <c r="S17" i="2"/>
  <c r="AA4" i="2"/>
  <c r="Y4" i="2"/>
  <c r="Z4" i="2"/>
  <c r="Q17" i="2"/>
  <c r="R17" i="2"/>
  <c r="Z18" i="2"/>
  <c r="AA18" i="2"/>
  <c r="Y18" i="2"/>
  <c r="R22" i="2"/>
  <c r="AA11" i="2"/>
  <c r="Z11" i="2"/>
  <c r="S22" i="2"/>
  <c r="Y11" i="2"/>
  <c r="Q22" i="2"/>
  <c r="AA19" i="2"/>
  <c r="Y19" i="2"/>
  <c r="Q15" i="2"/>
  <c r="Z19" i="2"/>
  <c r="S15" i="2"/>
  <c r="R15" i="2"/>
  <c r="R25" i="2"/>
  <c r="S25" i="2"/>
  <c r="Q25" i="2"/>
  <c r="R32" i="2"/>
  <c r="Y21" i="2"/>
  <c r="Q32" i="2"/>
  <c r="AA21" i="2"/>
  <c r="Z21" i="2"/>
  <c r="S32" i="2"/>
  <c r="Q13" i="2"/>
  <c r="R13" i="2"/>
  <c r="S13" i="2"/>
  <c r="Q2" i="2"/>
  <c r="R2" i="2"/>
  <c r="S2" i="2"/>
  <c r="Y20" i="2"/>
  <c r="Z20" i="2"/>
  <c r="AA20" i="2"/>
  <c r="Z23" i="2"/>
  <c r="R33" i="2"/>
  <c r="AA23" i="2"/>
  <c r="S33" i="2"/>
  <c r="Q33" i="2"/>
  <c r="Y23" i="2"/>
  <c r="AA9" i="2"/>
  <c r="Z9" i="2"/>
  <c r="Y9" i="2"/>
  <c r="S4" i="2"/>
  <c r="Y14" i="2"/>
  <c r="Z14" i="2"/>
  <c r="Q4" i="2"/>
  <c r="AA14" i="2"/>
  <c r="R4" i="2"/>
  <c r="Q31" i="2"/>
  <c r="S31" i="2"/>
  <c r="R31" i="2"/>
  <c r="Z26" i="2"/>
  <c r="Y26" i="2"/>
  <c r="AA26" i="2"/>
  <c r="R19" i="2"/>
  <c r="Q19" i="2"/>
  <c r="S19" i="2"/>
  <c r="R29" i="2"/>
  <c r="AA30" i="2"/>
  <c r="Q29" i="2"/>
  <c r="S29" i="2"/>
  <c r="Y30" i="2"/>
  <c r="Z30" i="2"/>
  <c r="Q10" i="2"/>
  <c r="R10" i="2"/>
  <c r="S10" i="2"/>
  <c r="J69" i="7"/>
  <c r="Y8" i="6"/>
  <c r="J30" i="7"/>
  <c r="AA27" i="2"/>
  <c r="S6" i="2"/>
  <c r="Q6" i="2"/>
  <c r="Z27" i="2"/>
  <c r="Y27" i="2"/>
  <c r="R6" i="2"/>
  <c r="J26" i="7"/>
  <c r="B8" i="6"/>
  <c r="J67" i="7"/>
  <c r="S7" i="2"/>
  <c r="Z24" i="2"/>
  <c r="R7" i="2"/>
  <c r="AA24" i="2"/>
  <c r="Q7" i="2"/>
  <c r="Y24" i="2"/>
  <c r="AD8" i="6"/>
  <c r="J33" i="7"/>
  <c r="J63" i="7"/>
  <c r="Q30" i="2"/>
  <c r="Y33" i="2"/>
  <c r="Z33" i="2"/>
  <c r="S30" i="2"/>
  <c r="AA33" i="2"/>
  <c r="R30" i="2"/>
  <c r="Z2" i="2"/>
  <c r="AA2" i="2"/>
  <c r="Q28" i="2"/>
  <c r="Y2" i="2"/>
  <c r="S28" i="2"/>
  <c r="R28" i="2"/>
  <c r="J21" i="7"/>
  <c r="AC8" i="6"/>
  <c r="J58" i="7"/>
  <c r="J55" i="7"/>
  <c r="J24" i="7"/>
  <c r="AF8" i="6"/>
  <c r="J8" i="6"/>
  <c r="J56" i="7"/>
  <c r="J19" i="7"/>
  <c r="Y25" i="2"/>
  <c r="Z25" i="2"/>
  <c r="AA25" i="2"/>
  <c r="S3" i="2"/>
  <c r="Q3" i="2"/>
  <c r="R3" i="2"/>
  <c r="R18" i="2"/>
  <c r="Q18" i="2"/>
  <c r="Z32" i="2"/>
  <c r="Y32" i="2"/>
  <c r="AA32" i="2"/>
  <c r="S18" i="2"/>
  <c r="Z5" i="2"/>
  <c r="R16" i="2"/>
  <c r="AA5" i="2"/>
  <c r="Y5" i="2"/>
  <c r="S16" i="2"/>
  <c r="Q16" i="2"/>
  <c r="S11" i="2"/>
  <c r="Q11" i="2"/>
  <c r="AA22" i="2"/>
  <c r="R11" i="2"/>
  <c r="Y22" i="2"/>
  <c r="Z22" i="2"/>
  <c r="Z13" i="2"/>
  <c r="Q21" i="2"/>
  <c r="AA13" i="2"/>
  <c r="Y13" i="2"/>
  <c r="R21" i="2"/>
  <c r="S21" i="2"/>
  <c r="Y15" i="2"/>
  <c r="R12" i="2"/>
  <c r="Q12" i="2"/>
  <c r="AA15" i="2"/>
  <c r="Z15" i="2"/>
  <c r="S12" i="2"/>
  <c r="AA31" i="2"/>
  <c r="Q20" i="2"/>
  <c r="Y31" i="2"/>
  <c r="S20" i="2"/>
  <c r="R20" i="2"/>
  <c r="Z31" i="2"/>
  <c r="AD10" i="1"/>
  <c r="BD22" i="1"/>
  <c r="Q26" i="2"/>
  <c r="R26" i="2"/>
  <c r="AH26" i="2" s="1"/>
  <c r="AA17" i="2"/>
  <c r="Z17" i="2"/>
  <c r="S26" i="2"/>
  <c r="Y17" i="2"/>
  <c r="AA8" i="2"/>
  <c r="Q14" i="2"/>
  <c r="Z8" i="2"/>
  <c r="Y8" i="2"/>
  <c r="S14" i="2"/>
  <c r="R14" i="2"/>
  <c r="AD17" i="1"/>
  <c r="BM6" i="1"/>
  <c r="BM7" i="1"/>
  <c r="Y29" i="2"/>
  <c r="Z29" i="2"/>
  <c r="S9" i="2"/>
  <c r="R9" i="2"/>
  <c r="AA29" i="2"/>
  <c r="Q9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3" i="7"/>
  <c r="O33" i="7"/>
  <c r="M33" i="7"/>
  <c r="AX33" i="7"/>
  <c r="EP33" i="7"/>
  <c r="BE33" i="7"/>
  <c r="EW33" i="7"/>
  <c r="BF33" i="7"/>
  <c r="EX33" i="7"/>
  <c r="BG33" i="7"/>
  <c r="CF33" i="7"/>
  <c r="FX33" i="7"/>
  <c r="CM33" i="7"/>
  <c r="GE33" i="7"/>
  <c r="FW33" i="7"/>
  <c r="BD33" i="7"/>
  <c r="EV33" i="7"/>
  <c r="BK33" i="7"/>
  <c r="FC33" i="7"/>
  <c r="BL33" i="7"/>
  <c r="FD33" i="7"/>
  <c r="BM33" i="7"/>
  <c r="CL33" i="7"/>
  <c r="GD33" i="7"/>
  <c r="CS33" i="7"/>
  <c r="GK33" i="7"/>
  <c r="DI33" i="7"/>
  <c r="BJ33" i="7"/>
  <c r="FB33" i="7"/>
  <c r="BQ33" i="7"/>
  <c r="FI33" i="7"/>
  <c r="BR33" i="7"/>
  <c r="FJ33" i="7"/>
  <c r="BS33" i="7"/>
  <c r="CR33" i="7"/>
  <c r="GJ33" i="7"/>
  <c r="CY33" i="7"/>
  <c r="GQ33" i="7"/>
  <c r="ES33" i="7"/>
  <c r="BP33" i="7"/>
  <c r="FH33" i="7"/>
  <c r="BW33" i="7"/>
  <c r="FO33" i="7"/>
  <c r="BX33" i="7"/>
  <c r="FP33" i="7"/>
  <c r="BY33" i="7"/>
  <c r="CX33" i="7"/>
  <c r="GP33" i="7"/>
  <c r="DE33" i="7"/>
  <c r="CK33" i="7"/>
  <c r="GC33" i="7"/>
  <c r="BV33" i="7"/>
  <c r="FN33" i="7"/>
  <c r="CC33" i="7"/>
  <c r="FU33" i="7"/>
  <c r="CD33" i="7"/>
  <c r="FV33" i="7"/>
  <c r="CE33" i="7"/>
  <c r="DD33" i="7"/>
  <c r="S33" i="7"/>
  <c r="DK33" i="7"/>
  <c r="DU33" i="7"/>
  <c r="DO33" i="7"/>
  <c r="CB33" i="7"/>
  <c r="FT33" i="7"/>
  <c r="CI33" i="7"/>
  <c r="GA33" i="7"/>
  <c r="CJ33" i="7"/>
  <c r="GB33" i="7"/>
  <c r="R33" i="7"/>
  <c r="DJ33" i="7"/>
  <c r="Y33" i="7"/>
  <c r="DQ33" i="7"/>
  <c r="FE33" i="7"/>
  <c r="EY33" i="7"/>
  <c r="CH33" i="7"/>
  <c r="FZ33" i="7"/>
  <c r="CO33" i="7"/>
  <c r="GG33" i="7"/>
  <c r="CP33" i="7"/>
  <c r="GH33" i="7"/>
  <c r="X33" i="7"/>
  <c r="DP33" i="7"/>
  <c r="AE33" i="7"/>
  <c r="DW33" i="7"/>
  <c r="GO33" i="7"/>
  <c r="GI33" i="7"/>
  <c r="CN33" i="7"/>
  <c r="GF33" i="7"/>
  <c r="CU33" i="7"/>
  <c r="GM33" i="7"/>
  <c r="CV33" i="7"/>
  <c r="GN33" i="7"/>
  <c r="AD33" i="7"/>
  <c r="DV33" i="7"/>
  <c r="AK33" i="7"/>
  <c r="EC33" i="7"/>
  <c r="CQ33" i="7"/>
  <c r="CT33" i="7"/>
  <c r="GL33" i="7"/>
  <c r="DA33" i="7"/>
  <c r="GS33" i="7"/>
  <c r="DB33" i="7"/>
  <c r="GT33" i="7"/>
  <c r="AJ33" i="7"/>
  <c r="EB33" i="7"/>
  <c r="AQ33" i="7"/>
  <c r="EI33" i="7"/>
  <c r="EA33" i="7"/>
  <c r="CZ33" i="7"/>
  <c r="GR33" i="7"/>
  <c r="DG33" i="7"/>
  <c r="P33" i="7"/>
  <c r="DH33" i="7"/>
  <c r="Q33" i="7"/>
  <c r="AP33" i="7"/>
  <c r="EH33" i="7"/>
  <c r="AW33" i="7"/>
  <c r="EO33" i="7"/>
  <c r="FK33" i="7"/>
  <c r="DF33" i="7"/>
  <c r="U33" i="7"/>
  <c r="DM33" i="7"/>
  <c r="V33" i="7"/>
  <c r="DN33" i="7"/>
  <c r="W33" i="7"/>
  <c r="AV33" i="7"/>
  <c r="EN33" i="7"/>
  <c r="BC33" i="7"/>
  <c r="EU33" i="7"/>
  <c r="GU33" i="7"/>
  <c r="T33" i="7"/>
  <c r="DL33" i="7"/>
  <c r="AA33" i="7"/>
  <c r="DS33" i="7"/>
  <c r="AB33" i="7"/>
  <c r="DT33" i="7"/>
  <c r="AC33" i="7"/>
  <c r="BB33" i="7"/>
  <c r="ET33" i="7"/>
  <c r="BI33" i="7"/>
  <c r="FA33" i="7"/>
  <c r="CW33" i="7"/>
  <c r="Z33" i="7"/>
  <c r="DR33" i="7"/>
  <c r="AG33" i="7"/>
  <c r="DY33" i="7"/>
  <c r="AH33" i="7"/>
  <c r="DZ33" i="7"/>
  <c r="AI33" i="7"/>
  <c r="BH33" i="7"/>
  <c r="EZ33" i="7"/>
  <c r="BO33" i="7"/>
  <c r="FG33" i="7"/>
  <c r="EG33" i="7"/>
  <c r="AF33" i="7"/>
  <c r="DX33" i="7"/>
  <c r="AM33" i="7"/>
  <c r="EE33" i="7"/>
  <c r="AN33" i="7"/>
  <c r="EF33" i="7"/>
  <c r="AO33" i="7"/>
  <c r="BN33" i="7"/>
  <c r="FF33" i="7"/>
  <c r="BU33" i="7"/>
  <c r="FM33" i="7"/>
  <c r="FQ33" i="7"/>
  <c r="AL33" i="7"/>
  <c r="ED33" i="7"/>
  <c r="AS33" i="7"/>
  <c r="EK33" i="7"/>
  <c r="AT33" i="7"/>
  <c r="EL33" i="7"/>
  <c r="AU33" i="7"/>
  <c r="BT33" i="7"/>
  <c r="FL33" i="7"/>
  <c r="CA33" i="7"/>
  <c r="FS33" i="7"/>
  <c r="DC33" i="7"/>
  <c r="AR33" i="7"/>
  <c r="EJ33" i="7"/>
  <c r="AY33" i="7"/>
  <c r="EQ33" i="7"/>
  <c r="AZ33" i="7"/>
  <c r="ER33" i="7"/>
  <c r="BA33" i="7"/>
  <c r="BZ33" i="7"/>
  <c r="FR33" i="7"/>
  <c r="CG33" i="7"/>
  <c r="FY33" i="7"/>
  <c r="EM33" i="7"/>
  <c r="H41" i="7"/>
  <c r="H8" i="7"/>
  <c r="I8" i="7"/>
  <c r="J41" i="7"/>
  <c r="I41" i="7"/>
  <c r="L41" i="7"/>
  <c r="M41" i="7"/>
  <c r="K41" i="7"/>
  <c r="J8" i="7"/>
  <c r="L8" i="7"/>
  <c r="K8" i="7"/>
  <c r="M8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31" i="7"/>
  <c r="J64" i="7"/>
  <c r="N64" i="7"/>
  <c r="L64" i="7"/>
  <c r="K64" i="7"/>
  <c r="J31" i="7"/>
  <c r="L31" i="7"/>
  <c r="N31" i="7"/>
  <c r="M31" i="7"/>
  <c r="I50" i="7"/>
  <c r="H50" i="7"/>
  <c r="I14" i="7"/>
  <c r="H14" i="7"/>
  <c r="AC844" i="1"/>
  <c r="AC1096" i="1"/>
  <c r="P69" i="7"/>
  <c r="Q69" i="7"/>
  <c r="R69" i="7"/>
  <c r="L69" i="7"/>
  <c r="K69" i="7"/>
  <c r="O69" i="7"/>
  <c r="M69" i="7"/>
  <c r="N69" i="7"/>
  <c r="N30" i="7"/>
  <c r="K30" i="7"/>
  <c r="L30" i="7"/>
  <c r="M30" i="7"/>
  <c r="O30" i="7"/>
  <c r="P30" i="7"/>
  <c r="Q30" i="7"/>
  <c r="R30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4" i="7"/>
  <c r="FC4" i="7"/>
  <c r="O4" i="7"/>
  <c r="DG4" i="7"/>
  <c r="AS4" i="7"/>
  <c r="EW4" i="7"/>
  <c r="BF4" i="7"/>
  <c r="EX4" i="7"/>
  <c r="BA4" i="7"/>
  <c r="ES4" i="7"/>
  <c r="AX4" i="7"/>
  <c r="EP4" i="7"/>
  <c r="DP4" i="7"/>
  <c r="R4" i="7"/>
  <c r="DE4" i="7"/>
  <c r="ET4" i="7"/>
  <c r="AY4" i="7"/>
  <c r="FI4" i="7"/>
  <c r="BL4" i="7"/>
  <c r="FD4" i="7"/>
  <c r="BG4" i="7"/>
  <c r="EY4" i="7"/>
  <c r="BD4" i="7"/>
  <c r="EV4" i="7"/>
  <c r="EH4" i="7"/>
  <c r="AJ4" i="7"/>
  <c r="DW4" i="7"/>
  <c r="AQ4" i="7"/>
  <c r="BE4" i="7"/>
  <c r="FO4" i="7"/>
  <c r="BR4" i="7"/>
  <c r="FJ4" i="7"/>
  <c r="BM4" i="7"/>
  <c r="FE4" i="7"/>
  <c r="BJ4" i="7"/>
  <c r="FB4" i="7"/>
  <c r="EZ4" i="7"/>
  <c r="BB4" i="7"/>
  <c r="EO4" i="7"/>
  <c r="CS4" i="7"/>
  <c r="BQ4" i="7"/>
  <c r="FU4" i="7"/>
  <c r="BX4" i="7"/>
  <c r="FP4" i="7"/>
  <c r="BS4" i="7"/>
  <c r="FK4" i="7"/>
  <c r="BP4" i="7"/>
  <c r="FH4" i="7"/>
  <c r="FR4" i="7"/>
  <c r="BT4" i="7"/>
  <c r="FG4" i="7"/>
  <c r="EU4" i="7"/>
  <c r="BW4" i="7"/>
  <c r="GA4" i="7"/>
  <c r="CD4" i="7"/>
  <c r="FV4" i="7"/>
  <c r="BY4" i="7"/>
  <c r="FQ4" i="7"/>
  <c r="BV4" i="7"/>
  <c r="FN4" i="7"/>
  <c r="GJ4" i="7"/>
  <c r="CL4" i="7"/>
  <c r="FY4" i="7"/>
  <c r="BH4" i="7"/>
  <c r="CC4" i="7"/>
  <c r="GG4" i="7"/>
  <c r="CJ4" i="7"/>
  <c r="GB4" i="7"/>
  <c r="CE4" i="7"/>
  <c r="FW4" i="7"/>
  <c r="CB4" i="7"/>
  <c r="FT4" i="7"/>
  <c r="M4" i="7"/>
  <c r="DD4" i="7"/>
  <c r="GQ4" i="7"/>
  <c r="DJ4" i="7"/>
  <c r="CI4" i="7"/>
  <c r="GM4" i="7"/>
  <c r="CP4" i="7"/>
  <c r="GH4" i="7"/>
  <c r="CK4" i="7"/>
  <c r="GC4" i="7"/>
  <c r="CH4" i="7"/>
  <c r="FZ4" i="7"/>
  <c r="AE4" i="7"/>
  <c r="DV4" i="7"/>
  <c r="X4" i="7"/>
  <c r="FL4" i="7"/>
  <c r="CO4" i="7"/>
  <c r="GS4" i="7"/>
  <c r="CV4" i="7"/>
  <c r="GN4" i="7"/>
  <c r="CQ4" i="7"/>
  <c r="GI4" i="7"/>
  <c r="CN4" i="7"/>
  <c r="GF4" i="7"/>
  <c r="AW4" i="7"/>
  <c r="EN4" i="7"/>
  <c r="BZ4" i="7"/>
  <c r="BI4" i="7"/>
  <c r="CU4" i="7"/>
  <c r="J4" i="7"/>
  <c r="DB4" i="7"/>
  <c r="GT4" i="7"/>
  <c r="CW4" i="7"/>
  <c r="GO4" i="7"/>
  <c r="CT4" i="7"/>
  <c r="GL4" i="7"/>
  <c r="BO4" i="7"/>
  <c r="FF4" i="7"/>
  <c r="EB4" i="7"/>
  <c r="DK4" i="7"/>
  <c r="DA4" i="7"/>
  <c r="P4" i="7"/>
  <c r="DH4" i="7"/>
  <c r="K4" i="7"/>
  <c r="DC4" i="7"/>
  <c r="GU4" i="7"/>
  <c r="CZ4" i="7"/>
  <c r="GR4" i="7"/>
  <c r="CG4" i="7"/>
  <c r="FX4" i="7"/>
  <c r="GD4" i="7"/>
  <c r="FM4" i="7"/>
  <c r="DM4" i="7"/>
  <c r="V4" i="7"/>
  <c r="DN4" i="7"/>
  <c r="Q4" i="7"/>
  <c r="DI4" i="7"/>
  <c r="N4" i="7"/>
  <c r="DF4" i="7"/>
  <c r="L4" i="7"/>
  <c r="CY4" i="7"/>
  <c r="GP4" i="7"/>
  <c r="Y4" i="7"/>
  <c r="I4" i="7"/>
  <c r="DS4" i="7"/>
  <c r="AB4" i="7"/>
  <c r="DT4" i="7"/>
  <c r="W4" i="7"/>
  <c r="DO4" i="7"/>
  <c r="T4" i="7"/>
  <c r="DL4" i="7"/>
  <c r="AD4" i="7"/>
  <c r="DQ4" i="7"/>
  <c r="S4" i="7"/>
  <c r="CA4" i="7"/>
  <c r="U4" i="7"/>
  <c r="DY4" i="7"/>
  <c r="AH4" i="7"/>
  <c r="DZ4" i="7"/>
  <c r="AC4" i="7"/>
  <c r="DU4" i="7"/>
  <c r="Z4" i="7"/>
  <c r="DR4" i="7"/>
  <c r="AV4" i="7"/>
  <c r="EI4" i="7"/>
  <c r="AK4" i="7"/>
  <c r="EC4" i="7"/>
  <c r="AA4" i="7"/>
  <c r="EE4" i="7"/>
  <c r="AN4" i="7"/>
  <c r="EF4" i="7"/>
  <c r="AI4" i="7"/>
  <c r="EA4" i="7"/>
  <c r="AF4" i="7"/>
  <c r="DX4" i="7"/>
  <c r="BN4" i="7"/>
  <c r="FA4" i="7"/>
  <c r="BC4" i="7"/>
  <c r="GE4" i="7"/>
  <c r="AG4" i="7"/>
  <c r="EK4" i="7"/>
  <c r="AT4" i="7"/>
  <c r="EL4" i="7"/>
  <c r="AO4" i="7"/>
  <c r="EG4" i="7"/>
  <c r="AL4" i="7"/>
  <c r="ED4" i="7"/>
  <c r="CF4" i="7"/>
  <c r="FS4" i="7"/>
  <c r="BU4" i="7"/>
  <c r="AP4" i="7"/>
  <c r="AM4" i="7"/>
  <c r="EQ4" i="7"/>
  <c r="AZ4" i="7"/>
  <c r="ER4" i="7"/>
  <c r="AU4" i="7"/>
  <c r="EM4" i="7"/>
  <c r="AR4" i="7"/>
  <c r="EJ4" i="7"/>
  <c r="CX4" i="7"/>
  <c r="GK4" i="7"/>
  <c r="CM4" i="7"/>
  <c r="CR4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29" i="7"/>
  <c r="K29" i="7"/>
  <c r="N65" i="7"/>
  <c r="M65" i="7"/>
  <c r="L65" i="7"/>
  <c r="J65" i="7"/>
  <c r="K65" i="7"/>
  <c r="J29" i="7"/>
  <c r="L29" i="7"/>
  <c r="N29" i="7"/>
  <c r="M29" i="7"/>
  <c r="I40" i="7"/>
  <c r="I6" i="7"/>
  <c r="J40" i="7"/>
  <c r="K40" i="7"/>
  <c r="J6" i="7"/>
  <c r="K6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3" i="7"/>
  <c r="EN3" i="7"/>
  <c r="DC3" i="7"/>
  <c r="V3" i="7"/>
  <c r="EG3" i="7"/>
  <c r="AZ3" i="7"/>
  <c r="FJ3" i="7"/>
  <c r="CD3" i="7"/>
  <c r="GI3" i="7"/>
  <c r="DH3" i="7"/>
  <c r="AA3" i="7"/>
  <c r="EL3" i="7"/>
  <c r="BB3" i="7"/>
  <c r="ET3" i="7"/>
  <c r="DK3" i="7"/>
  <c r="AC3" i="7"/>
  <c r="EO3" i="7"/>
  <c r="BG3" i="7"/>
  <c r="FP3" i="7"/>
  <c r="CK3" i="7"/>
  <c r="GO3" i="7"/>
  <c r="DO3" i="7"/>
  <c r="AH3" i="7"/>
  <c r="ES3" i="7"/>
  <c r="BH3" i="7"/>
  <c r="EZ3" i="7"/>
  <c r="DR3" i="7"/>
  <c r="AK3" i="7"/>
  <c r="EV3" i="7"/>
  <c r="BO3" i="7"/>
  <c r="FV3" i="7"/>
  <c r="CS3" i="7"/>
  <c r="GU3" i="7"/>
  <c r="DW3" i="7"/>
  <c r="AO3" i="7"/>
  <c r="FA3" i="7"/>
  <c r="BN3" i="7"/>
  <c r="N3" i="7"/>
  <c r="DY3" i="7"/>
  <c r="AR3" i="7"/>
  <c r="FC3" i="7"/>
  <c r="BV3" i="7"/>
  <c r="GB3" i="7"/>
  <c r="CZ3" i="7"/>
  <c r="S3" i="7"/>
  <c r="ED3" i="7"/>
  <c r="AW3" i="7"/>
  <c r="FG3" i="7"/>
  <c r="BT3" i="7"/>
  <c r="U3" i="7"/>
  <c r="EF3" i="7"/>
  <c r="AY3" i="7"/>
  <c r="FI3" i="7"/>
  <c r="CC3" i="7"/>
  <c r="GH3" i="7"/>
  <c r="DG3" i="7"/>
  <c r="Z3" i="7"/>
  <c r="EK3" i="7"/>
  <c r="BD3" i="7"/>
  <c r="FM3" i="7"/>
  <c r="BZ3" i="7"/>
  <c r="AB3" i="7"/>
  <c r="EM3" i="7"/>
  <c r="BF3" i="7"/>
  <c r="FO3" i="7"/>
  <c r="CJ3" i="7"/>
  <c r="GN3" i="7"/>
  <c r="DN3" i="7"/>
  <c r="AG3" i="7"/>
  <c r="ER3" i="7"/>
  <c r="BK3" i="7"/>
  <c r="FS3" i="7"/>
  <c r="CF3" i="7"/>
  <c r="AI3" i="7"/>
  <c r="EU3" i="7"/>
  <c r="BM3" i="7"/>
  <c r="FU3" i="7"/>
  <c r="CQ3" i="7"/>
  <c r="GT3" i="7"/>
  <c r="DU3" i="7"/>
  <c r="AN3" i="7"/>
  <c r="EY3" i="7"/>
  <c r="BR3" i="7"/>
  <c r="FY3" i="7"/>
  <c r="CL3" i="7"/>
  <c r="AQ3" i="7"/>
  <c r="FB3" i="7"/>
  <c r="BU3" i="7"/>
  <c r="GA3" i="7"/>
  <c r="CY3" i="7"/>
  <c r="Q3" i="7"/>
  <c r="EC3" i="7"/>
  <c r="AU3" i="7"/>
  <c r="FF3" i="7"/>
  <c r="BY3" i="7"/>
  <c r="GE3" i="7"/>
  <c r="CR3" i="7"/>
  <c r="AX3" i="7"/>
  <c r="FH3" i="7"/>
  <c r="CB3" i="7"/>
  <c r="GG3" i="7"/>
  <c r="DF3" i="7"/>
  <c r="Y3" i="7"/>
  <c r="EJ3" i="7"/>
  <c r="BC3" i="7"/>
  <c r="FL3" i="7"/>
  <c r="CG3" i="7"/>
  <c r="GK3" i="7"/>
  <c r="CX3" i="7"/>
  <c r="BE3" i="7"/>
  <c r="FN3" i="7"/>
  <c r="CI3" i="7"/>
  <c r="GM3" i="7"/>
  <c r="DM3" i="7"/>
  <c r="AF3" i="7"/>
  <c r="EQ3" i="7"/>
  <c r="BJ3" i="7"/>
  <c r="FR3" i="7"/>
  <c r="CN3" i="7"/>
  <c r="GQ3" i="7"/>
  <c r="DD3" i="7"/>
  <c r="BL3" i="7"/>
  <c r="FT3" i="7"/>
  <c r="CP3" i="7"/>
  <c r="GS3" i="7"/>
  <c r="DT3" i="7"/>
  <c r="AM3" i="7"/>
  <c r="EX3" i="7"/>
  <c r="BQ3" i="7"/>
  <c r="FX3" i="7"/>
  <c r="CU3" i="7"/>
  <c r="R3" i="7"/>
  <c r="DJ3" i="7"/>
  <c r="BS3" i="7"/>
  <c r="FZ3" i="7"/>
  <c r="CW3" i="7"/>
  <c r="P3" i="7"/>
  <c r="EA3" i="7"/>
  <c r="AT3" i="7"/>
  <c r="FE3" i="7"/>
  <c r="BX3" i="7"/>
  <c r="GD3" i="7"/>
  <c r="DB3" i="7"/>
  <c r="X3" i="7"/>
  <c r="DP3" i="7"/>
  <c r="CA3" i="7"/>
  <c r="GF3" i="7"/>
  <c r="DE3" i="7"/>
  <c r="W3" i="7"/>
  <c r="EI3" i="7"/>
  <c r="BA3" i="7"/>
  <c r="FK3" i="7"/>
  <c r="CE3" i="7"/>
  <c r="GJ3" i="7"/>
  <c r="DI3" i="7"/>
  <c r="AD3" i="7"/>
  <c r="DV3" i="7"/>
  <c r="CH3" i="7"/>
  <c r="GL3" i="7"/>
  <c r="DL3" i="7"/>
  <c r="AE3" i="7"/>
  <c r="EP3" i="7"/>
  <c r="BI3" i="7"/>
  <c r="FQ3" i="7"/>
  <c r="CM3" i="7"/>
  <c r="GP3" i="7"/>
  <c r="DQ3" i="7"/>
  <c r="AJ3" i="7"/>
  <c r="EB3" i="7"/>
  <c r="CO3" i="7"/>
  <c r="GR3" i="7"/>
  <c r="DS3" i="7"/>
  <c r="AL3" i="7"/>
  <c r="EW3" i="7"/>
  <c r="BP3" i="7"/>
  <c r="FW3" i="7"/>
  <c r="CT3" i="7"/>
  <c r="DX3" i="7"/>
  <c r="AP3" i="7"/>
  <c r="EH3" i="7"/>
  <c r="CV3" i="7"/>
  <c r="O3" i="7"/>
  <c r="DZ3" i="7"/>
  <c r="AS3" i="7"/>
  <c r="FD3" i="7"/>
  <c r="BW3" i="7"/>
  <c r="GC3" i="7"/>
  <c r="DA3" i="7"/>
  <c r="T3" i="7"/>
  <c r="EE3" i="7"/>
  <c r="I68" i="7"/>
  <c r="I32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2" i="7"/>
  <c r="DF32" i="7"/>
  <c r="K32" i="7"/>
  <c r="DG32" i="7"/>
  <c r="L32" i="7"/>
  <c r="DH32" i="7"/>
  <c r="M32" i="7"/>
  <c r="DI32" i="7"/>
  <c r="N32" i="7"/>
  <c r="DJ32" i="7"/>
  <c r="BO32" i="7"/>
  <c r="DQ32" i="7"/>
  <c r="Q32" i="7"/>
  <c r="DL32" i="7"/>
  <c r="R32" i="7"/>
  <c r="DM32" i="7"/>
  <c r="S32" i="7"/>
  <c r="DN32" i="7"/>
  <c r="T32" i="7"/>
  <c r="DO32" i="7"/>
  <c r="V32" i="7"/>
  <c r="DP32" i="7"/>
  <c r="CY32" i="7"/>
  <c r="FA32" i="7"/>
  <c r="X32" i="7"/>
  <c r="DR32" i="7"/>
  <c r="Y32" i="7"/>
  <c r="DS32" i="7"/>
  <c r="Z32" i="7"/>
  <c r="DT32" i="7"/>
  <c r="AB32" i="7"/>
  <c r="DU32" i="7"/>
  <c r="AC32" i="7"/>
  <c r="DV32" i="7"/>
  <c r="EI32" i="7"/>
  <c r="GK32" i="7"/>
  <c r="AE32" i="7"/>
  <c r="DX32" i="7"/>
  <c r="AF32" i="7"/>
  <c r="DY32" i="7"/>
  <c r="AH32" i="7"/>
  <c r="DZ32" i="7"/>
  <c r="AI32" i="7"/>
  <c r="EA32" i="7"/>
  <c r="AJ32" i="7"/>
  <c r="EB32" i="7"/>
  <c r="FS32" i="7"/>
  <c r="P32" i="7"/>
  <c r="AL32" i="7"/>
  <c r="ED32" i="7"/>
  <c r="AM32" i="7"/>
  <c r="EE32" i="7"/>
  <c r="AN32" i="7"/>
  <c r="EF32" i="7"/>
  <c r="AO32" i="7"/>
  <c r="EG32" i="7"/>
  <c r="AP32" i="7"/>
  <c r="EH32" i="7"/>
  <c r="AK32" i="7"/>
  <c r="BC32" i="7"/>
  <c r="AR32" i="7"/>
  <c r="EJ32" i="7"/>
  <c r="AS32" i="7"/>
  <c r="EK32" i="7"/>
  <c r="AT32" i="7"/>
  <c r="EL32" i="7"/>
  <c r="AU32" i="7"/>
  <c r="EM32" i="7"/>
  <c r="AV32" i="7"/>
  <c r="EN32" i="7"/>
  <c r="BU32" i="7"/>
  <c r="CM32" i="7"/>
  <c r="AX32" i="7"/>
  <c r="EP32" i="7"/>
  <c r="AY32" i="7"/>
  <c r="EQ32" i="7"/>
  <c r="AZ32" i="7"/>
  <c r="ER32" i="7"/>
  <c r="BA32" i="7"/>
  <c r="ES32" i="7"/>
  <c r="BB32" i="7"/>
  <c r="ET32" i="7"/>
  <c r="DE32" i="7"/>
  <c r="DW32" i="7"/>
  <c r="BD32" i="7"/>
  <c r="EV32" i="7"/>
  <c r="BE32" i="7"/>
  <c r="EW32" i="7"/>
  <c r="BF32" i="7"/>
  <c r="EX32" i="7"/>
  <c r="BG32" i="7"/>
  <c r="EY32" i="7"/>
  <c r="BH32" i="7"/>
  <c r="EZ32" i="7"/>
  <c r="EO32" i="7"/>
  <c r="FG32" i="7"/>
  <c r="BJ32" i="7"/>
  <c r="FB32" i="7"/>
  <c r="BK32" i="7"/>
  <c r="FC32" i="7"/>
  <c r="BL32" i="7"/>
  <c r="FD32" i="7"/>
  <c r="BM32" i="7"/>
  <c r="FE32" i="7"/>
  <c r="BN32" i="7"/>
  <c r="FF32" i="7"/>
  <c r="FY32" i="7"/>
  <c r="GQ32" i="7"/>
  <c r="BP32" i="7"/>
  <c r="FH32" i="7"/>
  <c r="BQ32" i="7"/>
  <c r="FI32" i="7"/>
  <c r="BR32" i="7"/>
  <c r="FJ32" i="7"/>
  <c r="BS32" i="7"/>
  <c r="FK32" i="7"/>
  <c r="BT32" i="7"/>
  <c r="FL32" i="7"/>
  <c r="AQ32" i="7"/>
  <c r="EC32" i="7"/>
  <c r="BV32" i="7"/>
  <c r="FN32" i="7"/>
  <c r="BW32" i="7"/>
  <c r="FO32" i="7"/>
  <c r="BX32" i="7"/>
  <c r="FP32" i="7"/>
  <c r="BY32" i="7"/>
  <c r="FQ32" i="7"/>
  <c r="BZ32" i="7"/>
  <c r="FR32" i="7"/>
  <c r="CA32" i="7"/>
  <c r="FM32" i="7"/>
  <c r="CB32" i="7"/>
  <c r="FT32" i="7"/>
  <c r="CC32" i="7"/>
  <c r="FU32" i="7"/>
  <c r="CD32" i="7"/>
  <c r="FV32" i="7"/>
  <c r="CE32" i="7"/>
  <c r="FW32" i="7"/>
  <c r="CF32" i="7"/>
  <c r="FX32" i="7"/>
  <c r="DK32" i="7"/>
  <c r="W32" i="7"/>
  <c r="O32" i="7"/>
  <c r="CH32" i="7"/>
  <c r="FZ32" i="7"/>
  <c r="CI32" i="7"/>
  <c r="GA32" i="7"/>
  <c r="CJ32" i="7"/>
  <c r="GB32" i="7"/>
  <c r="CK32" i="7"/>
  <c r="GC32" i="7"/>
  <c r="CL32" i="7"/>
  <c r="GD32" i="7"/>
  <c r="EU32" i="7"/>
  <c r="CS32" i="7"/>
  <c r="U32" i="7"/>
  <c r="CN32" i="7"/>
  <c r="GF32" i="7"/>
  <c r="CO32" i="7"/>
  <c r="GG32" i="7"/>
  <c r="CP32" i="7"/>
  <c r="GH32" i="7"/>
  <c r="CQ32" i="7"/>
  <c r="GI32" i="7"/>
  <c r="CR32" i="7"/>
  <c r="GJ32" i="7"/>
  <c r="GE32" i="7"/>
  <c r="BI32" i="7"/>
  <c r="AA32" i="7"/>
  <c r="CT32" i="7"/>
  <c r="GL32" i="7"/>
  <c r="CU32" i="7"/>
  <c r="GM32" i="7"/>
  <c r="CV32" i="7"/>
  <c r="GN32" i="7"/>
  <c r="CW32" i="7"/>
  <c r="GO32" i="7"/>
  <c r="CX32" i="7"/>
  <c r="GP32" i="7"/>
  <c r="AW32" i="7"/>
  <c r="AG32" i="7"/>
  <c r="CZ32" i="7"/>
  <c r="GR32" i="7"/>
  <c r="DA32" i="7"/>
  <c r="GS32" i="7"/>
  <c r="DB32" i="7"/>
  <c r="GT32" i="7"/>
  <c r="DC32" i="7"/>
  <c r="GU32" i="7"/>
  <c r="DD32" i="7"/>
  <c r="AD32" i="7"/>
  <c r="CG32" i="7"/>
  <c r="J66" i="7"/>
  <c r="I66" i="7"/>
  <c r="I28" i="7"/>
  <c r="J28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8" i="7"/>
  <c r="GI28" i="7"/>
  <c r="CL28" i="7"/>
  <c r="GD28" i="7"/>
  <c r="CM28" i="7"/>
  <c r="GE28" i="7"/>
  <c r="CN28" i="7"/>
  <c r="GF28" i="7"/>
  <c r="CO28" i="7"/>
  <c r="GG28" i="7"/>
  <c r="EX28" i="7"/>
  <c r="CV28" i="7"/>
  <c r="CW28" i="7"/>
  <c r="GO28" i="7"/>
  <c r="CR28" i="7"/>
  <c r="GJ28" i="7"/>
  <c r="CS28" i="7"/>
  <c r="GK28" i="7"/>
  <c r="CT28" i="7"/>
  <c r="GL28" i="7"/>
  <c r="CU28" i="7"/>
  <c r="GM28" i="7"/>
  <c r="GH28" i="7"/>
  <c r="EF28" i="7"/>
  <c r="K28" i="7"/>
  <c r="DC28" i="7"/>
  <c r="GU28" i="7"/>
  <c r="CX28" i="7"/>
  <c r="GP28" i="7"/>
  <c r="CY28" i="7"/>
  <c r="GQ28" i="7"/>
  <c r="CZ28" i="7"/>
  <c r="GR28" i="7"/>
  <c r="DA28" i="7"/>
  <c r="GS28" i="7"/>
  <c r="P28" i="7"/>
  <c r="FP28" i="7"/>
  <c r="Q28" i="7"/>
  <c r="DI28" i="7"/>
  <c r="L28" i="7"/>
  <c r="DD28" i="7"/>
  <c r="M28" i="7"/>
  <c r="DE28" i="7"/>
  <c r="N28" i="7"/>
  <c r="DF28" i="7"/>
  <c r="O28" i="7"/>
  <c r="DG28" i="7"/>
  <c r="AH28" i="7"/>
  <c r="AZ28" i="7"/>
  <c r="W28" i="7"/>
  <c r="DO28" i="7"/>
  <c r="R28" i="7"/>
  <c r="DJ28" i="7"/>
  <c r="S28" i="7"/>
  <c r="DK28" i="7"/>
  <c r="T28" i="7"/>
  <c r="DL28" i="7"/>
  <c r="U28" i="7"/>
  <c r="DM28" i="7"/>
  <c r="BR28" i="7"/>
  <c r="CJ28" i="7"/>
  <c r="AC28" i="7"/>
  <c r="DU28" i="7"/>
  <c r="X28" i="7"/>
  <c r="DP28" i="7"/>
  <c r="Y28" i="7"/>
  <c r="DQ28" i="7"/>
  <c r="Z28" i="7"/>
  <c r="DR28" i="7"/>
  <c r="AA28" i="7"/>
  <c r="DS28" i="7"/>
  <c r="DB28" i="7"/>
  <c r="DT28" i="7"/>
  <c r="AI28" i="7"/>
  <c r="EA28" i="7"/>
  <c r="AD28" i="7"/>
  <c r="DV28" i="7"/>
  <c r="AE28" i="7"/>
  <c r="DW28" i="7"/>
  <c r="AF28" i="7"/>
  <c r="DX28" i="7"/>
  <c r="AG28" i="7"/>
  <c r="DY28" i="7"/>
  <c r="EL28" i="7"/>
  <c r="FD28" i="7"/>
  <c r="AO28" i="7"/>
  <c r="EG28" i="7"/>
  <c r="AJ28" i="7"/>
  <c r="EB28" i="7"/>
  <c r="AK28" i="7"/>
  <c r="EC28" i="7"/>
  <c r="AL28" i="7"/>
  <c r="ED28" i="7"/>
  <c r="AM28" i="7"/>
  <c r="EE28" i="7"/>
  <c r="FV28" i="7"/>
  <c r="GN28" i="7"/>
  <c r="AU28" i="7"/>
  <c r="EM28" i="7"/>
  <c r="AP28" i="7"/>
  <c r="EH28" i="7"/>
  <c r="AQ28" i="7"/>
  <c r="EI28" i="7"/>
  <c r="AR28" i="7"/>
  <c r="EJ28" i="7"/>
  <c r="AS28" i="7"/>
  <c r="EK28" i="7"/>
  <c r="AN28" i="7"/>
  <c r="V28" i="7"/>
  <c r="BA28" i="7"/>
  <c r="ES28" i="7"/>
  <c r="AV28" i="7"/>
  <c r="EN28" i="7"/>
  <c r="AW28" i="7"/>
  <c r="EO28" i="7"/>
  <c r="AX28" i="7"/>
  <c r="EP28" i="7"/>
  <c r="AY28" i="7"/>
  <c r="EQ28" i="7"/>
  <c r="BX28" i="7"/>
  <c r="BF28" i="7"/>
  <c r="BG28" i="7"/>
  <c r="EY28" i="7"/>
  <c r="BB28" i="7"/>
  <c r="ET28" i="7"/>
  <c r="BC28" i="7"/>
  <c r="EU28" i="7"/>
  <c r="BD28" i="7"/>
  <c r="EV28" i="7"/>
  <c r="BE28" i="7"/>
  <c r="EW28" i="7"/>
  <c r="DH28" i="7"/>
  <c r="CP28" i="7"/>
  <c r="BM28" i="7"/>
  <c r="FE28" i="7"/>
  <c r="BH28" i="7"/>
  <c r="EZ28" i="7"/>
  <c r="BI28" i="7"/>
  <c r="FA28" i="7"/>
  <c r="BJ28" i="7"/>
  <c r="FB28" i="7"/>
  <c r="BK28" i="7"/>
  <c r="FC28" i="7"/>
  <c r="ER28" i="7"/>
  <c r="DZ28" i="7"/>
  <c r="BS28" i="7"/>
  <c r="FK28" i="7"/>
  <c r="BN28" i="7"/>
  <c r="FF28" i="7"/>
  <c r="BO28" i="7"/>
  <c r="FG28" i="7"/>
  <c r="BP28" i="7"/>
  <c r="FH28" i="7"/>
  <c r="BQ28" i="7"/>
  <c r="FI28" i="7"/>
  <c r="GB28" i="7"/>
  <c r="FJ28" i="7"/>
  <c r="BY28" i="7"/>
  <c r="FQ28" i="7"/>
  <c r="BT28" i="7"/>
  <c r="FL28" i="7"/>
  <c r="BU28" i="7"/>
  <c r="FM28" i="7"/>
  <c r="BV28" i="7"/>
  <c r="FN28" i="7"/>
  <c r="BW28" i="7"/>
  <c r="FO28" i="7"/>
  <c r="AT28" i="7"/>
  <c r="GT28" i="7"/>
  <c r="CE28" i="7"/>
  <c r="FW28" i="7"/>
  <c r="BZ28" i="7"/>
  <c r="FR28" i="7"/>
  <c r="CA28" i="7"/>
  <c r="FS28" i="7"/>
  <c r="CB28" i="7"/>
  <c r="FT28" i="7"/>
  <c r="CC28" i="7"/>
  <c r="FU28" i="7"/>
  <c r="CD28" i="7"/>
  <c r="AB28" i="7"/>
  <c r="CK28" i="7"/>
  <c r="GC28" i="7"/>
  <c r="CF28" i="7"/>
  <c r="FX28" i="7"/>
  <c r="CG28" i="7"/>
  <c r="FY28" i="7"/>
  <c r="CH28" i="7"/>
  <c r="FZ28" i="7"/>
  <c r="CI28" i="7"/>
  <c r="GA28" i="7"/>
  <c r="DN28" i="7"/>
  <c r="BL28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2" i="7"/>
  <c r="CD2" i="7"/>
  <c r="DC2" i="7"/>
  <c r="CX2" i="7"/>
  <c r="CM2" i="7"/>
  <c r="CT2" i="7"/>
  <c r="Q2" i="7"/>
  <c r="DI2" i="7"/>
  <c r="DD2" i="7"/>
  <c r="CS2" i="7"/>
  <c r="DF2" i="7"/>
  <c r="AY2" i="7"/>
  <c r="GL2" i="7"/>
  <c r="W2" i="7"/>
  <c r="R2" i="7"/>
  <c r="DJ2" i="7"/>
  <c r="CY2" i="7"/>
  <c r="DO2" i="7"/>
  <c r="BQ2" i="7"/>
  <c r="GR2" i="7"/>
  <c r="FU2" i="7"/>
  <c r="AI2" i="7"/>
  <c r="AD2" i="7"/>
  <c r="S2" i="7"/>
  <c r="DK2" i="7"/>
  <c r="EE2" i="7"/>
  <c r="CU2" i="7"/>
  <c r="AL2" i="7"/>
  <c r="GG2" i="7"/>
  <c r="FJ2" i="7"/>
  <c r="EK2" i="7"/>
  <c r="P2" i="7"/>
  <c r="AO2" i="7"/>
  <c r="AJ2" i="7"/>
  <c r="Y2" i="7"/>
  <c r="DQ2" i="7"/>
  <c r="EL2" i="7"/>
  <c r="DG2" i="7"/>
  <c r="BD2" i="7"/>
  <c r="GM2" i="7"/>
  <c r="FP2" i="7"/>
  <c r="ER2" i="7"/>
  <c r="AB2" i="7"/>
  <c r="BA2" i="7"/>
  <c r="AV2" i="7"/>
  <c r="AK2" i="7"/>
  <c r="EC2" i="7"/>
  <c r="EZ2" i="7"/>
  <c r="DY2" i="7"/>
  <c r="CJ2" i="7"/>
  <c r="U2" i="7"/>
  <c r="GB2" i="7"/>
  <c r="FF2" i="7"/>
  <c r="AN2" i="7"/>
  <c r="BM2" i="7"/>
  <c r="BH2" i="7"/>
  <c r="AW2" i="7"/>
  <c r="EO2" i="7"/>
  <c r="AT2" i="7"/>
  <c r="BS2" i="7"/>
  <c r="BN2" i="7"/>
  <c r="BC2" i="7"/>
  <c r="EU2" i="7"/>
  <c r="FS2" i="7"/>
  <c r="ET2" i="7"/>
  <c r="DS2" i="7"/>
  <c r="BW2" i="7"/>
  <c r="GT2" i="7"/>
  <c r="AZ2" i="7"/>
  <c r="BY2" i="7"/>
  <c r="BT2" i="7"/>
  <c r="BI2" i="7"/>
  <c r="FA2" i="7"/>
  <c r="FY2" i="7"/>
  <c r="FB2" i="7"/>
  <c r="BF2" i="7"/>
  <c r="CE2" i="7"/>
  <c r="BZ2" i="7"/>
  <c r="BO2" i="7"/>
  <c r="AF2" i="7"/>
  <c r="GE2" i="7"/>
  <c r="BL2" i="7"/>
  <c r="CK2" i="7"/>
  <c r="CF2" i="7"/>
  <c r="BU2" i="7"/>
  <c r="AX2" i="7"/>
  <c r="GK2" i="7"/>
  <c r="FN2" i="7"/>
  <c r="EN2" i="7"/>
  <c r="BX2" i="7"/>
  <c r="CW2" i="7"/>
  <c r="CR2" i="7"/>
  <c r="CG2" i="7"/>
  <c r="CH2" i="7"/>
  <c r="O2" i="7"/>
  <c r="AU2" i="7"/>
  <c r="ES2" i="7"/>
  <c r="DH2" i="7"/>
  <c r="EH2" i="7"/>
  <c r="EY2" i="7"/>
  <c r="FW2" i="7"/>
  <c r="BG2" i="7"/>
  <c r="FG2" i="7"/>
  <c r="DZ2" i="7"/>
  <c r="EP2" i="7"/>
  <c r="FL2" i="7"/>
  <c r="CO2" i="7"/>
  <c r="CQ2" i="7"/>
  <c r="FM2" i="7"/>
  <c r="EG2" i="7"/>
  <c r="EW2" i="7"/>
  <c r="FR2" i="7"/>
  <c r="EQ2" i="7"/>
  <c r="X2" i="7"/>
  <c r="GQ2" i="7"/>
  <c r="EV2" i="7"/>
  <c r="FD2" i="7"/>
  <c r="FX2" i="7"/>
  <c r="GC2" i="7"/>
  <c r="AP2" i="7"/>
  <c r="AG2" i="7"/>
  <c r="FC2" i="7"/>
  <c r="FV2" i="7"/>
  <c r="GD2" i="7"/>
  <c r="DA2" i="7"/>
  <c r="BB2" i="7"/>
  <c r="CI2" i="7"/>
  <c r="FI2" i="7"/>
  <c r="GH2" i="7"/>
  <c r="GJ2" i="7"/>
  <c r="EX2" i="7"/>
  <c r="CL2" i="7"/>
  <c r="DR2" i="7"/>
  <c r="FO2" i="7"/>
  <c r="GN2" i="7"/>
  <c r="GP2" i="7"/>
  <c r="GI2" i="7"/>
  <c r="DP2" i="7"/>
  <c r="EF2" i="7"/>
  <c r="GA2" i="7"/>
  <c r="AA2" i="7"/>
  <c r="AR2" i="7"/>
  <c r="Z2" i="7"/>
  <c r="AE2" i="7"/>
  <c r="EM2" i="7"/>
  <c r="GS2" i="7"/>
  <c r="AS2" i="7"/>
  <c r="DU2" i="7"/>
  <c r="DM2" i="7"/>
  <c r="AQ2" i="7"/>
  <c r="FH2" i="7"/>
  <c r="AM2" i="7"/>
  <c r="BK2" i="7"/>
  <c r="FK2" i="7"/>
  <c r="FE2" i="7"/>
  <c r="CA2" i="7"/>
  <c r="FT2" i="7"/>
  <c r="BE2" i="7"/>
  <c r="CC2" i="7"/>
  <c r="GU2" i="7"/>
  <c r="GO2" i="7"/>
  <c r="DE2" i="7"/>
  <c r="FZ2" i="7"/>
  <c r="CN2" i="7"/>
  <c r="CP2" i="7"/>
  <c r="BJ2" i="7"/>
  <c r="V2" i="7"/>
  <c r="DW2" i="7"/>
  <c r="GF2" i="7"/>
  <c r="CZ2" i="7"/>
  <c r="DB2" i="7"/>
  <c r="EB2" i="7"/>
  <c r="AH2" i="7"/>
  <c r="EI2" i="7"/>
  <c r="T2" i="7"/>
  <c r="DL2" i="7"/>
  <c r="DN2" i="7"/>
  <c r="FQ2" i="7"/>
  <c r="BR2" i="7"/>
  <c r="BP2" i="7"/>
  <c r="BV2" i="7"/>
  <c r="DT2" i="7"/>
  <c r="DV2" i="7"/>
  <c r="CB2" i="7"/>
  <c r="AC2" i="7"/>
  <c r="DX2" i="7"/>
  <c r="CV2" i="7"/>
  <c r="EA2" i="7"/>
  <c r="ED2" i="7"/>
  <c r="EJ2" i="7"/>
  <c r="I5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5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5" i="7"/>
  <c r="FI5" i="7"/>
  <c r="BR5" i="7"/>
  <c r="FJ5" i="7"/>
  <c r="BM5" i="7"/>
  <c r="FE5" i="7"/>
  <c r="BH5" i="7"/>
  <c r="EZ5" i="7"/>
  <c r="BI5" i="7"/>
  <c r="FA5" i="7"/>
  <c r="BJ5" i="7"/>
  <c r="FB5" i="7"/>
  <c r="BW5" i="7"/>
  <c r="FO5" i="7"/>
  <c r="BX5" i="7"/>
  <c r="FP5" i="7"/>
  <c r="BS5" i="7"/>
  <c r="FK5" i="7"/>
  <c r="BN5" i="7"/>
  <c r="FF5" i="7"/>
  <c r="BO5" i="7"/>
  <c r="FG5" i="7"/>
  <c r="BP5" i="7"/>
  <c r="FH5" i="7"/>
  <c r="CC5" i="7"/>
  <c r="FU5" i="7"/>
  <c r="CD5" i="7"/>
  <c r="FV5" i="7"/>
  <c r="BY5" i="7"/>
  <c r="FQ5" i="7"/>
  <c r="BT5" i="7"/>
  <c r="FL5" i="7"/>
  <c r="BU5" i="7"/>
  <c r="FM5" i="7"/>
  <c r="BV5" i="7"/>
  <c r="FN5" i="7"/>
  <c r="CI5" i="7"/>
  <c r="GA5" i="7"/>
  <c r="CJ5" i="7"/>
  <c r="GB5" i="7"/>
  <c r="CE5" i="7"/>
  <c r="FW5" i="7"/>
  <c r="BZ5" i="7"/>
  <c r="FR5" i="7"/>
  <c r="CA5" i="7"/>
  <c r="CO5" i="7"/>
  <c r="GG5" i="7"/>
  <c r="CP5" i="7"/>
  <c r="GH5" i="7"/>
  <c r="CK5" i="7"/>
  <c r="GC5" i="7"/>
  <c r="CF5" i="7"/>
  <c r="FX5" i="7"/>
  <c r="CG5" i="7"/>
  <c r="FY5" i="7"/>
  <c r="CH5" i="7"/>
  <c r="FZ5" i="7"/>
  <c r="CU5" i="7"/>
  <c r="GM5" i="7"/>
  <c r="CV5" i="7"/>
  <c r="GN5" i="7"/>
  <c r="CQ5" i="7"/>
  <c r="GI5" i="7"/>
  <c r="CL5" i="7"/>
  <c r="GD5" i="7"/>
  <c r="CM5" i="7"/>
  <c r="GE5" i="7"/>
  <c r="CN5" i="7"/>
  <c r="GF5" i="7"/>
  <c r="DA5" i="7"/>
  <c r="GS5" i="7"/>
  <c r="DB5" i="7"/>
  <c r="GT5" i="7"/>
  <c r="CW5" i="7"/>
  <c r="GO5" i="7"/>
  <c r="CR5" i="7"/>
  <c r="GJ5" i="7"/>
  <c r="CS5" i="7"/>
  <c r="GK5" i="7"/>
  <c r="CT5" i="7"/>
  <c r="GL5" i="7"/>
  <c r="O5" i="7"/>
  <c r="DG5" i="7"/>
  <c r="P5" i="7"/>
  <c r="DH5" i="7"/>
  <c r="K5" i="7"/>
  <c r="DC5" i="7"/>
  <c r="GU5" i="7"/>
  <c r="CX5" i="7"/>
  <c r="GP5" i="7"/>
  <c r="CY5" i="7"/>
  <c r="GQ5" i="7"/>
  <c r="CZ5" i="7"/>
  <c r="GR5" i="7"/>
  <c r="U5" i="7"/>
  <c r="DM5" i="7"/>
  <c r="V5" i="7"/>
  <c r="DN5" i="7"/>
  <c r="Q5" i="7"/>
  <c r="DI5" i="7"/>
  <c r="L5" i="7"/>
  <c r="AA5" i="7"/>
  <c r="DS5" i="7"/>
  <c r="AB5" i="7"/>
  <c r="DT5" i="7"/>
  <c r="W5" i="7"/>
  <c r="DO5" i="7"/>
  <c r="R5" i="7"/>
  <c r="DJ5" i="7"/>
  <c r="S5" i="7"/>
  <c r="DK5" i="7"/>
  <c r="T5" i="7"/>
  <c r="DL5" i="7"/>
  <c r="AG5" i="7"/>
  <c r="DY5" i="7"/>
  <c r="AH5" i="7"/>
  <c r="DZ5" i="7"/>
  <c r="AC5" i="7"/>
  <c r="DU5" i="7"/>
  <c r="X5" i="7"/>
  <c r="DP5" i="7"/>
  <c r="Y5" i="7"/>
  <c r="DQ5" i="7"/>
  <c r="Z5" i="7"/>
  <c r="DR5" i="7"/>
  <c r="AM5" i="7"/>
  <c r="EE5" i="7"/>
  <c r="AN5" i="7"/>
  <c r="EF5" i="7"/>
  <c r="AI5" i="7"/>
  <c r="EA5" i="7"/>
  <c r="AD5" i="7"/>
  <c r="DV5" i="7"/>
  <c r="AE5" i="7"/>
  <c r="DW5" i="7"/>
  <c r="AF5" i="7"/>
  <c r="DX5" i="7"/>
  <c r="AS5" i="7"/>
  <c r="EK5" i="7"/>
  <c r="AT5" i="7"/>
  <c r="EL5" i="7"/>
  <c r="AO5" i="7"/>
  <c r="EG5" i="7"/>
  <c r="AJ5" i="7"/>
  <c r="EB5" i="7"/>
  <c r="AK5" i="7"/>
  <c r="EC5" i="7"/>
  <c r="AL5" i="7"/>
  <c r="ED5" i="7"/>
  <c r="AY5" i="7"/>
  <c r="EQ5" i="7"/>
  <c r="AZ5" i="7"/>
  <c r="ER5" i="7"/>
  <c r="AU5" i="7"/>
  <c r="EM5" i="7"/>
  <c r="AP5" i="7"/>
  <c r="EH5" i="7"/>
  <c r="AQ5" i="7"/>
  <c r="EI5" i="7"/>
  <c r="AR5" i="7"/>
  <c r="EJ5" i="7"/>
  <c r="BE5" i="7"/>
  <c r="EW5" i="7"/>
  <c r="BF5" i="7"/>
  <c r="EX5" i="7"/>
  <c r="BA5" i="7"/>
  <c r="ES5" i="7"/>
  <c r="AV5" i="7"/>
  <c r="EN5" i="7"/>
  <c r="AW5" i="7"/>
  <c r="EO5" i="7"/>
  <c r="AX5" i="7"/>
  <c r="EP5" i="7"/>
  <c r="BK5" i="7"/>
  <c r="FC5" i="7"/>
  <c r="BL5" i="7"/>
  <c r="FD5" i="7"/>
  <c r="BG5" i="7"/>
  <c r="EY5" i="7"/>
  <c r="BB5" i="7"/>
  <c r="ET5" i="7"/>
  <c r="BC5" i="7"/>
  <c r="EU5" i="7"/>
  <c r="BD5" i="7"/>
  <c r="EV5" i="7"/>
  <c r="DD5" i="7"/>
  <c r="M5" i="7"/>
  <c r="DE5" i="7"/>
  <c r="FS5" i="7"/>
  <c r="N5" i="7"/>
  <c r="CB5" i="7"/>
  <c r="DF5" i="7"/>
  <c r="FT5" i="7"/>
  <c r="H60" i="7"/>
  <c r="H22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2" i="7"/>
  <c r="J22" i="7"/>
  <c r="P22" i="7"/>
  <c r="V22" i="7"/>
  <c r="W22" i="7"/>
  <c r="K22" i="7"/>
  <c r="L22" i="7"/>
  <c r="Q22" i="7"/>
  <c r="R22" i="7"/>
  <c r="X22" i="7"/>
  <c r="M22" i="7"/>
  <c r="S22" i="7"/>
  <c r="Y22" i="7"/>
  <c r="N22" i="7"/>
  <c r="T22" i="7"/>
  <c r="I22" i="7"/>
  <c r="O22" i="7"/>
  <c r="CE22" i="7"/>
  <c r="FW22" i="7"/>
  <c r="CR22" i="7"/>
  <c r="GJ22" i="7"/>
  <c r="DK22" i="7"/>
  <c r="AF22" i="7"/>
  <c r="DX22" i="7"/>
  <c r="AS22" i="7"/>
  <c r="EK22" i="7"/>
  <c r="BF22" i="7"/>
  <c r="EX22" i="7"/>
  <c r="CK22" i="7"/>
  <c r="GC22" i="7"/>
  <c r="CX22" i="7"/>
  <c r="GP22" i="7"/>
  <c r="DQ22" i="7"/>
  <c r="AL22" i="7"/>
  <c r="ED22" i="7"/>
  <c r="AY22" i="7"/>
  <c r="EQ22" i="7"/>
  <c r="BL22" i="7"/>
  <c r="FD22" i="7"/>
  <c r="CQ22" i="7"/>
  <c r="GI22" i="7"/>
  <c r="DD22" i="7"/>
  <c r="AE22" i="7"/>
  <c r="DW22" i="7"/>
  <c r="AR22" i="7"/>
  <c r="EJ22" i="7"/>
  <c r="BE22" i="7"/>
  <c r="EW22" i="7"/>
  <c r="BR22" i="7"/>
  <c r="FJ22" i="7"/>
  <c r="CW22" i="7"/>
  <c r="GO22" i="7"/>
  <c r="DJ22" i="7"/>
  <c r="AK22" i="7"/>
  <c r="EC22" i="7"/>
  <c r="AX22" i="7"/>
  <c r="EP22" i="7"/>
  <c r="BK22" i="7"/>
  <c r="FC22" i="7"/>
  <c r="BX22" i="7"/>
  <c r="FP22" i="7"/>
  <c r="DC22" i="7"/>
  <c r="GU22" i="7"/>
  <c r="DP22" i="7"/>
  <c r="AQ22" i="7"/>
  <c r="EI22" i="7"/>
  <c r="BD22" i="7"/>
  <c r="EV22" i="7"/>
  <c r="BQ22" i="7"/>
  <c r="FI22" i="7"/>
  <c r="CD22" i="7"/>
  <c r="FV22" i="7"/>
  <c r="DI22" i="7"/>
  <c r="AD22" i="7"/>
  <c r="DV22" i="7"/>
  <c r="AW22" i="7"/>
  <c r="EO22" i="7"/>
  <c r="BJ22" i="7"/>
  <c r="FB22" i="7"/>
  <c r="BW22" i="7"/>
  <c r="FO22" i="7"/>
  <c r="CJ22" i="7"/>
  <c r="GB22" i="7"/>
  <c r="DO22" i="7"/>
  <c r="AJ22" i="7"/>
  <c r="EB22" i="7"/>
  <c r="BC22" i="7"/>
  <c r="EU22" i="7"/>
  <c r="BP22" i="7"/>
  <c r="FH22" i="7"/>
  <c r="CC22" i="7"/>
  <c r="FU22" i="7"/>
  <c r="CP22" i="7"/>
  <c r="GH22" i="7"/>
  <c r="AC22" i="7"/>
  <c r="DU22" i="7"/>
  <c r="AP22" i="7"/>
  <c r="EH22" i="7"/>
  <c r="BI22" i="7"/>
  <c r="FA22" i="7"/>
  <c r="BV22" i="7"/>
  <c r="FN22" i="7"/>
  <c r="CI22" i="7"/>
  <c r="GA22" i="7"/>
  <c r="CV22" i="7"/>
  <c r="GN22" i="7"/>
  <c r="AI22" i="7"/>
  <c r="EA22" i="7"/>
  <c r="AV22" i="7"/>
  <c r="EN22" i="7"/>
  <c r="BO22" i="7"/>
  <c r="FG22" i="7"/>
  <c r="CB22" i="7"/>
  <c r="FT22" i="7"/>
  <c r="CO22" i="7"/>
  <c r="GG22" i="7"/>
  <c r="DB22" i="7"/>
  <c r="GT22" i="7"/>
  <c r="AO22" i="7"/>
  <c r="EG22" i="7"/>
  <c r="BB22" i="7"/>
  <c r="ET22" i="7"/>
  <c r="BU22" i="7"/>
  <c r="FM22" i="7"/>
  <c r="CH22" i="7"/>
  <c r="FZ22" i="7"/>
  <c r="CU22" i="7"/>
  <c r="GM22" i="7"/>
  <c r="DH22" i="7"/>
  <c r="AU22" i="7"/>
  <c r="EM22" i="7"/>
  <c r="BH22" i="7"/>
  <c r="EZ22" i="7"/>
  <c r="CA22" i="7"/>
  <c r="FS22" i="7"/>
  <c r="CN22" i="7"/>
  <c r="GF22" i="7"/>
  <c r="DA22" i="7"/>
  <c r="GS22" i="7"/>
  <c r="DN22" i="7"/>
  <c r="BA22" i="7"/>
  <c r="ES22" i="7"/>
  <c r="BN22" i="7"/>
  <c r="FF22" i="7"/>
  <c r="CG22" i="7"/>
  <c r="FY22" i="7"/>
  <c r="CT22" i="7"/>
  <c r="GL22" i="7"/>
  <c r="DG22" i="7"/>
  <c r="AB22" i="7"/>
  <c r="DT22" i="7"/>
  <c r="BG22" i="7"/>
  <c r="EY22" i="7"/>
  <c r="BT22" i="7"/>
  <c r="FL22" i="7"/>
  <c r="CM22" i="7"/>
  <c r="GE22" i="7"/>
  <c r="CZ22" i="7"/>
  <c r="GR22" i="7"/>
  <c r="DM22" i="7"/>
  <c r="AH22" i="7"/>
  <c r="DZ22" i="7"/>
  <c r="BM22" i="7"/>
  <c r="FE22" i="7"/>
  <c r="BZ22" i="7"/>
  <c r="FR22" i="7"/>
  <c r="CS22" i="7"/>
  <c r="GK22" i="7"/>
  <c r="DF22" i="7"/>
  <c r="AA22" i="7"/>
  <c r="DS22" i="7"/>
  <c r="AN22" i="7"/>
  <c r="EF22" i="7"/>
  <c r="BS22" i="7"/>
  <c r="FK22" i="7"/>
  <c r="CF22" i="7"/>
  <c r="FX22" i="7"/>
  <c r="CY22" i="7"/>
  <c r="GQ22" i="7"/>
  <c r="DL22" i="7"/>
  <c r="AG22" i="7"/>
  <c r="DY22" i="7"/>
  <c r="AT22" i="7"/>
  <c r="EL22" i="7"/>
  <c r="BY22" i="7"/>
  <c r="FQ22" i="7"/>
  <c r="CL22" i="7"/>
  <c r="GD22" i="7"/>
  <c r="DE22" i="7"/>
  <c r="Z22" i="7"/>
  <c r="DR22" i="7"/>
  <c r="AM22" i="7"/>
  <c r="EE22" i="7"/>
  <c r="AZ22" i="7"/>
  <c r="ER22" i="7"/>
  <c r="J7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7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7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7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7" i="7"/>
  <c r="AQ7" i="7"/>
  <c r="DD7" i="7"/>
  <c r="AD7" i="7"/>
  <c r="DG7" i="7"/>
  <c r="GJ7" i="7"/>
  <c r="CT7" i="7"/>
  <c r="FW7" i="7"/>
  <c r="CG7" i="7"/>
  <c r="FJ7" i="7"/>
  <c r="BT7" i="7"/>
  <c r="EW7" i="7"/>
  <c r="EZ7" i="7"/>
  <c r="P7" i="7"/>
  <c r="BG7" i="7"/>
  <c r="DT7" i="7"/>
  <c r="AT7" i="7"/>
  <c r="DW7" i="7"/>
  <c r="AG7" i="7"/>
  <c r="DJ7" i="7"/>
  <c r="GM7" i="7"/>
  <c r="CW7" i="7"/>
  <c r="FZ7" i="7"/>
  <c r="CJ7" i="7"/>
  <c r="FM7" i="7"/>
  <c r="BM7" i="7"/>
  <c r="V7" i="7"/>
  <c r="BW7" i="7"/>
  <c r="EJ7" i="7"/>
  <c r="BJ7" i="7"/>
  <c r="EM7" i="7"/>
  <c r="AW7" i="7"/>
  <c r="DZ7" i="7"/>
  <c r="AJ7" i="7"/>
  <c r="DM7" i="7"/>
  <c r="GP7" i="7"/>
  <c r="CZ7" i="7"/>
  <c r="GC7" i="7"/>
  <c r="BZ7" i="7"/>
  <c r="O7" i="7"/>
  <c r="CM7" i="7"/>
  <c r="EC7" i="7"/>
  <c r="AM7" i="7"/>
  <c r="DP7" i="7"/>
  <c r="GS7" i="7"/>
  <c r="Q7" i="7"/>
  <c r="DC7" i="7"/>
  <c r="FP7" i="7"/>
  <c r="CP7" i="7"/>
  <c r="FS7" i="7"/>
  <c r="CC7" i="7"/>
  <c r="FF7" i="7"/>
  <c r="BP7" i="7"/>
  <c r="ES7" i="7"/>
  <c r="BC7" i="7"/>
  <c r="EF7" i="7"/>
  <c r="Z7" i="7"/>
  <c r="U7" i="7"/>
  <c r="DS7" i="7"/>
  <c r="GF7" i="7"/>
  <c r="DF7" i="7"/>
  <c r="GI7" i="7"/>
  <c r="CS7" i="7"/>
  <c r="FV7" i="7"/>
  <c r="CF7" i="7"/>
  <c r="FI7" i="7"/>
  <c r="BS7" i="7"/>
  <c r="EV7" i="7"/>
  <c r="AP7" i="7"/>
  <c r="W7" i="7"/>
  <c r="EI7" i="7"/>
  <c r="AC7" i="7"/>
  <c r="DV7" i="7"/>
  <c r="AF7" i="7"/>
  <c r="DI7" i="7"/>
  <c r="GL7" i="7"/>
  <c r="CV7" i="7"/>
  <c r="FY7" i="7"/>
  <c r="CI7" i="7"/>
  <c r="FL7" i="7"/>
  <c r="BF7" i="7"/>
  <c r="EY7" i="7"/>
  <c r="BI7" i="7"/>
  <c r="EL7" i="7"/>
  <c r="AV7" i="7"/>
  <c r="DY7" i="7"/>
  <c r="AI7" i="7"/>
  <c r="DL7" i="7"/>
  <c r="GO7" i="7"/>
  <c r="CY7" i="7"/>
  <c r="GB7" i="7"/>
  <c r="BV7" i="7"/>
  <c r="FO7" i="7"/>
  <c r="BY7" i="7"/>
  <c r="FB7" i="7"/>
  <c r="BL7" i="7"/>
  <c r="EO7" i="7"/>
  <c r="AY7" i="7"/>
  <c r="EB7" i="7"/>
  <c r="AL7" i="7"/>
  <c r="DO7" i="7"/>
  <c r="GR7" i="7"/>
  <c r="CL7" i="7"/>
  <c r="GE7" i="7"/>
  <c r="CO7" i="7"/>
  <c r="FR7" i="7"/>
  <c r="CB7" i="7"/>
  <c r="FE7" i="7"/>
  <c r="BO7" i="7"/>
  <c r="ER7" i="7"/>
  <c r="BB7" i="7"/>
  <c r="EE7" i="7"/>
  <c r="AO7" i="7"/>
  <c r="DB7" i="7"/>
  <c r="R7" i="7"/>
  <c r="GU7" i="7"/>
  <c r="DE7" i="7"/>
  <c r="GH7" i="7"/>
  <c r="CR7" i="7"/>
  <c r="FU7" i="7"/>
  <c r="CE7" i="7"/>
  <c r="FH7" i="7"/>
  <c r="BR7" i="7"/>
  <c r="EU7" i="7"/>
  <c r="BE7" i="7"/>
  <c r="DR7" i="7"/>
  <c r="X7" i="7"/>
  <c r="AB7" i="7"/>
  <c r="DU7" i="7"/>
  <c r="AE7" i="7"/>
  <c r="DH7" i="7"/>
  <c r="GK7" i="7"/>
  <c r="CU7" i="7"/>
  <c r="FX7" i="7"/>
  <c r="CH7" i="7"/>
  <c r="FK7" i="7"/>
  <c r="BU7" i="7"/>
  <c r="EH7" i="7"/>
  <c r="M7" i="7"/>
  <c r="AR7" i="7"/>
  <c r="EK7" i="7"/>
  <c r="AU7" i="7"/>
  <c r="DX7" i="7"/>
  <c r="AH7" i="7"/>
  <c r="DK7" i="7"/>
  <c r="GN7" i="7"/>
  <c r="CX7" i="7"/>
  <c r="GA7" i="7"/>
  <c r="CK7" i="7"/>
  <c r="EX7" i="7"/>
  <c r="S7" i="7"/>
  <c r="BH7" i="7"/>
  <c r="FA7" i="7"/>
  <c r="BK7" i="7"/>
  <c r="EN7" i="7"/>
  <c r="AX7" i="7"/>
  <c r="EA7" i="7"/>
  <c r="AK7" i="7"/>
  <c r="DN7" i="7"/>
  <c r="GQ7" i="7"/>
  <c r="DA7" i="7"/>
  <c r="FN7" i="7"/>
  <c r="FC7" i="7"/>
  <c r="Y7" i="7"/>
  <c r="BX7" i="7"/>
  <c r="FQ7" i="7"/>
  <c r="CA7" i="7"/>
  <c r="FD7" i="7"/>
  <c r="BN7" i="7"/>
  <c r="EQ7" i="7"/>
  <c r="BA7" i="7"/>
  <c r="ED7" i="7"/>
  <c r="AN7" i="7"/>
  <c r="DQ7" i="7"/>
  <c r="GD7" i="7"/>
  <c r="AZ7" i="7"/>
  <c r="N7" i="7"/>
  <c r="AA7" i="7"/>
  <c r="CN7" i="7"/>
  <c r="GG7" i="7"/>
  <c r="CQ7" i="7"/>
  <c r="FT7" i="7"/>
  <c r="CD7" i="7"/>
  <c r="FG7" i="7"/>
  <c r="BQ7" i="7"/>
  <c r="ET7" i="7"/>
  <c r="BD7" i="7"/>
  <c r="EG7" i="7"/>
  <c r="GT7" i="7"/>
  <c r="EP7" i="7"/>
  <c r="I49" i="7"/>
  <c r="H49" i="7"/>
  <c r="H13" i="7"/>
  <c r="I13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3" i="7"/>
  <c r="J49" i="7"/>
  <c r="AE13" i="7"/>
  <c r="DW13" i="7"/>
  <c r="AH13" i="7"/>
  <c r="DZ13" i="7"/>
  <c r="CI13" i="7"/>
  <c r="AI13" i="7"/>
  <c r="FV13" i="7"/>
  <c r="DV13" i="7"/>
  <c r="BM13" i="7"/>
  <c r="GT13" i="7"/>
  <c r="ES13" i="7"/>
  <c r="DY13" i="7"/>
  <c r="AK13" i="7"/>
  <c r="EC13" i="7"/>
  <c r="AN13" i="7"/>
  <c r="EF13" i="7"/>
  <c r="CR13" i="7"/>
  <c r="AR13" i="7"/>
  <c r="GC13" i="7"/>
  <c r="EE13" i="7"/>
  <c r="BV13" i="7"/>
  <c r="N13" i="7"/>
  <c r="FB13" i="7"/>
  <c r="FZ13" i="7"/>
  <c r="AQ13" i="7"/>
  <c r="EI13" i="7"/>
  <c r="AT13" i="7"/>
  <c r="EL13" i="7"/>
  <c r="DA13" i="7"/>
  <c r="BA13" i="7"/>
  <c r="GJ13" i="7"/>
  <c r="EN13" i="7"/>
  <c r="CE13" i="7"/>
  <c r="W13" i="7"/>
  <c r="FK13" i="7"/>
  <c r="AD13" i="7"/>
  <c r="AW13" i="7"/>
  <c r="EO13" i="7"/>
  <c r="AZ13" i="7"/>
  <c r="ER13" i="7"/>
  <c r="DJ13" i="7"/>
  <c r="BJ13" i="7"/>
  <c r="GR13" i="7"/>
  <c r="EW13" i="7"/>
  <c r="CN13" i="7"/>
  <c r="AF13" i="7"/>
  <c r="FT13" i="7"/>
  <c r="CF13" i="7"/>
  <c r="BC13" i="7"/>
  <c r="EU13" i="7"/>
  <c r="BF13" i="7"/>
  <c r="EX13" i="7"/>
  <c r="DS13" i="7"/>
  <c r="BS13" i="7"/>
  <c r="R13" i="7"/>
  <c r="FF13" i="7"/>
  <c r="CW13" i="7"/>
  <c r="AO13" i="7"/>
  <c r="GA13" i="7"/>
  <c r="EH13" i="7"/>
  <c r="BI13" i="7"/>
  <c r="FA13" i="7"/>
  <c r="BL13" i="7"/>
  <c r="FD13" i="7"/>
  <c r="EB13" i="7"/>
  <c r="CB13" i="7"/>
  <c r="AA13" i="7"/>
  <c r="FO13" i="7"/>
  <c r="DF13" i="7"/>
  <c r="AX13" i="7"/>
  <c r="GH13" i="7"/>
  <c r="GG13" i="7"/>
  <c r="BO13" i="7"/>
  <c r="FG13" i="7"/>
  <c r="BR13" i="7"/>
  <c r="FJ13" i="7"/>
  <c r="EK13" i="7"/>
  <c r="CK13" i="7"/>
  <c r="AJ13" i="7"/>
  <c r="FW13" i="7"/>
  <c r="DO13" i="7"/>
  <c r="BG13" i="7"/>
  <c r="GO13" i="7"/>
  <c r="AM13" i="7"/>
  <c r="BU13" i="7"/>
  <c r="FM13" i="7"/>
  <c r="BX13" i="7"/>
  <c r="FP13" i="7"/>
  <c r="ET13" i="7"/>
  <c r="CT13" i="7"/>
  <c r="AS13" i="7"/>
  <c r="GD13" i="7"/>
  <c r="DX13" i="7"/>
  <c r="BP13" i="7"/>
  <c r="BE13" i="7"/>
  <c r="CO13" i="7"/>
  <c r="CA13" i="7"/>
  <c r="FS13" i="7"/>
  <c r="CD13" i="7"/>
  <c r="O13" i="7"/>
  <c r="FC13" i="7"/>
  <c r="DC13" i="7"/>
  <c r="BB13" i="7"/>
  <c r="GL13" i="7"/>
  <c r="EG13" i="7"/>
  <c r="BY13" i="7"/>
  <c r="DG13" i="7"/>
  <c r="EQ13" i="7"/>
  <c r="CG13" i="7"/>
  <c r="FY13" i="7"/>
  <c r="CJ13" i="7"/>
  <c r="X13" i="7"/>
  <c r="FL13" i="7"/>
  <c r="DL13" i="7"/>
  <c r="BK13" i="7"/>
  <c r="GS13" i="7"/>
  <c r="EP13" i="7"/>
  <c r="CH13" i="7"/>
  <c r="FI13" i="7"/>
  <c r="GN13" i="7"/>
  <c r="CM13" i="7"/>
  <c r="GE13" i="7"/>
  <c r="CP13" i="7"/>
  <c r="AG13" i="7"/>
  <c r="FU13" i="7"/>
  <c r="DU13" i="7"/>
  <c r="BT13" i="7"/>
  <c r="K13" i="7"/>
  <c r="EY13" i="7"/>
  <c r="CQ13" i="7"/>
  <c r="L13" i="7"/>
  <c r="AV13" i="7"/>
  <c r="CS13" i="7"/>
  <c r="GK13" i="7"/>
  <c r="CV13" i="7"/>
  <c r="AP13" i="7"/>
  <c r="GB13" i="7"/>
  <c r="ED13" i="7"/>
  <c r="CC13" i="7"/>
  <c r="T13" i="7"/>
  <c r="FH13" i="7"/>
  <c r="CZ13" i="7"/>
  <c r="BN13" i="7"/>
  <c r="CX13" i="7"/>
  <c r="CY13" i="7"/>
  <c r="GQ13" i="7"/>
  <c r="DB13" i="7"/>
  <c r="AY13" i="7"/>
  <c r="GI13" i="7"/>
  <c r="EM13" i="7"/>
  <c r="CL13" i="7"/>
  <c r="AC13" i="7"/>
  <c r="FQ13" i="7"/>
  <c r="DI13" i="7"/>
  <c r="DP13" i="7"/>
  <c r="EZ13" i="7"/>
  <c r="M13" i="7"/>
  <c r="DE13" i="7"/>
  <c r="P13" i="7"/>
  <c r="DH13" i="7"/>
  <c r="BH13" i="7"/>
  <c r="GP13" i="7"/>
  <c r="EV13" i="7"/>
  <c r="CU13" i="7"/>
  <c r="AL13" i="7"/>
  <c r="FX13" i="7"/>
  <c r="DR13" i="7"/>
  <c r="FR13" i="7"/>
  <c r="GU13" i="7"/>
  <c r="S13" i="7"/>
  <c r="Y13" i="7"/>
  <c r="DQ13" i="7"/>
  <c r="AB13" i="7"/>
  <c r="DT13" i="7"/>
  <c r="BZ13" i="7"/>
  <c r="Z13" i="7"/>
  <c r="FN13" i="7"/>
  <c r="DM13" i="7"/>
  <c r="BD13" i="7"/>
  <c r="GM13" i="7"/>
  <c r="EJ13" i="7"/>
  <c r="BW13" i="7"/>
  <c r="Q13" i="7"/>
  <c r="FE13" i="7"/>
  <c r="DD13" i="7"/>
  <c r="AU13" i="7"/>
  <c r="GF13" i="7"/>
  <c r="EA13" i="7"/>
  <c r="U13" i="7"/>
  <c r="DK13" i="7"/>
  <c r="V13" i="7"/>
  <c r="DN13" i="7"/>
  <c r="BQ13" i="7"/>
  <c r="AC1252" i="1"/>
  <c r="K47" i="7"/>
  <c r="J47" i="7"/>
  <c r="I47" i="7"/>
  <c r="I10" i="7"/>
  <c r="J10" i="7"/>
  <c r="K10" i="7"/>
  <c r="I62" i="7"/>
  <c r="I27" i="7"/>
  <c r="J62" i="7"/>
  <c r="J27" i="7"/>
  <c r="K43" i="7"/>
  <c r="J43" i="7"/>
  <c r="J3" i="7"/>
  <c r="K3" i="7"/>
  <c r="M43" i="7"/>
  <c r="L43" i="7"/>
  <c r="L3" i="7"/>
  <c r="M3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4" i="7"/>
  <c r="FA24" i="7"/>
  <c r="BJ24" i="7"/>
  <c r="FB24" i="7"/>
  <c r="BK24" i="7"/>
  <c r="FC24" i="7"/>
  <c r="BL24" i="7"/>
  <c r="FD24" i="7"/>
  <c r="BM24" i="7"/>
  <c r="FE24" i="7"/>
  <c r="BN24" i="7"/>
  <c r="FF24" i="7"/>
  <c r="BO24" i="7"/>
  <c r="FG24" i="7"/>
  <c r="BP24" i="7"/>
  <c r="FH24" i="7"/>
  <c r="BQ24" i="7"/>
  <c r="FI24" i="7"/>
  <c r="BR24" i="7"/>
  <c r="FJ24" i="7"/>
  <c r="BS24" i="7"/>
  <c r="FK24" i="7"/>
  <c r="BT24" i="7"/>
  <c r="FL24" i="7"/>
  <c r="BU24" i="7"/>
  <c r="FM24" i="7"/>
  <c r="BV24" i="7"/>
  <c r="FN24" i="7"/>
  <c r="BW24" i="7"/>
  <c r="FO24" i="7"/>
  <c r="BX24" i="7"/>
  <c r="FP24" i="7"/>
  <c r="BY24" i="7"/>
  <c r="FQ24" i="7"/>
  <c r="BZ24" i="7"/>
  <c r="FR24" i="7"/>
  <c r="CA24" i="7"/>
  <c r="FS24" i="7"/>
  <c r="CB24" i="7"/>
  <c r="FT24" i="7"/>
  <c r="CC24" i="7"/>
  <c r="FU24" i="7"/>
  <c r="CD24" i="7"/>
  <c r="FV24" i="7"/>
  <c r="CE24" i="7"/>
  <c r="FW24" i="7"/>
  <c r="CF24" i="7"/>
  <c r="FX24" i="7"/>
  <c r="CG24" i="7"/>
  <c r="FY24" i="7"/>
  <c r="CH24" i="7"/>
  <c r="FZ24" i="7"/>
  <c r="CI24" i="7"/>
  <c r="GA24" i="7"/>
  <c r="CJ24" i="7"/>
  <c r="GB24" i="7"/>
  <c r="CK24" i="7"/>
  <c r="GC24" i="7"/>
  <c r="CL24" i="7"/>
  <c r="GD24" i="7"/>
  <c r="CM24" i="7"/>
  <c r="GE24" i="7"/>
  <c r="CN24" i="7"/>
  <c r="GF24" i="7"/>
  <c r="CO24" i="7"/>
  <c r="GG24" i="7"/>
  <c r="CP24" i="7"/>
  <c r="GH24" i="7"/>
  <c r="CQ24" i="7"/>
  <c r="GI24" i="7"/>
  <c r="CR24" i="7"/>
  <c r="GJ24" i="7"/>
  <c r="S24" i="7"/>
  <c r="CS24" i="7"/>
  <c r="GK24" i="7"/>
  <c r="CT24" i="7"/>
  <c r="GL24" i="7"/>
  <c r="CU24" i="7"/>
  <c r="GM24" i="7"/>
  <c r="CV24" i="7"/>
  <c r="GN24" i="7"/>
  <c r="CW24" i="7"/>
  <c r="GO24" i="7"/>
  <c r="CX24" i="7"/>
  <c r="GP24" i="7"/>
  <c r="Y24" i="7"/>
  <c r="CY24" i="7"/>
  <c r="GQ24" i="7"/>
  <c r="CZ24" i="7"/>
  <c r="GR24" i="7"/>
  <c r="DA24" i="7"/>
  <c r="GS24" i="7"/>
  <c r="DB24" i="7"/>
  <c r="GT24" i="7"/>
  <c r="DC24" i="7"/>
  <c r="GU24" i="7"/>
  <c r="DD24" i="7"/>
  <c r="AE24" i="7"/>
  <c r="DE24" i="7"/>
  <c r="DF24" i="7"/>
  <c r="DG24" i="7"/>
  <c r="DH24" i="7"/>
  <c r="N24" i="7"/>
  <c r="DI24" i="7"/>
  <c r="O24" i="7"/>
  <c r="DJ24" i="7"/>
  <c r="P24" i="7"/>
  <c r="DK24" i="7"/>
  <c r="Q24" i="7"/>
  <c r="DL24" i="7"/>
  <c r="R24" i="7"/>
  <c r="DM24" i="7"/>
  <c r="T24" i="7"/>
  <c r="DN24" i="7"/>
  <c r="U24" i="7"/>
  <c r="DO24" i="7"/>
  <c r="V24" i="7"/>
  <c r="DP24" i="7"/>
  <c r="W24" i="7"/>
  <c r="DQ24" i="7"/>
  <c r="X24" i="7"/>
  <c r="DR24" i="7"/>
  <c r="Z24" i="7"/>
  <c r="DS24" i="7"/>
  <c r="AA24" i="7"/>
  <c r="DT24" i="7"/>
  <c r="AB24" i="7"/>
  <c r="DU24" i="7"/>
  <c r="AC24" i="7"/>
  <c r="DV24" i="7"/>
  <c r="AD24" i="7"/>
  <c r="DW24" i="7"/>
  <c r="AF24" i="7"/>
  <c r="DX24" i="7"/>
  <c r="AG24" i="7"/>
  <c r="DY24" i="7"/>
  <c r="AH24" i="7"/>
  <c r="DZ24" i="7"/>
  <c r="AI24" i="7"/>
  <c r="EA24" i="7"/>
  <c r="AJ24" i="7"/>
  <c r="EB24" i="7"/>
  <c r="AK24" i="7"/>
  <c r="EC24" i="7"/>
  <c r="AL24" i="7"/>
  <c r="ED24" i="7"/>
  <c r="AM24" i="7"/>
  <c r="EE24" i="7"/>
  <c r="AN24" i="7"/>
  <c r="EF24" i="7"/>
  <c r="AO24" i="7"/>
  <c r="EG24" i="7"/>
  <c r="AP24" i="7"/>
  <c r="EH24" i="7"/>
  <c r="AQ24" i="7"/>
  <c r="EI24" i="7"/>
  <c r="AR24" i="7"/>
  <c r="EJ24" i="7"/>
  <c r="AS24" i="7"/>
  <c r="EK24" i="7"/>
  <c r="AT24" i="7"/>
  <c r="EL24" i="7"/>
  <c r="AU24" i="7"/>
  <c r="EM24" i="7"/>
  <c r="AV24" i="7"/>
  <c r="EN24" i="7"/>
  <c r="AW24" i="7"/>
  <c r="EO24" i="7"/>
  <c r="AX24" i="7"/>
  <c r="EP24" i="7"/>
  <c r="AY24" i="7"/>
  <c r="EQ24" i="7"/>
  <c r="AZ24" i="7"/>
  <c r="ER24" i="7"/>
  <c r="BA24" i="7"/>
  <c r="ES24" i="7"/>
  <c r="BB24" i="7"/>
  <c r="ET24" i="7"/>
  <c r="BC24" i="7"/>
  <c r="EU24" i="7"/>
  <c r="BD24" i="7"/>
  <c r="EV24" i="7"/>
  <c r="BE24" i="7"/>
  <c r="EW24" i="7"/>
  <c r="BF24" i="7"/>
  <c r="EX24" i="7"/>
  <c r="BG24" i="7"/>
  <c r="EY24" i="7"/>
  <c r="BH24" i="7"/>
  <c r="EZ24" i="7"/>
  <c r="H66" i="7"/>
  <c r="H28" i="7"/>
  <c r="J38" i="7"/>
  <c r="J2" i="7"/>
  <c r="M38" i="7"/>
  <c r="L38" i="7"/>
  <c r="K38" i="7"/>
  <c r="M2" i="7"/>
  <c r="L2" i="7"/>
  <c r="K2" i="7"/>
  <c r="L55" i="7"/>
  <c r="K55" i="7"/>
  <c r="M55" i="7"/>
  <c r="M24" i="7"/>
  <c r="K24" i="7"/>
  <c r="L24" i="7"/>
  <c r="K51" i="7"/>
  <c r="J51" i="7"/>
  <c r="J16" i="7"/>
  <c r="K16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6" i="7"/>
  <c r="DR16" i="7"/>
  <c r="AA16" i="7"/>
  <c r="DS16" i="7"/>
  <c r="AB16" i="7"/>
  <c r="AR16" i="7"/>
  <c r="AX16" i="7"/>
  <c r="EP16" i="7"/>
  <c r="BP16" i="7"/>
  <c r="BV16" i="7"/>
  <c r="FN16" i="7"/>
  <c r="BW16" i="7"/>
  <c r="FO16" i="7"/>
  <c r="BB16" i="7"/>
  <c r="N16" i="7"/>
  <c r="EV16" i="7"/>
  <c r="BQ16" i="7"/>
  <c r="GA16" i="7"/>
  <c r="BZ16" i="7"/>
  <c r="FR16" i="7"/>
  <c r="EU16" i="7"/>
  <c r="EX16" i="7"/>
  <c r="EY16" i="7"/>
  <c r="FA16" i="7"/>
  <c r="FQ16" i="7"/>
  <c r="DH16" i="7"/>
  <c r="T16" i="7"/>
  <c r="FB16" i="7"/>
  <c r="CC16" i="7"/>
  <c r="GG16" i="7"/>
  <c r="CF16" i="7"/>
  <c r="FX16" i="7"/>
  <c r="FG16" i="7"/>
  <c r="FJ16" i="7"/>
  <c r="FK16" i="7"/>
  <c r="FM16" i="7"/>
  <c r="GC16" i="7"/>
  <c r="GB16" i="7"/>
  <c r="AF16" i="7"/>
  <c r="FH16" i="7"/>
  <c r="CI16" i="7"/>
  <c r="GM16" i="7"/>
  <c r="CL16" i="7"/>
  <c r="GD16" i="7"/>
  <c r="FS16" i="7"/>
  <c r="FV16" i="7"/>
  <c r="FW16" i="7"/>
  <c r="FY16" i="7"/>
  <c r="GO16" i="7"/>
  <c r="AL16" i="7"/>
  <c r="FT16" i="7"/>
  <c r="CO16" i="7"/>
  <c r="GS16" i="7"/>
  <c r="CR16" i="7"/>
  <c r="GJ16" i="7"/>
  <c r="GE16" i="7"/>
  <c r="GH16" i="7"/>
  <c r="GI16" i="7"/>
  <c r="GK16" i="7"/>
  <c r="AZ16" i="7"/>
  <c r="BD16" i="7"/>
  <c r="FZ16" i="7"/>
  <c r="CU16" i="7"/>
  <c r="P16" i="7"/>
  <c r="CX16" i="7"/>
  <c r="GP16" i="7"/>
  <c r="GQ16" i="7"/>
  <c r="GT16" i="7"/>
  <c r="GU16" i="7"/>
  <c r="AC16" i="7"/>
  <c r="DT16" i="7"/>
  <c r="BJ16" i="7"/>
  <c r="GF16" i="7"/>
  <c r="DA16" i="7"/>
  <c r="V16" i="7"/>
  <c r="DD16" i="7"/>
  <c r="M16" i="7"/>
  <c r="Q16" i="7"/>
  <c r="S16" i="7"/>
  <c r="W16" i="7"/>
  <c r="AO16" i="7"/>
  <c r="GN16" i="7"/>
  <c r="CB16" i="7"/>
  <c r="GL16" i="7"/>
  <c r="DG16" i="7"/>
  <c r="L16" i="7"/>
  <c r="DJ16" i="7"/>
  <c r="AE16" i="7"/>
  <c r="AH16" i="7"/>
  <c r="AI16" i="7"/>
  <c r="AK16" i="7"/>
  <c r="BA16" i="7"/>
  <c r="BL16" i="7"/>
  <c r="CH16" i="7"/>
  <c r="GR16" i="7"/>
  <c r="DM16" i="7"/>
  <c r="R16" i="7"/>
  <c r="DP16" i="7"/>
  <c r="AQ16" i="7"/>
  <c r="AT16" i="7"/>
  <c r="AU16" i="7"/>
  <c r="AW16" i="7"/>
  <c r="BM16" i="7"/>
  <c r="EF16" i="7"/>
  <c r="CN16" i="7"/>
  <c r="O16" i="7"/>
  <c r="DY16" i="7"/>
  <c r="X16" i="7"/>
  <c r="DV16" i="7"/>
  <c r="BC16" i="7"/>
  <c r="BF16" i="7"/>
  <c r="BG16" i="7"/>
  <c r="BI16" i="7"/>
  <c r="BY16" i="7"/>
  <c r="BX16" i="7"/>
  <c r="CT16" i="7"/>
  <c r="U16" i="7"/>
  <c r="EE16" i="7"/>
  <c r="AD16" i="7"/>
  <c r="EB16" i="7"/>
  <c r="BO16" i="7"/>
  <c r="BR16" i="7"/>
  <c r="BS16" i="7"/>
  <c r="BU16" i="7"/>
  <c r="CK16" i="7"/>
  <c r="ER16" i="7"/>
  <c r="CZ16" i="7"/>
  <c r="AG16" i="7"/>
  <c r="EK16" i="7"/>
  <c r="AJ16" i="7"/>
  <c r="EH16" i="7"/>
  <c r="CA16" i="7"/>
  <c r="CD16" i="7"/>
  <c r="CE16" i="7"/>
  <c r="CG16" i="7"/>
  <c r="CW16" i="7"/>
  <c r="CJ16" i="7"/>
  <c r="DF16" i="7"/>
  <c r="AM16" i="7"/>
  <c r="EQ16" i="7"/>
  <c r="AP16" i="7"/>
  <c r="EN16" i="7"/>
  <c r="CM16" i="7"/>
  <c r="CP16" i="7"/>
  <c r="CQ16" i="7"/>
  <c r="CS16" i="7"/>
  <c r="DI16" i="7"/>
  <c r="FD16" i="7"/>
  <c r="DL16" i="7"/>
  <c r="AS16" i="7"/>
  <c r="EW16" i="7"/>
  <c r="AV16" i="7"/>
  <c r="ET16" i="7"/>
  <c r="CY16" i="7"/>
  <c r="DB16" i="7"/>
  <c r="DC16" i="7"/>
  <c r="DE16" i="7"/>
  <c r="DU16" i="7"/>
  <c r="Y16" i="7"/>
  <c r="DX16" i="7"/>
  <c r="AY16" i="7"/>
  <c r="FC16" i="7"/>
  <c r="BH16" i="7"/>
  <c r="EZ16" i="7"/>
  <c r="DK16" i="7"/>
  <c r="DN16" i="7"/>
  <c r="DO16" i="7"/>
  <c r="DQ16" i="7"/>
  <c r="EG16" i="7"/>
  <c r="CV16" i="7"/>
  <c r="ED16" i="7"/>
  <c r="BE16" i="7"/>
  <c r="FI16" i="7"/>
  <c r="BN16" i="7"/>
  <c r="FF16" i="7"/>
  <c r="DW16" i="7"/>
  <c r="DZ16" i="7"/>
  <c r="EA16" i="7"/>
  <c r="EC16" i="7"/>
  <c r="ES16" i="7"/>
  <c r="FP16" i="7"/>
  <c r="EJ16" i="7"/>
  <c r="BK16" i="7"/>
  <c r="FU16" i="7"/>
  <c r="BT16" i="7"/>
  <c r="FL16" i="7"/>
  <c r="EI16" i="7"/>
  <c r="EL16" i="7"/>
  <c r="EM16" i="7"/>
  <c r="EO16" i="7"/>
  <c r="FE16" i="7"/>
  <c r="AN16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8" i="7"/>
  <c r="DS8" i="7"/>
  <c r="BL8" i="7"/>
  <c r="BT8" i="7"/>
  <c r="FL8" i="7"/>
  <c r="BV8" i="7"/>
  <c r="CQ8" i="7"/>
  <c r="CS8" i="7"/>
  <c r="CE8" i="7"/>
  <c r="BO8" i="7"/>
  <c r="BA8" i="7"/>
  <c r="EL8" i="7"/>
  <c r="AG8" i="7"/>
  <c r="DY8" i="7"/>
  <c r="BR8" i="7"/>
  <c r="BZ8" i="7"/>
  <c r="FR8" i="7"/>
  <c r="CB8" i="7"/>
  <c r="DC8" i="7"/>
  <c r="DE8" i="7"/>
  <c r="CV8" i="7"/>
  <c r="CG8" i="7"/>
  <c r="BS8" i="7"/>
  <c r="GH8" i="7"/>
  <c r="AM8" i="7"/>
  <c r="EE8" i="7"/>
  <c r="BX8" i="7"/>
  <c r="CF8" i="7"/>
  <c r="FX8" i="7"/>
  <c r="CH8" i="7"/>
  <c r="DO8" i="7"/>
  <c r="DQ8" i="7"/>
  <c r="DH8" i="7"/>
  <c r="CW8" i="7"/>
  <c r="CK8" i="7"/>
  <c r="BU8" i="7"/>
  <c r="AS8" i="7"/>
  <c r="EK8" i="7"/>
  <c r="CD8" i="7"/>
  <c r="CL8" i="7"/>
  <c r="GD8" i="7"/>
  <c r="CN8" i="7"/>
  <c r="EA8" i="7"/>
  <c r="EC8" i="7"/>
  <c r="DT8" i="7"/>
  <c r="DI8" i="7"/>
  <c r="CY8" i="7"/>
  <c r="EU8" i="7"/>
  <c r="AY8" i="7"/>
  <c r="EQ8" i="7"/>
  <c r="CJ8" i="7"/>
  <c r="CR8" i="7"/>
  <c r="GJ8" i="7"/>
  <c r="CT8" i="7"/>
  <c r="EM8" i="7"/>
  <c r="EO8" i="7"/>
  <c r="EF8" i="7"/>
  <c r="DU8" i="7"/>
  <c r="DK8" i="7"/>
  <c r="GO8" i="7"/>
  <c r="BE8" i="7"/>
  <c r="EW8" i="7"/>
  <c r="CP8" i="7"/>
  <c r="CX8" i="7"/>
  <c r="GP8" i="7"/>
  <c r="CZ8" i="7"/>
  <c r="EV8" i="7"/>
  <c r="EX8" i="7"/>
  <c r="EP8" i="7"/>
  <c r="EG8" i="7"/>
  <c r="DW8" i="7"/>
  <c r="CM8" i="7"/>
  <c r="BK8" i="7"/>
  <c r="FC8" i="7"/>
  <c r="DD8" i="7"/>
  <c r="N8" i="7"/>
  <c r="DF8" i="7"/>
  <c r="FE8" i="7"/>
  <c r="FG8" i="7"/>
  <c r="EY8" i="7"/>
  <c r="ER8" i="7"/>
  <c r="EI8" i="7"/>
  <c r="FD8" i="7"/>
  <c r="BQ8" i="7"/>
  <c r="FI8" i="7"/>
  <c r="R8" i="7"/>
  <c r="DJ8" i="7"/>
  <c r="T8" i="7"/>
  <c r="DL8" i="7"/>
  <c r="FN8" i="7"/>
  <c r="FO8" i="7"/>
  <c r="FH8" i="7"/>
  <c r="FA8" i="7"/>
  <c r="ES8" i="7"/>
  <c r="DB8" i="7"/>
  <c r="BW8" i="7"/>
  <c r="P8" i="7"/>
  <c r="X8" i="7"/>
  <c r="DP8" i="7"/>
  <c r="Z8" i="7"/>
  <c r="DR8" i="7"/>
  <c r="FU8" i="7"/>
  <c r="FV8" i="7"/>
  <c r="FP8" i="7"/>
  <c r="FJ8" i="7"/>
  <c r="FB8" i="7"/>
  <c r="FM8" i="7"/>
  <c r="CC8" i="7"/>
  <c r="V8" i="7"/>
  <c r="AD8" i="7"/>
  <c r="DV8" i="7"/>
  <c r="AF8" i="7"/>
  <c r="DX8" i="7"/>
  <c r="GB8" i="7"/>
  <c r="GC8" i="7"/>
  <c r="FW8" i="7"/>
  <c r="FQ8" i="7"/>
  <c r="FK8" i="7"/>
  <c r="S8" i="7"/>
  <c r="CI8" i="7"/>
  <c r="AB8" i="7"/>
  <c r="AJ8" i="7"/>
  <c r="EB8" i="7"/>
  <c r="AL8" i="7"/>
  <c r="ED8" i="7"/>
  <c r="GI8" i="7"/>
  <c r="GK8" i="7"/>
  <c r="GE8" i="7"/>
  <c r="FY8" i="7"/>
  <c r="FS8" i="7"/>
  <c r="DN8" i="7"/>
  <c r="CO8" i="7"/>
  <c r="AH8" i="7"/>
  <c r="AP8" i="7"/>
  <c r="EH8" i="7"/>
  <c r="AR8" i="7"/>
  <c r="EJ8" i="7"/>
  <c r="GQ8" i="7"/>
  <c r="GR8" i="7"/>
  <c r="GL8" i="7"/>
  <c r="GF8" i="7"/>
  <c r="FZ8" i="7"/>
  <c r="FT8" i="7"/>
  <c r="CU8" i="7"/>
  <c r="AN8" i="7"/>
  <c r="AV8" i="7"/>
  <c r="EN8" i="7"/>
  <c r="AX8" i="7"/>
  <c r="W8" i="7"/>
  <c r="Y8" i="7"/>
  <c r="GS8" i="7"/>
  <c r="GM8" i="7"/>
  <c r="GG8" i="7"/>
  <c r="AK8" i="7"/>
  <c r="DA8" i="7"/>
  <c r="AT8" i="7"/>
  <c r="BB8" i="7"/>
  <c r="ET8" i="7"/>
  <c r="BD8" i="7"/>
  <c r="AO8" i="7"/>
  <c r="AQ8" i="7"/>
  <c r="AC8" i="7"/>
  <c r="GT8" i="7"/>
  <c r="GN8" i="7"/>
  <c r="DZ8" i="7"/>
  <c r="O8" i="7"/>
  <c r="DG8" i="7"/>
  <c r="AZ8" i="7"/>
  <c r="BH8" i="7"/>
  <c r="EZ8" i="7"/>
  <c r="BJ8" i="7"/>
  <c r="BG8" i="7"/>
  <c r="BI8" i="7"/>
  <c r="AU8" i="7"/>
  <c r="AE8" i="7"/>
  <c r="Q8" i="7"/>
  <c r="GU8" i="7"/>
  <c r="GA8" i="7"/>
  <c r="U8" i="7"/>
  <c r="DM8" i="7"/>
  <c r="BF8" i="7"/>
  <c r="BN8" i="7"/>
  <c r="FF8" i="7"/>
  <c r="BP8" i="7"/>
  <c r="BY8" i="7"/>
  <c r="CA8" i="7"/>
  <c r="BM8" i="7"/>
  <c r="AW8" i="7"/>
  <c r="AI8" i="7"/>
  <c r="BC8" i="7"/>
  <c r="J59" i="7"/>
  <c r="J25" i="7"/>
  <c r="M59" i="7"/>
  <c r="L59" i="7"/>
  <c r="K59" i="7"/>
  <c r="L25" i="7"/>
  <c r="K25" i="7"/>
  <c r="M25" i="7"/>
  <c r="J52" i="7"/>
  <c r="EB52" i="7"/>
  <c r="BM52" i="7"/>
  <c r="J12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2" i="7"/>
  <c r="L52" i="7"/>
  <c r="K52" i="7"/>
  <c r="EY52" i="7"/>
  <c r="L12" i="7"/>
  <c r="Q12" i="7"/>
  <c r="W12" i="7"/>
  <c r="R12" i="7"/>
  <c r="X12" i="7"/>
  <c r="M12" i="7"/>
  <c r="S12" i="7"/>
  <c r="Y12" i="7"/>
  <c r="N12" i="7"/>
  <c r="T12" i="7"/>
  <c r="O12" i="7"/>
  <c r="U12" i="7"/>
  <c r="P12" i="7"/>
  <c r="V12" i="7"/>
  <c r="CE12" i="7"/>
  <c r="FH12" i="7"/>
  <c r="BR12" i="7"/>
  <c r="EU12" i="7"/>
  <c r="BE12" i="7"/>
  <c r="DR12" i="7"/>
  <c r="GE12" i="7"/>
  <c r="BY12" i="7"/>
  <c r="FB12" i="7"/>
  <c r="BL12" i="7"/>
  <c r="EO12" i="7"/>
  <c r="CU12" i="7"/>
  <c r="FX12" i="7"/>
  <c r="CH12" i="7"/>
  <c r="FK12" i="7"/>
  <c r="BU12" i="7"/>
  <c r="EH12" i="7"/>
  <c r="GU12" i="7"/>
  <c r="CO12" i="7"/>
  <c r="FR12" i="7"/>
  <c r="CB12" i="7"/>
  <c r="FE12" i="7"/>
  <c r="DK12" i="7"/>
  <c r="GN12" i="7"/>
  <c r="CX12" i="7"/>
  <c r="GA12" i="7"/>
  <c r="CK12" i="7"/>
  <c r="EX12" i="7"/>
  <c r="AB12" i="7"/>
  <c r="DE12" i="7"/>
  <c r="GH12" i="7"/>
  <c r="CR12" i="7"/>
  <c r="FU12" i="7"/>
  <c r="EA12" i="7"/>
  <c r="AK12" i="7"/>
  <c r="DN12" i="7"/>
  <c r="GQ12" i="7"/>
  <c r="DA12" i="7"/>
  <c r="FN12" i="7"/>
  <c r="AR12" i="7"/>
  <c r="DU12" i="7"/>
  <c r="AE12" i="7"/>
  <c r="DH12" i="7"/>
  <c r="GK12" i="7"/>
  <c r="EQ12" i="7"/>
  <c r="BA12" i="7"/>
  <c r="ED12" i="7"/>
  <c r="AN12" i="7"/>
  <c r="DQ12" i="7"/>
  <c r="GD12" i="7"/>
  <c r="BH12" i="7"/>
  <c r="EK12" i="7"/>
  <c r="AU12" i="7"/>
  <c r="DX12" i="7"/>
  <c r="AH12" i="7"/>
  <c r="FG12" i="7"/>
  <c r="BQ12" i="7"/>
  <c r="ET12" i="7"/>
  <c r="BD12" i="7"/>
  <c r="EG12" i="7"/>
  <c r="GT12" i="7"/>
  <c r="BX12" i="7"/>
  <c r="FA12" i="7"/>
  <c r="BK12" i="7"/>
  <c r="EN12" i="7"/>
  <c r="AX12" i="7"/>
  <c r="FW12" i="7"/>
  <c r="CG12" i="7"/>
  <c r="FJ12" i="7"/>
  <c r="BT12" i="7"/>
  <c r="EW12" i="7"/>
  <c r="AA12" i="7"/>
  <c r="CN12" i="7"/>
  <c r="FQ12" i="7"/>
  <c r="CA12" i="7"/>
  <c r="FD12" i="7"/>
  <c r="BN12" i="7"/>
  <c r="GM12" i="7"/>
  <c r="CW12" i="7"/>
  <c r="FZ12" i="7"/>
  <c r="CJ12" i="7"/>
  <c r="FM12" i="7"/>
  <c r="AQ12" i="7"/>
  <c r="DD12" i="7"/>
  <c r="GG12" i="7"/>
  <c r="CQ12" i="7"/>
  <c r="FT12" i="7"/>
  <c r="CD12" i="7"/>
  <c r="AJ12" i="7"/>
  <c r="DM12" i="7"/>
  <c r="GP12" i="7"/>
  <c r="CZ12" i="7"/>
  <c r="GC12" i="7"/>
  <c r="BG12" i="7"/>
  <c r="DT12" i="7"/>
  <c r="AD12" i="7"/>
  <c r="DG12" i="7"/>
  <c r="GJ12" i="7"/>
  <c r="CT12" i="7"/>
  <c r="AZ12" i="7"/>
  <c r="EC12" i="7"/>
  <c r="AM12" i="7"/>
  <c r="DP12" i="7"/>
  <c r="GS12" i="7"/>
  <c r="BW12" i="7"/>
  <c r="EJ12" i="7"/>
  <c r="AT12" i="7"/>
  <c r="DW12" i="7"/>
  <c r="AG12" i="7"/>
  <c r="DJ12" i="7"/>
  <c r="BP12" i="7"/>
  <c r="ES12" i="7"/>
  <c r="BC12" i="7"/>
  <c r="EF12" i="7"/>
  <c r="Z12" i="7"/>
  <c r="CM12" i="7"/>
  <c r="EZ12" i="7"/>
  <c r="BJ12" i="7"/>
  <c r="EM12" i="7"/>
  <c r="AW12" i="7"/>
  <c r="DZ12" i="7"/>
  <c r="CF12" i="7"/>
  <c r="FI12" i="7"/>
  <c r="BS12" i="7"/>
  <c r="EV12" i="7"/>
  <c r="AP12" i="7"/>
  <c r="DC12" i="7"/>
  <c r="FP12" i="7"/>
  <c r="BZ12" i="7"/>
  <c r="FC12" i="7"/>
  <c r="BM12" i="7"/>
  <c r="EP12" i="7"/>
  <c r="CV12" i="7"/>
  <c r="FY12" i="7"/>
  <c r="CI12" i="7"/>
  <c r="FL12" i="7"/>
  <c r="BF12" i="7"/>
  <c r="DS12" i="7"/>
  <c r="GF12" i="7"/>
  <c r="CP12" i="7"/>
  <c r="FS12" i="7"/>
  <c r="CC12" i="7"/>
  <c r="FF12" i="7"/>
  <c r="AI12" i="7"/>
  <c r="DL12" i="7"/>
  <c r="GO12" i="7"/>
  <c r="CY12" i="7"/>
  <c r="GB12" i="7"/>
  <c r="BV12" i="7"/>
  <c r="EI12" i="7"/>
  <c r="AC12" i="7"/>
  <c r="DF12" i="7"/>
  <c r="GI12" i="7"/>
  <c r="CS12" i="7"/>
  <c r="FV12" i="7"/>
  <c r="AY12" i="7"/>
  <c r="EB12" i="7"/>
  <c r="AL12" i="7"/>
  <c r="DO12" i="7"/>
  <c r="GR12" i="7"/>
  <c r="CL12" i="7"/>
  <c r="EY12" i="7"/>
  <c r="AS12" i="7"/>
  <c r="DV12" i="7"/>
  <c r="AF12" i="7"/>
  <c r="DI12" i="7"/>
  <c r="GL12" i="7"/>
  <c r="BO12" i="7"/>
  <c r="ER12" i="7"/>
  <c r="BB12" i="7"/>
  <c r="EE12" i="7"/>
  <c r="AO12" i="7"/>
  <c r="DB12" i="7"/>
  <c r="FO12" i="7"/>
  <c r="BI12" i="7"/>
  <c r="EL12" i="7"/>
  <c r="AV12" i="7"/>
  <c r="DY12" i="7"/>
  <c r="L63" i="7"/>
  <c r="K63" i="7"/>
  <c r="K33" i="7"/>
  <c r="L33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1" i="7"/>
  <c r="BU11" i="7"/>
  <c r="DV11" i="7"/>
  <c r="AT11" i="7"/>
  <c r="FG11" i="7"/>
  <c r="CU11" i="7"/>
  <c r="GR11" i="7"/>
  <c r="EE11" i="7"/>
  <c r="DS11" i="7"/>
  <c r="CI11" i="7"/>
  <c r="FQ11" i="7"/>
  <c r="CW11" i="7"/>
  <c r="CA11" i="7"/>
  <c r="EB11" i="7"/>
  <c r="BD11" i="7"/>
  <c r="FM11" i="7"/>
  <c r="DB11" i="7"/>
  <c r="EK11" i="7"/>
  <c r="EL11" i="7"/>
  <c r="DE11" i="7"/>
  <c r="AP11" i="7"/>
  <c r="AR11" i="7"/>
  <c r="DC11" i="7"/>
  <c r="CG11" i="7"/>
  <c r="EH11" i="7"/>
  <c r="BL11" i="7"/>
  <c r="FS11" i="7"/>
  <c r="DJ11" i="7"/>
  <c r="V11" i="7"/>
  <c r="EQ11" i="7"/>
  <c r="FD11" i="7"/>
  <c r="DZ11" i="7"/>
  <c r="BQ11" i="7"/>
  <c r="Q11" i="7"/>
  <c r="DI11" i="7"/>
  <c r="R11" i="7"/>
  <c r="EN11" i="7"/>
  <c r="BV11" i="7"/>
  <c r="FY11" i="7"/>
  <c r="DQ11" i="7"/>
  <c r="AF11" i="7"/>
  <c r="EW11" i="7"/>
  <c r="FV11" i="7"/>
  <c r="ER11" i="7"/>
  <c r="CP11" i="7"/>
  <c r="W11" i="7"/>
  <c r="DO11" i="7"/>
  <c r="AA11" i="7"/>
  <c r="ET11" i="7"/>
  <c r="CD11" i="7"/>
  <c r="GE11" i="7"/>
  <c r="DX11" i="7"/>
  <c r="AN11" i="7"/>
  <c r="FC11" i="7"/>
  <c r="GN11" i="7"/>
  <c r="FJ11" i="7"/>
  <c r="DL11" i="7"/>
  <c r="AC11" i="7"/>
  <c r="DU11" i="7"/>
  <c r="AJ11" i="7"/>
  <c r="EZ11" i="7"/>
  <c r="CM11" i="7"/>
  <c r="GK11" i="7"/>
  <c r="ED11" i="7"/>
  <c r="AX11" i="7"/>
  <c r="FI11" i="7"/>
  <c r="Z11" i="7"/>
  <c r="GB11" i="7"/>
  <c r="EF11" i="7"/>
  <c r="AI11" i="7"/>
  <c r="AS11" i="7"/>
  <c r="FF11" i="7"/>
  <c r="CT11" i="7"/>
  <c r="GQ11" i="7"/>
  <c r="EJ11" i="7"/>
  <c r="BF11" i="7"/>
  <c r="FO11" i="7"/>
  <c r="AZ11" i="7"/>
  <c r="GT11" i="7"/>
  <c r="EX11" i="7"/>
  <c r="AO11" i="7"/>
  <c r="S11" i="7"/>
  <c r="BB11" i="7"/>
  <c r="FL11" i="7"/>
  <c r="DA11" i="7"/>
  <c r="U11" i="7"/>
  <c r="EP11" i="7"/>
  <c r="BP11" i="7"/>
  <c r="FU11" i="7"/>
  <c r="CB11" i="7"/>
  <c r="AH11" i="7"/>
  <c r="FP11" i="7"/>
  <c r="AU11" i="7"/>
  <c r="Y11" i="7"/>
  <c r="BK11" i="7"/>
  <c r="FR11" i="7"/>
  <c r="DH11" i="7"/>
  <c r="AD11" i="7"/>
  <c r="EV11" i="7"/>
  <c r="BX11" i="7"/>
  <c r="GA11" i="7"/>
  <c r="CY11" i="7"/>
  <c r="BJ11" i="7"/>
  <c r="GH11" i="7"/>
  <c r="BA11" i="7"/>
  <c r="AE11" i="7"/>
  <c r="BT11" i="7"/>
  <c r="FX11" i="7"/>
  <c r="DP11" i="7"/>
  <c r="AM11" i="7"/>
  <c r="FB11" i="7"/>
  <c r="CH11" i="7"/>
  <c r="GG11" i="7"/>
  <c r="DT11" i="7"/>
  <c r="CJ11" i="7"/>
  <c r="BR11" i="7"/>
  <c r="BG11" i="7"/>
  <c r="AK11" i="7"/>
  <c r="CC11" i="7"/>
  <c r="GD11" i="7"/>
  <c r="DW11" i="7"/>
  <c r="AV11" i="7"/>
  <c r="FH11" i="7"/>
  <c r="CO11" i="7"/>
  <c r="GM11" i="7"/>
  <c r="EM11" i="7"/>
  <c r="DF11" i="7"/>
  <c r="GI11" i="7"/>
  <c r="BM11" i="7"/>
  <c r="AQ11" i="7"/>
  <c r="CL11" i="7"/>
  <c r="GJ11" i="7"/>
  <c r="EC11" i="7"/>
  <c r="BE11" i="7"/>
  <c r="FN11" i="7"/>
  <c r="CV11" i="7"/>
  <c r="GS11" i="7"/>
  <c r="FE11" i="7"/>
  <c r="EA11" i="7"/>
  <c r="CR11" i="7"/>
  <c r="BS11" i="7"/>
  <c r="AW11" i="7"/>
  <c r="CS11" i="7"/>
  <c r="GP11" i="7"/>
  <c r="EI11" i="7"/>
  <c r="BN11" i="7"/>
  <c r="FT11" i="7"/>
  <c r="DD11" i="7"/>
  <c r="X11" i="7"/>
  <c r="FW11" i="7"/>
  <c r="ES11" i="7"/>
  <c r="DM11" i="7"/>
  <c r="BY11" i="7"/>
  <c r="BC11" i="7"/>
  <c r="CZ11" i="7"/>
  <c r="T11" i="7"/>
  <c r="EO11" i="7"/>
  <c r="BW11" i="7"/>
  <c r="FZ11" i="7"/>
  <c r="DK11" i="7"/>
  <c r="AY11" i="7"/>
  <c r="GO11" i="7"/>
  <c r="FK11" i="7"/>
  <c r="EG11" i="7"/>
  <c r="CE11" i="7"/>
  <c r="BI11" i="7"/>
  <c r="DG11" i="7"/>
  <c r="AB11" i="7"/>
  <c r="EU11" i="7"/>
  <c r="CF11" i="7"/>
  <c r="GF11" i="7"/>
  <c r="DR11" i="7"/>
  <c r="BZ11" i="7"/>
  <c r="AG11" i="7"/>
  <c r="GC11" i="7"/>
  <c r="P11" i="7"/>
  <c r="CK11" i="7"/>
  <c r="BO11" i="7"/>
  <c r="DN11" i="7"/>
  <c r="AL11" i="7"/>
  <c r="FA11" i="7"/>
  <c r="CN11" i="7"/>
  <c r="GL11" i="7"/>
  <c r="DY11" i="7"/>
  <c r="CX11" i="7"/>
  <c r="BH11" i="7"/>
  <c r="GU11" i="7"/>
  <c r="EY11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0" i="7"/>
  <c r="DT30" i="7"/>
  <c r="AC30" i="7"/>
  <c r="DU30" i="7"/>
  <c r="AD30" i="7"/>
  <c r="DV30" i="7"/>
  <c r="AK30" i="7"/>
  <c r="EC30" i="7"/>
  <c r="CT30" i="7"/>
  <c r="AF30" i="7"/>
  <c r="EK30" i="7"/>
  <c r="AM30" i="7"/>
  <c r="AH30" i="7"/>
  <c r="DZ30" i="7"/>
  <c r="AI30" i="7"/>
  <c r="EA30" i="7"/>
  <c r="AJ30" i="7"/>
  <c r="EB30" i="7"/>
  <c r="AQ30" i="7"/>
  <c r="EI30" i="7"/>
  <c r="DL30" i="7"/>
  <c r="AX30" i="7"/>
  <c r="FC30" i="7"/>
  <c r="BE30" i="7"/>
  <c r="AN30" i="7"/>
  <c r="EF30" i="7"/>
  <c r="AO30" i="7"/>
  <c r="EG30" i="7"/>
  <c r="AP30" i="7"/>
  <c r="EH30" i="7"/>
  <c r="AW30" i="7"/>
  <c r="EO30" i="7"/>
  <c r="ED30" i="7"/>
  <c r="BP30" i="7"/>
  <c r="FU30" i="7"/>
  <c r="BW30" i="7"/>
  <c r="AT30" i="7"/>
  <c r="EL30" i="7"/>
  <c r="AU30" i="7"/>
  <c r="EM30" i="7"/>
  <c r="AV30" i="7"/>
  <c r="EN30" i="7"/>
  <c r="BC30" i="7"/>
  <c r="EU30" i="7"/>
  <c r="EV30" i="7"/>
  <c r="CH30" i="7"/>
  <c r="GM30" i="7"/>
  <c r="CO30" i="7"/>
  <c r="AZ30" i="7"/>
  <c r="ER30" i="7"/>
  <c r="BA30" i="7"/>
  <c r="ES30" i="7"/>
  <c r="BB30" i="7"/>
  <c r="ET30" i="7"/>
  <c r="BI30" i="7"/>
  <c r="FA30" i="7"/>
  <c r="FN30" i="7"/>
  <c r="CZ30" i="7"/>
  <c r="T30" i="7"/>
  <c r="DG30" i="7"/>
  <c r="BF30" i="7"/>
  <c r="EX30" i="7"/>
  <c r="BG30" i="7"/>
  <c r="EY30" i="7"/>
  <c r="BH30" i="7"/>
  <c r="EZ30" i="7"/>
  <c r="BO30" i="7"/>
  <c r="FG30" i="7"/>
  <c r="GF30" i="7"/>
  <c r="DR30" i="7"/>
  <c r="AL30" i="7"/>
  <c r="DY30" i="7"/>
  <c r="BL30" i="7"/>
  <c r="FD30" i="7"/>
  <c r="BM30" i="7"/>
  <c r="FE30" i="7"/>
  <c r="BN30" i="7"/>
  <c r="FF30" i="7"/>
  <c r="BU30" i="7"/>
  <c r="FM30" i="7"/>
  <c r="AA30" i="7"/>
  <c r="EJ30" i="7"/>
  <c r="BD30" i="7"/>
  <c r="EQ30" i="7"/>
  <c r="BR30" i="7"/>
  <c r="FJ30" i="7"/>
  <c r="BS30" i="7"/>
  <c r="FK30" i="7"/>
  <c r="BT30" i="7"/>
  <c r="FL30" i="7"/>
  <c r="CA30" i="7"/>
  <c r="FS30" i="7"/>
  <c r="AS30" i="7"/>
  <c r="FB30" i="7"/>
  <c r="BV30" i="7"/>
  <c r="FI30" i="7"/>
  <c r="BX30" i="7"/>
  <c r="FP30" i="7"/>
  <c r="BY30" i="7"/>
  <c r="FQ30" i="7"/>
  <c r="BZ30" i="7"/>
  <c r="FR30" i="7"/>
  <c r="CG30" i="7"/>
  <c r="FY30" i="7"/>
  <c r="BK30" i="7"/>
  <c r="FT30" i="7"/>
  <c r="CN30" i="7"/>
  <c r="GA30" i="7"/>
  <c r="CD30" i="7"/>
  <c r="FV30" i="7"/>
  <c r="CE30" i="7"/>
  <c r="FW30" i="7"/>
  <c r="CF30" i="7"/>
  <c r="FX30" i="7"/>
  <c r="CM30" i="7"/>
  <c r="GE30" i="7"/>
  <c r="CC30" i="7"/>
  <c r="GL30" i="7"/>
  <c r="DF30" i="7"/>
  <c r="GS30" i="7"/>
  <c r="CJ30" i="7"/>
  <c r="GB30" i="7"/>
  <c r="CK30" i="7"/>
  <c r="GC30" i="7"/>
  <c r="CL30" i="7"/>
  <c r="GD30" i="7"/>
  <c r="CS30" i="7"/>
  <c r="GK30" i="7"/>
  <c r="CU30" i="7"/>
  <c r="AG30" i="7"/>
  <c r="DX30" i="7"/>
  <c r="CP30" i="7"/>
  <c r="GH30" i="7"/>
  <c r="CQ30" i="7"/>
  <c r="GI30" i="7"/>
  <c r="CR30" i="7"/>
  <c r="GJ30" i="7"/>
  <c r="CY30" i="7"/>
  <c r="GQ30" i="7"/>
  <c r="DM30" i="7"/>
  <c r="AY30" i="7"/>
  <c r="EP30" i="7"/>
  <c r="CV30" i="7"/>
  <c r="GN30" i="7"/>
  <c r="CW30" i="7"/>
  <c r="GO30" i="7"/>
  <c r="CX30" i="7"/>
  <c r="GP30" i="7"/>
  <c r="DE30" i="7"/>
  <c r="Z30" i="7"/>
  <c r="EE30" i="7"/>
  <c r="BQ30" i="7"/>
  <c r="FH30" i="7"/>
  <c r="DB30" i="7"/>
  <c r="GT30" i="7"/>
  <c r="DC30" i="7"/>
  <c r="GU30" i="7"/>
  <c r="DD30" i="7"/>
  <c r="S30" i="7"/>
  <c r="DK30" i="7"/>
  <c r="AR30" i="7"/>
  <c r="EW30" i="7"/>
  <c r="CI30" i="7"/>
  <c r="FZ30" i="7"/>
  <c r="DH30" i="7"/>
  <c r="DI30" i="7"/>
  <c r="DJ30" i="7"/>
  <c r="Y30" i="7"/>
  <c r="DQ30" i="7"/>
  <c r="BJ30" i="7"/>
  <c r="FO30" i="7"/>
  <c r="DA30" i="7"/>
  <c r="GR30" i="7"/>
  <c r="V30" i="7"/>
  <c r="DN30" i="7"/>
  <c r="W30" i="7"/>
  <c r="DO30" i="7"/>
  <c r="X30" i="7"/>
  <c r="DP30" i="7"/>
  <c r="AE30" i="7"/>
  <c r="DW30" i="7"/>
  <c r="CB30" i="7"/>
  <c r="GG30" i="7"/>
  <c r="DS30" i="7"/>
  <c r="U30" i="7"/>
  <c r="J53" i="7"/>
  <c r="J17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7" i="7"/>
  <c r="DZ17" i="7"/>
  <c r="CE17" i="7"/>
  <c r="FW17" i="7"/>
  <c r="BZ17" i="7"/>
  <c r="FR17" i="7"/>
  <c r="CA17" i="7"/>
  <c r="AG17" i="7"/>
  <c r="CN17" i="7"/>
  <c r="EQ17" i="7"/>
  <c r="FZ17" i="7"/>
  <c r="CH17" i="7"/>
  <c r="AN17" i="7"/>
  <c r="EF17" i="7"/>
  <c r="CK17" i="7"/>
  <c r="GC17" i="7"/>
  <c r="CF17" i="7"/>
  <c r="FX17" i="7"/>
  <c r="CG17" i="7"/>
  <c r="AY17" i="7"/>
  <c r="DF17" i="7"/>
  <c r="FD17" i="7"/>
  <c r="GH17" i="7"/>
  <c r="FT17" i="7"/>
  <c r="AT17" i="7"/>
  <c r="EL17" i="7"/>
  <c r="CQ17" i="7"/>
  <c r="GI17" i="7"/>
  <c r="CL17" i="7"/>
  <c r="GD17" i="7"/>
  <c r="CM17" i="7"/>
  <c r="BQ17" i="7"/>
  <c r="DX17" i="7"/>
  <c r="FO17" i="7"/>
  <c r="GR17" i="7"/>
  <c r="CZ17" i="7"/>
  <c r="AZ17" i="7"/>
  <c r="ER17" i="7"/>
  <c r="CW17" i="7"/>
  <c r="GO17" i="7"/>
  <c r="CR17" i="7"/>
  <c r="GJ17" i="7"/>
  <c r="CS17" i="7"/>
  <c r="CI17" i="7"/>
  <c r="EP17" i="7"/>
  <c r="FY17" i="7"/>
  <c r="AA17" i="7"/>
  <c r="GB17" i="7"/>
  <c r="BF17" i="7"/>
  <c r="K17" i="7"/>
  <c r="DC17" i="7"/>
  <c r="GU17" i="7"/>
  <c r="CX17" i="7"/>
  <c r="GP17" i="7"/>
  <c r="CY17" i="7"/>
  <c r="DA17" i="7"/>
  <c r="FC17" i="7"/>
  <c r="GG17" i="7"/>
  <c r="AS17" i="7"/>
  <c r="N17" i="7"/>
  <c r="BL17" i="7"/>
  <c r="Q17" i="7"/>
  <c r="DI17" i="7"/>
  <c r="L17" i="7"/>
  <c r="DD17" i="7"/>
  <c r="M17" i="7"/>
  <c r="DE17" i="7"/>
  <c r="DS17" i="7"/>
  <c r="FN17" i="7"/>
  <c r="GQ17" i="7"/>
  <c r="BK17" i="7"/>
  <c r="DR17" i="7"/>
  <c r="BR17" i="7"/>
  <c r="W17" i="7"/>
  <c r="DO17" i="7"/>
  <c r="R17" i="7"/>
  <c r="DJ17" i="7"/>
  <c r="S17" i="7"/>
  <c r="DK17" i="7"/>
  <c r="EK17" i="7"/>
  <c r="FV17" i="7"/>
  <c r="Z17" i="7"/>
  <c r="CC17" i="7"/>
  <c r="GL17" i="7"/>
  <c r="BX17" i="7"/>
  <c r="AC17" i="7"/>
  <c r="DU17" i="7"/>
  <c r="X17" i="7"/>
  <c r="DP17" i="7"/>
  <c r="Y17" i="7"/>
  <c r="DQ17" i="7"/>
  <c r="FB17" i="7"/>
  <c r="GF17" i="7"/>
  <c r="AR17" i="7"/>
  <c r="CU17" i="7"/>
  <c r="AF17" i="7"/>
  <c r="CD17" i="7"/>
  <c r="AI17" i="7"/>
  <c r="EA17" i="7"/>
  <c r="AD17" i="7"/>
  <c r="DV17" i="7"/>
  <c r="AE17" i="7"/>
  <c r="DW17" i="7"/>
  <c r="FM17" i="7"/>
  <c r="GN17" i="7"/>
  <c r="BJ17" i="7"/>
  <c r="DM17" i="7"/>
  <c r="EJ17" i="7"/>
  <c r="CJ17" i="7"/>
  <c r="AO17" i="7"/>
  <c r="EG17" i="7"/>
  <c r="AJ17" i="7"/>
  <c r="EB17" i="7"/>
  <c r="AK17" i="7"/>
  <c r="EC17" i="7"/>
  <c r="FU17" i="7"/>
  <c r="U17" i="7"/>
  <c r="CB17" i="7"/>
  <c r="EE17" i="7"/>
  <c r="GT17" i="7"/>
  <c r="CP17" i="7"/>
  <c r="AU17" i="7"/>
  <c r="EM17" i="7"/>
  <c r="AP17" i="7"/>
  <c r="EH17" i="7"/>
  <c r="AQ17" i="7"/>
  <c r="EI17" i="7"/>
  <c r="GE17" i="7"/>
  <c r="AM17" i="7"/>
  <c r="CT17" i="7"/>
  <c r="EW17" i="7"/>
  <c r="AX17" i="7"/>
  <c r="CV17" i="7"/>
  <c r="BA17" i="7"/>
  <c r="ES17" i="7"/>
  <c r="AV17" i="7"/>
  <c r="EN17" i="7"/>
  <c r="AW17" i="7"/>
  <c r="EO17" i="7"/>
  <c r="GM17" i="7"/>
  <c r="BE17" i="7"/>
  <c r="DL17" i="7"/>
  <c r="FI17" i="7"/>
  <c r="EX17" i="7"/>
  <c r="DB17" i="7"/>
  <c r="BG17" i="7"/>
  <c r="EY17" i="7"/>
  <c r="BB17" i="7"/>
  <c r="ET17" i="7"/>
  <c r="BC17" i="7"/>
  <c r="EU17" i="7"/>
  <c r="T17" i="7"/>
  <c r="BW17" i="7"/>
  <c r="ED17" i="7"/>
  <c r="FS17" i="7"/>
  <c r="BP17" i="7"/>
  <c r="P17" i="7"/>
  <c r="DH17" i="7"/>
  <c r="BM17" i="7"/>
  <c r="FE17" i="7"/>
  <c r="BH17" i="7"/>
  <c r="EZ17" i="7"/>
  <c r="BI17" i="7"/>
  <c r="FA17" i="7"/>
  <c r="AL17" i="7"/>
  <c r="CO17" i="7"/>
  <c r="EV17" i="7"/>
  <c r="GA17" i="7"/>
  <c r="FJ17" i="7"/>
  <c r="V17" i="7"/>
  <c r="DN17" i="7"/>
  <c r="BS17" i="7"/>
  <c r="FK17" i="7"/>
  <c r="BN17" i="7"/>
  <c r="FF17" i="7"/>
  <c r="BO17" i="7"/>
  <c r="FG17" i="7"/>
  <c r="BD17" i="7"/>
  <c r="DG17" i="7"/>
  <c r="FH17" i="7"/>
  <c r="GK17" i="7"/>
  <c r="AB17" i="7"/>
  <c r="DT17" i="7"/>
  <c r="BY17" i="7"/>
  <c r="FQ17" i="7"/>
  <c r="BT17" i="7"/>
  <c r="FL17" i="7"/>
  <c r="BU17" i="7"/>
  <c r="O17" i="7"/>
  <c r="BV17" i="7"/>
  <c r="DY17" i="7"/>
  <c r="FP17" i="7"/>
  <c r="GS17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3" i="7"/>
  <c r="DX23" i="7"/>
  <c r="AA23" i="7"/>
  <c r="DS23" i="7"/>
  <c r="V23" i="7"/>
  <c r="DN23" i="7"/>
  <c r="Q23" i="7"/>
  <c r="DI23" i="7"/>
  <c r="M23" i="7"/>
  <c r="DD23" i="7"/>
  <c r="GQ23" i="7"/>
  <c r="DK23" i="7"/>
  <c r="AL23" i="7"/>
  <c r="ED23" i="7"/>
  <c r="AG23" i="7"/>
  <c r="DY23" i="7"/>
  <c r="AB23" i="7"/>
  <c r="DT23" i="7"/>
  <c r="W23" i="7"/>
  <c r="DO23" i="7"/>
  <c r="AE23" i="7"/>
  <c r="DV23" i="7"/>
  <c r="X23" i="7"/>
  <c r="EC23" i="7"/>
  <c r="AR23" i="7"/>
  <c r="EJ23" i="7"/>
  <c r="AM23" i="7"/>
  <c r="EE23" i="7"/>
  <c r="AH23" i="7"/>
  <c r="DZ23" i="7"/>
  <c r="AC23" i="7"/>
  <c r="DU23" i="7"/>
  <c r="AW23" i="7"/>
  <c r="EN23" i="7"/>
  <c r="AP23" i="7"/>
  <c r="EU23" i="7"/>
  <c r="AX23" i="7"/>
  <c r="EP23" i="7"/>
  <c r="AS23" i="7"/>
  <c r="EK23" i="7"/>
  <c r="AN23" i="7"/>
  <c r="EF23" i="7"/>
  <c r="AI23" i="7"/>
  <c r="EA23" i="7"/>
  <c r="BO23" i="7"/>
  <c r="FF23" i="7"/>
  <c r="BH23" i="7"/>
  <c r="FM23" i="7"/>
  <c r="BD23" i="7"/>
  <c r="EV23" i="7"/>
  <c r="AY23" i="7"/>
  <c r="EQ23" i="7"/>
  <c r="AT23" i="7"/>
  <c r="EL23" i="7"/>
  <c r="AO23" i="7"/>
  <c r="EG23" i="7"/>
  <c r="CG23" i="7"/>
  <c r="FX23" i="7"/>
  <c r="BZ23" i="7"/>
  <c r="GE23" i="7"/>
  <c r="BJ23" i="7"/>
  <c r="FB23" i="7"/>
  <c r="BE23" i="7"/>
  <c r="EW23" i="7"/>
  <c r="AZ23" i="7"/>
  <c r="ER23" i="7"/>
  <c r="AU23" i="7"/>
  <c r="EM23" i="7"/>
  <c r="CY23" i="7"/>
  <c r="GP23" i="7"/>
  <c r="CR23" i="7"/>
  <c r="L23" i="7"/>
  <c r="BP23" i="7"/>
  <c r="FH23" i="7"/>
  <c r="BK23" i="7"/>
  <c r="FC23" i="7"/>
  <c r="BF23" i="7"/>
  <c r="EX23" i="7"/>
  <c r="BA23" i="7"/>
  <c r="ES23" i="7"/>
  <c r="DQ23" i="7"/>
  <c r="S23" i="7"/>
  <c r="DJ23" i="7"/>
  <c r="AD23" i="7"/>
  <c r="BV23" i="7"/>
  <c r="FN23" i="7"/>
  <c r="BQ23" i="7"/>
  <c r="FI23" i="7"/>
  <c r="BL23" i="7"/>
  <c r="FD23" i="7"/>
  <c r="BG23" i="7"/>
  <c r="EY23" i="7"/>
  <c r="EI23" i="7"/>
  <c r="AK23" i="7"/>
  <c r="EB23" i="7"/>
  <c r="AV23" i="7"/>
  <c r="CB23" i="7"/>
  <c r="FT23" i="7"/>
  <c r="BW23" i="7"/>
  <c r="FO23" i="7"/>
  <c r="BR23" i="7"/>
  <c r="FJ23" i="7"/>
  <c r="BM23" i="7"/>
  <c r="FE23" i="7"/>
  <c r="FA23" i="7"/>
  <c r="BC23" i="7"/>
  <c r="ET23" i="7"/>
  <c r="BN23" i="7"/>
  <c r="CH23" i="7"/>
  <c r="FZ23" i="7"/>
  <c r="CC23" i="7"/>
  <c r="FU23" i="7"/>
  <c r="BX23" i="7"/>
  <c r="FP23" i="7"/>
  <c r="BS23" i="7"/>
  <c r="FK23" i="7"/>
  <c r="FS23" i="7"/>
  <c r="BU23" i="7"/>
  <c r="FL23" i="7"/>
  <c r="CF23" i="7"/>
  <c r="CN23" i="7"/>
  <c r="GF23" i="7"/>
  <c r="CI23" i="7"/>
  <c r="GA23" i="7"/>
  <c r="CD23" i="7"/>
  <c r="FV23" i="7"/>
  <c r="BY23" i="7"/>
  <c r="FQ23" i="7"/>
  <c r="GK23" i="7"/>
  <c r="CM23" i="7"/>
  <c r="GD23" i="7"/>
  <c r="CX23" i="7"/>
  <c r="CT23" i="7"/>
  <c r="GL23" i="7"/>
  <c r="CO23" i="7"/>
  <c r="GG23" i="7"/>
  <c r="CJ23" i="7"/>
  <c r="GB23" i="7"/>
  <c r="CE23" i="7"/>
  <c r="FW23" i="7"/>
  <c r="R23" i="7"/>
  <c r="DE23" i="7"/>
  <c r="Y23" i="7"/>
  <c r="DP23" i="7"/>
  <c r="CZ23" i="7"/>
  <c r="GR23" i="7"/>
  <c r="CU23" i="7"/>
  <c r="GM23" i="7"/>
  <c r="CP23" i="7"/>
  <c r="GH23" i="7"/>
  <c r="CK23" i="7"/>
  <c r="GC23" i="7"/>
  <c r="AJ23" i="7"/>
  <c r="DW23" i="7"/>
  <c r="AQ23" i="7"/>
  <c r="EH23" i="7"/>
  <c r="N23" i="7"/>
  <c r="DF23" i="7"/>
  <c r="DA23" i="7"/>
  <c r="GS23" i="7"/>
  <c r="CV23" i="7"/>
  <c r="GN23" i="7"/>
  <c r="CQ23" i="7"/>
  <c r="GI23" i="7"/>
  <c r="BB23" i="7"/>
  <c r="EO23" i="7"/>
  <c r="BI23" i="7"/>
  <c r="EZ23" i="7"/>
  <c r="T23" i="7"/>
  <c r="DL23" i="7"/>
  <c r="O23" i="7"/>
  <c r="DG23" i="7"/>
  <c r="DB23" i="7"/>
  <c r="GT23" i="7"/>
  <c r="CW23" i="7"/>
  <c r="GO23" i="7"/>
  <c r="BT23" i="7"/>
  <c r="FG23" i="7"/>
  <c r="CA23" i="7"/>
  <c r="FR23" i="7"/>
  <c r="Z23" i="7"/>
  <c r="DR23" i="7"/>
  <c r="U23" i="7"/>
  <c r="DM23" i="7"/>
  <c r="P23" i="7"/>
  <c r="DH23" i="7"/>
  <c r="DC23" i="7"/>
  <c r="GU23" i="7"/>
  <c r="CL23" i="7"/>
  <c r="FY23" i="7"/>
  <c r="CS23" i="7"/>
  <c r="GJ23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1" i="7"/>
  <c r="K11" i="7"/>
  <c r="K46" i="7"/>
  <c r="M46" i="7"/>
  <c r="N46" i="7"/>
  <c r="O46" i="7"/>
  <c r="L46" i="7"/>
  <c r="L11" i="7"/>
  <c r="O11" i="7"/>
  <c r="N11" i="7"/>
  <c r="M11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4" i="7"/>
  <c r="EV14" i="7"/>
  <c r="BE14" i="7"/>
  <c r="EW14" i="7"/>
  <c r="AZ14" i="7"/>
  <c r="ER14" i="7"/>
  <c r="X14" i="7"/>
  <c r="DP14" i="7"/>
  <c r="BO14" i="7"/>
  <c r="FW14" i="7"/>
  <c r="CQ14" i="7"/>
  <c r="GI14" i="7"/>
  <c r="BJ14" i="7"/>
  <c r="FB14" i="7"/>
  <c r="BK14" i="7"/>
  <c r="FC14" i="7"/>
  <c r="BF14" i="7"/>
  <c r="EX14" i="7"/>
  <c r="AD14" i="7"/>
  <c r="DV14" i="7"/>
  <c r="CG14" i="7"/>
  <c r="GO14" i="7"/>
  <c r="DI14" i="7"/>
  <c r="CA14" i="7"/>
  <c r="BP14" i="7"/>
  <c r="FH14" i="7"/>
  <c r="BQ14" i="7"/>
  <c r="FI14" i="7"/>
  <c r="BL14" i="7"/>
  <c r="FD14" i="7"/>
  <c r="AJ14" i="7"/>
  <c r="EB14" i="7"/>
  <c r="CY14" i="7"/>
  <c r="AK14" i="7"/>
  <c r="EA14" i="7"/>
  <c r="GE14" i="7"/>
  <c r="BV14" i="7"/>
  <c r="FN14" i="7"/>
  <c r="BW14" i="7"/>
  <c r="FO14" i="7"/>
  <c r="BR14" i="7"/>
  <c r="FJ14" i="7"/>
  <c r="AP14" i="7"/>
  <c r="EH14" i="7"/>
  <c r="DQ14" i="7"/>
  <c r="BC14" i="7"/>
  <c r="ES14" i="7"/>
  <c r="CS14" i="7"/>
  <c r="CB14" i="7"/>
  <c r="FT14" i="7"/>
  <c r="CC14" i="7"/>
  <c r="FU14" i="7"/>
  <c r="BX14" i="7"/>
  <c r="FP14" i="7"/>
  <c r="AV14" i="7"/>
  <c r="EN14" i="7"/>
  <c r="EI14" i="7"/>
  <c r="BU14" i="7"/>
  <c r="FK14" i="7"/>
  <c r="DK14" i="7"/>
  <c r="CH14" i="7"/>
  <c r="FZ14" i="7"/>
  <c r="CI14" i="7"/>
  <c r="GA14" i="7"/>
  <c r="CD14" i="7"/>
  <c r="FV14" i="7"/>
  <c r="BB14" i="7"/>
  <c r="ET14" i="7"/>
  <c r="FA14" i="7"/>
  <c r="CM14" i="7"/>
  <c r="GC14" i="7"/>
  <c r="S14" i="7"/>
  <c r="CN14" i="7"/>
  <c r="GF14" i="7"/>
  <c r="CO14" i="7"/>
  <c r="GG14" i="7"/>
  <c r="CJ14" i="7"/>
  <c r="GB14" i="7"/>
  <c r="BH14" i="7"/>
  <c r="EZ14" i="7"/>
  <c r="FS14" i="7"/>
  <c r="DE14" i="7"/>
  <c r="GU14" i="7"/>
  <c r="EC14" i="7"/>
  <c r="CT14" i="7"/>
  <c r="GL14" i="7"/>
  <c r="CU14" i="7"/>
  <c r="GM14" i="7"/>
  <c r="CP14" i="7"/>
  <c r="GH14" i="7"/>
  <c r="BN14" i="7"/>
  <c r="FF14" i="7"/>
  <c r="GK14" i="7"/>
  <c r="DW14" i="7"/>
  <c r="Y14" i="7"/>
  <c r="AQ14" i="7"/>
  <c r="CZ14" i="7"/>
  <c r="GR14" i="7"/>
  <c r="DA14" i="7"/>
  <c r="GS14" i="7"/>
  <c r="CV14" i="7"/>
  <c r="GN14" i="7"/>
  <c r="BT14" i="7"/>
  <c r="FL14" i="7"/>
  <c r="AI14" i="7"/>
  <c r="EO14" i="7"/>
  <c r="AU14" i="7"/>
  <c r="EU14" i="7"/>
  <c r="N14" i="7"/>
  <c r="DF14" i="7"/>
  <c r="O14" i="7"/>
  <c r="DG14" i="7"/>
  <c r="J14" i="7"/>
  <c r="DB14" i="7"/>
  <c r="GT14" i="7"/>
  <c r="BZ14" i="7"/>
  <c r="FR14" i="7"/>
  <c r="BA14" i="7"/>
  <c r="FG14" i="7"/>
  <c r="BM14" i="7"/>
  <c r="BI14" i="7"/>
  <c r="T14" i="7"/>
  <c r="DL14" i="7"/>
  <c r="U14" i="7"/>
  <c r="DM14" i="7"/>
  <c r="P14" i="7"/>
  <c r="DH14" i="7"/>
  <c r="K14" i="7"/>
  <c r="CF14" i="7"/>
  <c r="FX14" i="7"/>
  <c r="BS14" i="7"/>
  <c r="FY14" i="7"/>
  <c r="CE14" i="7"/>
  <c r="FM14" i="7"/>
  <c r="Z14" i="7"/>
  <c r="DR14" i="7"/>
  <c r="AA14" i="7"/>
  <c r="DS14" i="7"/>
  <c r="V14" i="7"/>
  <c r="DN14" i="7"/>
  <c r="Q14" i="7"/>
  <c r="CL14" i="7"/>
  <c r="GD14" i="7"/>
  <c r="CK14" i="7"/>
  <c r="GQ14" i="7"/>
  <c r="CW14" i="7"/>
  <c r="AF14" i="7"/>
  <c r="DX14" i="7"/>
  <c r="AG14" i="7"/>
  <c r="DY14" i="7"/>
  <c r="AB14" i="7"/>
  <c r="DT14" i="7"/>
  <c r="W14" i="7"/>
  <c r="CR14" i="7"/>
  <c r="GJ14" i="7"/>
  <c r="DC14" i="7"/>
  <c r="M14" i="7"/>
  <c r="DO14" i="7"/>
  <c r="AL14" i="7"/>
  <c r="ED14" i="7"/>
  <c r="AM14" i="7"/>
  <c r="EE14" i="7"/>
  <c r="AH14" i="7"/>
  <c r="DZ14" i="7"/>
  <c r="AC14" i="7"/>
  <c r="CX14" i="7"/>
  <c r="GP14" i="7"/>
  <c r="DU14" i="7"/>
  <c r="AO14" i="7"/>
  <c r="EG14" i="7"/>
  <c r="AR14" i="7"/>
  <c r="EJ14" i="7"/>
  <c r="AS14" i="7"/>
  <c r="EK14" i="7"/>
  <c r="AN14" i="7"/>
  <c r="EF14" i="7"/>
  <c r="L14" i="7"/>
  <c r="DD14" i="7"/>
  <c r="AE14" i="7"/>
  <c r="EM14" i="7"/>
  <c r="BG14" i="7"/>
  <c r="EY14" i="7"/>
  <c r="AX14" i="7"/>
  <c r="EP14" i="7"/>
  <c r="AY14" i="7"/>
  <c r="EQ14" i="7"/>
  <c r="AT14" i="7"/>
  <c r="EL14" i="7"/>
  <c r="R14" i="7"/>
  <c r="DJ14" i="7"/>
  <c r="AW14" i="7"/>
  <c r="FE14" i="7"/>
  <c r="BY14" i="7"/>
  <c r="FQ14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5" i="7"/>
  <c r="DK15" i="7"/>
  <c r="GN15" i="7"/>
  <c r="CX15" i="7"/>
  <c r="GA15" i="7"/>
  <c r="CK15" i="7"/>
  <c r="EX15" i="7"/>
  <c r="AB15" i="7"/>
  <c r="DE15" i="7"/>
  <c r="GH15" i="7"/>
  <c r="CR15" i="7"/>
  <c r="FU15" i="7"/>
  <c r="U15" i="7"/>
  <c r="EA15" i="7"/>
  <c r="AK15" i="7"/>
  <c r="DN15" i="7"/>
  <c r="GQ15" i="7"/>
  <c r="DA15" i="7"/>
  <c r="FN15" i="7"/>
  <c r="AR15" i="7"/>
  <c r="DU15" i="7"/>
  <c r="AE15" i="7"/>
  <c r="DH15" i="7"/>
  <c r="GK15" i="7"/>
  <c r="J15" i="7"/>
  <c r="EQ15" i="7"/>
  <c r="BA15" i="7"/>
  <c r="ED15" i="7"/>
  <c r="AN15" i="7"/>
  <c r="DQ15" i="7"/>
  <c r="GD15" i="7"/>
  <c r="BH15" i="7"/>
  <c r="EK15" i="7"/>
  <c r="AU15" i="7"/>
  <c r="DX15" i="7"/>
  <c r="AH15" i="7"/>
  <c r="P15" i="7"/>
  <c r="FG15" i="7"/>
  <c r="BQ15" i="7"/>
  <c r="ET15" i="7"/>
  <c r="BD15" i="7"/>
  <c r="EG15" i="7"/>
  <c r="GT15" i="7"/>
  <c r="BX15" i="7"/>
  <c r="FA15" i="7"/>
  <c r="BK15" i="7"/>
  <c r="EN15" i="7"/>
  <c r="AX15" i="7"/>
  <c r="V15" i="7"/>
  <c r="FW15" i="7"/>
  <c r="CG15" i="7"/>
  <c r="FJ15" i="7"/>
  <c r="BT15" i="7"/>
  <c r="EW15" i="7"/>
  <c r="AA15" i="7"/>
  <c r="CN15" i="7"/>
  <c r="FQ15" i="7"/>
  <c r="CA15" i="7"/>
  <c r="FD15" i="7"/>
  <c r="BN15" i="7"/>
  <c r="GM15" i="7"/>
  <c r="CW15" i="7"/>
  <c r="FZ15" i="7"/>
  <c r="CJ15" i="7"/>
  <c r="FM15" i="7"/>
  <c r="AQ15" i="7"/>
  <c r="DD15" i="7"/>
  <c r="GG15" i="7"/>
  <c r="CQ15" i="7"/>
  <c r="FT15" i="7"/>
  <c r="CD15" i="7"/>
  <c r="K15" i="7"/>
  <c r="AJ15" i="7"/>
  <c r="DM15" i="7"/>
  <c r="GP15" i="7"/>
  <c r="CZ15" i="7"/>
  <c r="GC15" i="7"/>
  <c r="BG15" i="7"/>
  <c r="DT15" i="7"/>
  <c r="AD15" i="7"/>
  <c r="DG15" i="7"/>
  <c r="GJ15" i="7"/>
  <c r="CT15" i="7"/>
  <c r="Q15" i="7"/>
  <c r="AZ15" i="7"/>
  <c r="EC15" i="7"/>
  <c r="AM15" i="7"/>
  <c r="DP15" i="7"/>
  <c r="GS15" i="7"/>
  <c r="BW15" i="7"/>
  <c r="EJ15" i="7"/>
  <c r="AT15" i="7"/>
  <c r="DW15" i="7"/>
  <c r="AG15" i="7"/>
  <c r="DJ15" i="7"/>
  <c r="W15" i="7"/>
  <c r="BP15" i="7"/>
  <c r="ES15" i="7"/>
  <c r="BC15" i="7"/>
  <c r="EF15" i="7"/>
  <c r="Z15" i="7"/>
  <c r="CM15" i="7"/>
  <c r="EZ15" i="7"/>
  <c r="BJ15" i="7"/>
  <c r="EM15" i="7"/>
  <c r="AW15" i="7"/>
  <c r="DZ15" i="7"/>
  <c r="M15" i="7"/>
  <c r="CF15" i="7"/>
  <c r="FI15" i="7"/>
  <c r="BS15" i="7"/>
  <c r="EV15" i="7"/>
  <c r="AP15" i="7"/>
  <c r="DC15" i="7"/>
  <c r="FP15" i="7"/>
  <c r="BZ15" i="7"/>
  <c r="FC15" i="7"/>
  <c r="BM15" i="7"/>
  <c r="EP15" i="7"/>
  <c r="S15" i="7"/>
  <c r="L15" i="7"/>
  <c r="CV15" i="7"/>
  <c r="FY15" i="7"/>
  <c r="CI15" i="7"/>
  <c r="FL15" i="7"/>
  <c r="BF15" i="7"/>
  <c r="DS15" i="7"/>
  <c r="GF15" i="7"/>
  <c r="CP15" i="7"/>
  <c r="FS15" i="7"/>
  <c r="CC15" i="7"/>
  <c r="FF15" i="7"/>
  <c r="Y15" i="7"/>
  <c r="R15" i="7"/>
  <c r="AI15" i="7"/>
  <c r="DL15" i="7"/>
  <c r="GO15" i="7"/>
  <c r="CY15" i="7"/>
  <c r="GB15" i="7"/>
  <c r="BV15" i="7"/>
  <c r="EI15" i="7"/>
  <c r="AC15" i="7"/>
  <c r="DF15" i="7"/>
  <c r="GI15" i="7"/>
  <c r="CS15" i="7"/>
  <c r="FV15" i="7"/>
  <c r="X15" i="7"/>
  <c r="AY15" i="7"/>
  <c r="EB15" i="7"/>
  <c r="AL15" i="7"/>
  <c r="DO15" i="7"/>
  <c r="GR15" i="7"/>
  <c r="CL15" i="7"/>
  <c r="EY15" i="7"/>
  <c r="AS15" i="7"/>
  <c r="DV15" i="7"/>
  <c r="AF15" i="7"/>
  <c r="DI15" i="7"/>
  <c r="GL15" i="7"/>
  <c r="N15" i="7"/>
  <c r="BO15" i="7"/>
  <c r="ER15" i="7"/>
  <c r="BB15" i="7"/>
  <c r="EE15" i="7"/>
  <c r="AO15" i="7"/>
  <c r="DB15" i="7"/>
  <c r="FO15" i="7"/>
  <c r="BI15" i="7"/>
  <c r="EL15" i="7"/>
  <c r="AV15" i="7"/>
  <c r="DY15" i="7"/>
  <c r="T15" i="7"/>
  <c r="CE15" i="7"/>
  <c r="FH15" i="7"/>
  <c r="BR15" i="7"/>
  <c r="EU15" i="7"/>
  <c r="BE15" i="7"/>
  <c r="DR15" i="7"/>
  <c r="GE15" i="7"/>
  <c r="BY15" i="7"/>
  <c r="FB15" i="7"/>
  <c r="BL15" i="7"/>
  <c r="EO15" i="7"/>
  <c r="CU15" i="7"/>
  <c r="FX15" i="7"/>
  <c r="CH15" i="7"/>
  <c r="FK15" i="7"/>
  <c r="BU15" i="7"/>
  <c r="EH15" i="7"/>
  <c r="GU15" i="7"/>
  <c r="CO15" i="7"/>
  <c r="FR15" i="7"/>
  <c r="CB15" i="7"/>
  <c r="FE15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1" i="7"/>
  <c r="EZ31" i="7"/>
  <c r="BI31" i="7"/>
  <c r="FA31" i="7"/>
  <c r="BJ31" i="7"/>
  <c r="BT31" i="7"/>
  <c r="CF31" i="7"/>
  <c r="FX31" i="7"/>
  <c r="CG31" i="7"/>
  <c r="CL31" i="7"/>
  <c r="GD31" i="7"/>
  <c r="CM31" i="7"/>
  <c r="GE31" i="7"/>
  <c r="CN31" i="7"/>
  <c r="GF31" i="7"/>
  <c r="CO31" i="7"/>
  <c r="GG31" i="7"/>
  <c r="CR31" i="7"/>
  <c r="GJ31" i="7"/>
  <c r="CS31" i="7"/>
  <c r="GK31" i="7"/>
  <c r="CT31" i="7"/>
  <c r="GL31" i="7"/>
  <c r="CU31" i="7"/>
  <c r="GM31" i="7"/>
  <c r="CW31" i="7"/>
  <c r="GO31" i="7"/>
  <c r="CX31" i="7"/>
  <c r="GP31" i="7"/>
  <c r="CY31" i="7"/>
  <c r="GQ31" i="7"/>
  <c r="CZ31" i="7"/>
  <c r="GR31" i="7"/>
  <c r="DA31" i="7"/>
  <c r="R31" i="7"/>
  <c r="DJ31" i="7"/>
  <c r="S31" i="7"/>
  <c r="DK31" i="7"/>
  <c r="T31" i="7"/>
  <c r="DL31" i="7"/>
  <c r="U31" i="7"/>
  <c r="DM31" i="7"/>
  <c r="W31" i="7"/>
  <c r="X31" i="7"/>
  <c r="DP31" i="7"/>
  <c r="AD31" i="7"/>
  <c r="DV31" i="7"/>
  <c r="AJ31" i="7"/>
  <c r="EB31" i="7"/>
  <c r="AK31" i="7"/>
  <c r="BB31" i="7"/>
  <c r="ET31" i="7"/>
  <c r="BC31" i="7"/>
  <c r="EU31" i="7"/>
  <c r="BD31" i="7"/>
  <c r="EV31" i="7"/>
  <c r="BE31" i="7"/>
  <c r="AE31" i="7"/>
  <c r="FB31" i="7"/>
  <c r="DG31" i="7"/>
  <c r="AO31" i="7"/>
  <c r="EM31" i="7"/>
  <c r="V31" i="7"/>
  <c r="AN31" i="7"/>
  <c r="AQ31" i="7"/>
  <c r="Z31" i="7"/>
  <c r="FH31" i="7"/>
  <c r="DS31" i="7"/>
  <c r="AU31" i="7"/>
  <c r="ES31" i="7"/>
  <c r="BF31" i="7"/>
  <c r="BX31" i="7"/>
  <c r="AW31" i="7"/>
  <c r="AF31" i="7"/>
  <c r="FN31" i="7"/>
  <c r="DY31" i="7"/>
  <c r="BA31" i="7"/>
  <c r="EY31" i="7"/>
  <c r="CP31" i="7"/>
  <c r="DH31" i="7"/>
  <c r="BO31" i="7"/>
  <c r="AL31" i="7"/>
  <c r="FT31" i="7"/>
  <c r="EE31" i="7"/>
  <c r="BG31" i="7"/>
  <c r="FE31" i="7"/>
  <c r="DZ31" i="7"/>
  <c r="ER31" i="7"/>
  <c r="AP31" i="7"/>
  <c r="BU31" i="7"/>
  <c r="AR31" i="7"/>
  <c r="FZ31" i="7"/>
  <c r="EK31" i="7"/>
  <c r="BM31" i="7"/>
  <c r="FK31" i="7"/>
  <c r="FJ31" i="7"/>
  <c r="GB31" i="7"/>
  <c r="AV31" i="7"/>
  <c r="CA31" i="7"/>
  <c r="AX31" i="7"/>
  <c r="O31" i="7"/>
  <c r="EQ31" i="7"/>
  <c r="BS31" i="7"/>
  <c r="FQ31" i="7"/>
  <c r="GT31" i="7"/>
  <c r="AT31" i="7"/>
  <c r="BN31" i="7"/>
  <c r="DE31" i="7"/>
  <c r="BP31" i="7"/>
  <c r="AA31" i="7"/>
  <c r="EW31" i="7"/>
  <c r="BY31" i="7"/>
  <c r="FW31" i="7"/>
  <c r="AB31" i="7"/>
  <c r="CD31" i="7"/>
  <c r="BZ31" i="7"/>
  <c r="DQ31" i="7"/>
  <c r="BV31" i="7"/>
  <c r="AG31" i="7"/>
  <c r="FC31" i="7"/>
  <c r="CE31" i="7"/>
  <c r="GC31" i="7"/>
  <c r="BL31" i="7"/>
  <c r="DN31" i="7"/>
  <c r="DD31" i="7"/>
  <c r="DW31" i="7"/>
  <c r="CB31" i="7"/>
  <c r="AM31" i="7"/>
  <c r="FI31" i="7"/>
  <c r="CK31" i="7"/>
  <c r="GI31" i="7"/>
  <c r="CV31" i="7"/>
  <c r="EX31" i="7"/>
  <c r="EH31" i="7"/>
  <c r="EC31" i="7"/>
  <c r="CH31" i="7"/>
  <c r="AS31" i="7"/>
  <c r="FO31" i="7"/>
  <c r="CQ31" i="7"/>
  <c r="GU31" i="7"/>
  <c r="EF31" i="7"/>
  <c r="GH31" i="7"/>
  <c r="EN31" i="7"/>
  <c r="EI31" i="7"/>
  <c r="DF31" i="7"/>
  <c r="AY31" i="7"/>
  <c r="FU31" i="7"/>
  <c r="DC31" i="7"/>
  <c r="P31" i="7"/>
  <c r="FP31" i="7"/>
  <c r="FF31" i="7"/>
  <c r="EO31" i="7"/>
  <c r="DR31" i="7"/>
  <c r="BK31" i="7"/>
  <c r="GA31" i="7"/>
  <c r="DI31" i="7"/>
  <c r="AZ31" i="7"/>
  <c r="AH31" i="7"/>
  <c r="FL31" i="7"/>
  <c r="FG31" i="7"/>
  <c r="DX31" i="7"/>
  <c r="BQ31" i="7"/>
  <c r="GS31" i="7"/>
  <c r="DO31" i="7"/>
  <c r="CJ31" i="7"/>
  <c r="BR31" i="7"/>
  <c r="FR31" i="7"/>
  <c r="FM31" i="7"/>
  <c r="ED31" i="7"/>
  <c r="BW31" i="7"/>
  <c r="Q31" i="7"/>
  <c r="DU31" i="7"/>
  <c r="DT31" i="7"/>
  <c r="DB31" i="7"/>
  <c r="FS31" i="7"/>
  <c r="EJ31" i="7"/>
  <c r="CC31" i="7"/>
  <c r="AC31" i="7"/>
  <c r="EA31" i="7"/>
  <c r="FD31" i="7"/>
  <c r="EL31" i="7"/>
  <c r="Y31" i="7"/>
  <c r="FY31" i="7"/>
  <c r="EP31" i="7"/>
  <c r="CI31" i="7"/>
  <c r="AI31" i="7"/>
  <c r="EG31" i="7"/>
  <c r="GN31" i="7"/>
  <c r="FV31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7" i="7"/>
  <c r="K27" i="7"/>
  <c r="M27" i="7"/>
  <c r="O27" i="7"/>
  <c r="Q27" i="7"/>
  <c r="W27" i="7"/>
  <c r="R27" i="7"/>
  <c r="Y27" i="7"/>
  <c r="S27" i="7"/>
  <c r="T27" i="7"/>
  <c r="U27" i="7"/>
  <c r="N27" i="7"/>
  <c r="V27" i="7"/>
  <c r="P27" i="7"/>
  <c r="X27" i="7"/>
  <c r="AA27" i="7"/>
  <c r="CN27" i="7"/>
  <c r="FQ27" i="7"/>
  <c r="CA27" i="7"/>
  <c r="FD27" i="7"/>
  <c r="BN27" i="7"/>
  <c r="EQ27" i="7"/>
  <c r="BA27" i="7"/>
  <c r="ED27" i="7"/>
  <c r="AN27" i="7"/>
  <c r="DQ27" i="7"/>
  <c r="GD27" i="7"/>
  <c r="AG27" i="7"/>
  <c r="AQ27" i="7"/>
  <c r="DD27" i="7"/>
  <c r="GG27" i="7"/>
  <c r="CQ27" i="7"/>
  <c r="FT27" i="7"/>
  <c r="CD27" i="7"/>
  <c r="FG27" i="7"/>
  <c r="BQ27" i="7"/>
  <c r="ET27" i="7"/>
  <c r="BD27" i="7"/>
  <c r="EG27" i="7"/>
  <c r="GT27" i="7"/>
  <c r="GM27" i="7"/>
  <c r="CJ27" i="7"/>
  <c r="BG27" i="7"/>
  <c r="DT27" i="7"/>
  <c r="AD27" i="7"/>
  <c r="DG27" i="7"/>
  <c r="GJ27" i="7"/>
  <c r="CT27" i="7"/>
  <c r="FW27" i="7"/>
  <c r="CG27" i="7"/>
  <c r="FJ27" i="7"/>
  <c r="BT27" i="7"/>
  <c r="EW27" i="7"/>
  <c r="AT27" i="7"/>
  <c r="BW27" i="7"/>
  <c r="CW27" i="7"/>
  <c r="CM27" i="7"/>
  <c r="EZ27" i="7"/>
  <c r="BJ27" i="7"/>
  <c r="EM27" i="7"/>
  <c r="AW27" i="7"/>
  <c r="DZ27" i="7"/>
  <c r="AJ27" i="7"/>
  <c r="DM27" i="7"/>
  <c r="GP27" i="7"/>
  <c r="CZ27" i="7"/>
  <c r="GC27" i="7"/>
  <c r="DC27" i="7"/>
  <c r="FP27" i="7"/>
  <c r="BZ27" i="7"/>
  <c r="FC27" i="7"/>
  <c r="BM27" i="7"/>
  <c r="EP27" i="7"/>
  <c r="AZ27" i="7"/>
  <c r="EC27" i="7"/>
  <c r="AM27" i="7"/>
  <c r="DP27" i="7"/>
  <c r="GS27" i="7"/>
  <c r="DS27" i="7"/>
  <c r="GF27" i="7"/>
  <c r="CP27" i="7"/>
  <c r="FS27" i="7"/>
  <c r="CC27" i="7"/>
  <c r="FF27" i="7"/>
  <c r="BP27" i="7"/>
  <c r="ES27" i="7"/>
  <c r="BC27" i="7"/>
  <c r="EF27" i="7"/>
  <c r="Z27" i="7"/>
  <c r="EI27" i="7"/>
  <c r="AC27" i="7"/>
  <c r="DF27" i="7"/>
  <c r="GI27" i="7"/>
  <c r="CS27" i="7"/>
  <c r="FV27" i="7"/>
  <c r="CF27" i="7"/>
  <c r="FI27" i="7"/>
  <c r="BS27" i="7"/>
  <c r="EV27" i="7"/>
  <c r="AP27" i="7"/>
  <c r="EY27" i="7"/>
  <c r="AS27" i="7"/>
  <c r="DV27" i="7"/>
  <c r="AF27" i="7"/>
  <c r="DI27" i="7"/>
  <c r="GL27" i="7"/>
  <c r="CV27" i="7"/>
  <c r="FY27" i="7"/>
  <c r="CI27" i="7"/>
  <c r="FL27" i="7"/>
  <c r="BF27" i="7"/>
  <c r="FO27" i="7"/>
  <c r="BI27" i="7"/>
  <c r="EL27" i="7"/>
  <c r="AV27" i="7"/>
  <c r="DY27" i="7"/>
  <c r="AI27" i="7"/>
  <c r="DL27" i="7"/>
  <c r="GO27" i="7"/>
  <c r="CY27" i="7"/>
  <c r="GB27" i="7"/>
  <c r="BV27" i="7"/>
  <c r="GE27" i="7"/>
  <c r="BY27" i="7"/>
  <c r="FB27" i="7"/>
  <c r="BL27" i="7"/>
  <c r="EO27" i="7"/>
  <c r="AY27" i="7"/>
  <c r="EB27" i="7"/>
  <c r="AL27" i="7"/>
  <c r="DO27" i="7"/>
  <c r="GR27" i="7"/>
  <c r="CL27" i="7"/>
  <c r="GU27" i="7"/>
  <c r="CO27" i="7"/>
  <c r="FR27" i="7"/>
  <c r="CB27" i="7"/>
  <c r="FE27" i="7"/>
  <c r="BO27" i="7"/>
  <c r="ER27" i="7"/>
  <c r="BB27" i="7"/>
  <c r="EE27" i="7"/>
  <c r="AO27" i="7"/>
  <c r="DB27" i="7"/>
  <c r="AB27" i="7"/>
  <c r="DE27" i="7"/>
  <c r="GH27" i="7"/>
  <c r="CR27" i="7"/>
  <c r="FU27" i="7"/>
  <c r="CE27" i="7"/>
  <c r="FH27" i="7"/>
  <c r="BR27" i="7"/>
  <c r="EU27" i="7"/>
  <c r="BE27" i="7"/>
  <c r="DR27" i="7"/>
  <c r="AR27" i="7"/>
  <c r="DU27" i="7"/>
  <c r="AE27" i="7"/>
  <c r="DH27" i="7"/>
  <c r="GK27" i="7"/>
  <c r="CU27" i="7"/>
  <c r="FX27" i="7"/>
  <c r="CH27" i="7"/>
  <c r="FK27" i="7"/>
  <c r="BU27" i="7"/>
  <c r="EH27" i="7"/>
  <c r="DW27" i="7"/>
  <c r="FM27" i="7"/>
  <c r="BH27" i="7"/>
  <c r="EK27" i="7"/>
  <c r="AU27" i="7"/>
  <c r="DX27" i="7"/>
  <c r="AH27" i="7"/>
  <c r="DK27" i="7"/>
  <c r="GN27" i="7"/>
  <c r="CX27" i="7"/>
  <c r="GA27" i="7"/>
  <c r="CK27" i="7"/>
  <c r="EX27" i="7"/>
  <c r="DJ27" i="7"/>
  <c r="BX27" i="7"/>
  <c r="FA27" i="7"/>
  <c r="BK27" i="7"/>
  <c r="EN27" i="7"/>
  <c r="AX27" i="7"/>
  <c r="EA27" i="7"/>
  <c r="AK27" i="7"/>
  <c r="DN27" i="7"/>
  <c r="GQ27" i="7"/>
  <c r="DA27" i="7"/>
  <c r="FN27" i="7"/>
  <c r="EJ27" i="7"/>
  <c r="FZ27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0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0" i="7"/>
  <c r="EA10" i="7"/>
  <c r="AP10" i="7"/>
  <c r="EH10" i="7"/>
  <c r="BC10" i="7"/>
  <c r="EU10" i="7"/>
  <c r="BJ10" i="7"/>
  <c r="FB10" i="7"/>
  <c r="BQ10" i="7"/>
  <c r="FI10" i="7"/>
  <c r="BX10" i="7"/>
  <c r="FP10" i="7"/>
  <c r="AO10" i="7"/>
  <c r="EG10" i="7"/>
  <c r="AV10" i="7"/>
  <c r="EN10" i="7"/>
  <c r="BI10" i="7"/>
  <c r="FA10" i="7"/>
  <c r="BP10" i="7"/>
  <c r="FH10" i="7"/>
  <c r="AU10" i="7"/>
  <c r="EM10" i="7"/>
  <c r="BB10" i="7"/>
  <c r="ET10" i="7"/>
  <c r="BO10" i="7"/>
  <c r="FG10" i="7"/>
  <c r="BV10" i="7"/>
  <c r="FN10" i="7"/>
  <c r="CC10" i="7"/>
  <c r="FU10" i="7"/>
  <c r="CJ10" i="7"/>
  <c r="GB10" i="7"/>
  <c r="BA10" i="7"/>
  <c r="ES10" i="7"/>
  <c r="BH10" i="7"/>
  <c r="EZ10" i="7"/>
  <c r="BU10" i="7"/>
  <c r="FM10" i="7"/>
  <c r="BG10" i="7"/>
  <c r="EY10" i="7"/>
  <c r="BN10" i="7"/>
  <c r="FF10" i="7"/>
  <c r="CA10" i="7"/>
  <c r="FS10" i="7"/>
  <c r="CH10" i="7"/>
  <c r="FZ10" i="7"/>
  <c r="CO10" i="7"/>
  <c r="GG10" i="7"/>
  <c r="CV10" i="7"/>
  <c r="GN10" i="7"/>
  <c r="BM10" i="7"/>
  <c r="FE10" i="7"/>
  <c r="BT10" i="7"/>
  <c r="FL10" i="7"/>
  <c r="CG10" i="7"/>
  <c r="FY10" i="7"/>
  <c r="CN10" i="7"/>
  <c r="GF10" i="7"/>
  <c r="CU10" i="7"/>
  <c r="GM10" i="7"/>
  <c r="DB10" i="7"/>
  <c r="GT10" i="7"/>
  <c r="BS10" i="7"/>
  <c r="FK10" i="7"/>
  <c r="BZ10" i="7"/>
  <c r="FR10" i="7"/>
  <c r="CM10" i="7"/>
  <c r="GE10" i="7"/>
  <c r="CT10" i="7"/>
  <c r="GL10" i="7"/>
  <c r="DA10" i="7"/>
  <c r="GS10" i="7"/>
  <c r="DH10" i="7"/>
  <c r="BY10" i="7"/>
  <c r="FQ10" i="7"/>
  <c r="CF10" i="7"/>
  <c r="FX10" i="7"/>
  <c r="CS10" i="7"/>
  <c r="GK10" i="7"/>
  <c r="CZ10" i="7"/>
  <c r="GR10" i="7"/>
  <c r="DG10" i="7"/>
  <c r="V10" i="7"/>
  <c r="DN10" i="7"/>
  <c r="CE10" i="7"/>
  <c r="FW10" i="7"/>
  <c r="CL10" i="7"/>
  <c r="GD10" i="7"/>
  <c r="CY10" i="7"/>
  <c r="GQ10" i="7"/>
  <c r="DF10" i="7"/>
  <c r="CK10" i="7"/>
  <c r="GC10" i="7"/>
  <c r="CR10" i="7"/>
  <c r="GJ10" i="7"/>
  <c r="DE10" i="7"/>
  <c r="T10" i="7"/>
  <c r="DL10" i="7"/>
  <c r="AA10" i="7"/>
  <c r="DS10" i="7"/>
  <c r="AH10" i="7"/>
  <c r="DZ10" i="7"/>
  <c r="CQ10" i="7"/>
  <c r="GI10" i="7"/>
  <c r="CX10" i="7"/>
  <c r="GP10" i="7"/>
  <c r="DK10" i="7"/>
  <c r="Z10" i="7"/>
  <c r="DR10" i="7"/>
  <c r="AG10" i="7"/>
  <c r="DY10" i="7"/>
  <c r="AN10" i="7"/>
  <c r="EF10" i="7"/>
  <c r="CW10" i="7"/>
  <c r="GO10" i="7"/>
  <c r="DD10" i="7"/>
  <c r="Y10" i="7"/>
  <c r="DQ10" i="7"/>
  <c r="AF10" i="7"/>
  <c r="DX10" i="7"/>
  <c r="AM10" i="7"/>
  <c r="EE10" i="7"/>
  <c r="AT10" i="7"/>
  <c r="EL10" i="7"/>
  <c r="DC10" i="7"/>
  <c r="GU10" i="7"/>
  <c r="DJ10" i="7"/>
  <c r="AE10" i="7"/>
  <c r="DW10" i="7"/>
  <c r="AL10" i="7"/>
  <c r="ED10" i="7"/>
  <c r="AS10" i="7"/>
  <c r="EK10" i="7"/>
  <c r="AZ10" i="7"/>
  <c r="ER10" i="7"/>
  <c r="DI10" i="7"/>
  <c r="X10" i="7"/>
  <c r="DP10" i="7"/>
  <c r="AK10" i="7"/>
  <c r="EC10" i="7"/>
  <c r="AR10" i="7"/>
  <c r="EJ10" i="7"/>
  <c r="AY10" i="7"/>
  <c r="EQ10" i="7"/>
  <c r="AC10" i="7"/>
  <c r="DU10" i="7"/>
  <c r="AJ10" i="7"/>
  <c r="EB10" i="7"/>
  <c r="AW10" i="7"/>
  <c r="EO10" i="7"/>
  <c r="BD10" i="7"/>
  <c r="EV10" i="7"/>
  <c r="BK10" i="7"/>
  <c r="FC10" i="7"/>
  <c r="BR10" i="7"/>
  <c r="FJ10" i="7"/>
  <c r="FT10" i="7"/>
  <c r="FD10" i="7"/>
  <c r="N10" i="7"/>
  <c r="U10" i="7"/>
  <c r="FV10" i="7"/>
  <c r="O10" i="7"/>
  <c r="BE10" i="7"/>
  <c r="GH10" i="7"/>
  <c r="P10" i="7"/>
  <c r="BW10" i="7"/>
  <c r="CI10" i="7"/>
  <c r="DM10" i="7"/>
  <c r="EW10" i="7"/>
  <c r="W10" i="7"/>
  <c r="FO10" i="7"/>
  <c r="DO10" i="7"/>
  <c r="GA10" i="7"/>
  <c r="AD10" i="7"/>
  <c r="AB10" i="7"/>
  <c r="DV10" i="7"/>
  <c r="BF10" i="7"/>
  <c r="AQ10" i="7"/>
  <c r="BL10" i="7"/>
  <c r="EI10" i="7"/>
  <c r="CD10" i="7"/>
  <c r="Q10" i="7"/>
  <c r="AX10" i="7"/>
  <c r="CP10" i="7"/>
  <c r="R10" i="7"/>
  <c r="CB10" i="7"/>
  <c r="DT10" i="7"/>
  <c r="M10" i="7"/>
  <c r="EP10" i="7"/>
  <c r="EX10" i="7"/>
  <c r="S10" i="7"/>
  <c r="J57" i="7"/>
  <c r="K57" i="7"/>
  <c r="J23" i="7"/>
  <c r="K23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9" i="7"/>
  <c r="W29" i="7"/>
  <c r="DO29" i="7"/>
  <c r="X29" i="7"/>
  <c r="DP29" i="7"/>
  <c r="AE29" i="7"/>
  <c r="DW29" i="7"/>
  <c r="AL29" i="7"/>
  <c r="ED29" i="7"/>
  <c r="AT29" i="7"/>
  <c r="EL29" i="7"/>
  <c r="AY29" i="7"/>
  <c r="AG29" i="7"/>
  <c r="AC29" i="7"/>
  <c r="DU29" i="7"/>
  <c r="AD29" i="7"/>
  <c r="DV29" i="7"/>
  <c r="AK29" i="7"/>
  <c r="EC29" i="7"/>
  <c r="AR29" i="7"/>
  <c r="EJ29" i="7"/>
  <c r="AZ29" i="7"/>
  <c r="ER29" i="7"/>
  <c r="CI29" i="7"/>
  <c r="BQ29" i="7"/>
  <c r="AI29" i="7"/>
  <c r="EA29" i="7"/>
  <c r="AJ29" i="7"/>
  <c r="EB29" i="7"/>
  <c r="AQ29" i="7"/>
  <c r="EI29" i="7"/>
  <c r="AX29" i="7"/>
  <c r="EP29" i="7"/>
  <c r="BF29" i="7"/>
  <c r="EX29" i="7"/>
  <c r="DS29" i="7"/>
  <c r="DA29" i="7"/>
  <c r="Q29" i="7"/>
  <c r="AO29" i="7"/>
  <c r="EG29" i="7"/>
  <c r="AP29" i="7"/>
  <c r="EH29" i="7"/>
  <c r="AW29" i="7"/>
  <c r="EO29" i="7"/>
  <c r="BD29" i="7"/>
  <c r="EV29" i="7"/>
  <c r="BL29" i="7"/>
  <c r="FD29" i="7"/>
  <c r="FC29" i="7"/>
  <c r="EK29" i="7"/>
  <c r="AU29" i="7"/>
  <c r="EM29" i="7"/>
  <c r="AV29" i="7"/>
  <c r="EN29" i="7"/>
  <c r="BC29" i="7"/>
  <c r="EU29" i="7"/>
  <c r="BJ29" i="7"/>
  <c r="FB29" i="7"/>
  <c r="BR29" i="7"/>
  <c r="FJ29" i="7"/>
  <c r="GM29" i="7"/>
  <c r="FU29" i="7"/>
  <c r="BA29" i="7"/>
  <c r="ES29" i="7"/>
  <c r="BB29" i="7"/>
  <c r="ET29" i="7"/>
  <c r="BI29" i="7"/>
  <c r="FA29" i="7"/>
  <c r="BP29" i="7"/>
  <c r="FH29" i="7"/>
  <c r="BX29" i="7"/>
  <c r="FP29" i="7"/>
  <c r="U29" i="7"/>
  <c r="AM29" i="7"/>
  <c r="BG29" i="7"/>
  <c r="EY29" i="7"/>
  <c r="BH29" i="7"/>
  <c r="EZ29" i="7"/>
  <c r="BO29" i="7"/>
  <c r="FG29" i="7"/>
  <c r="BV29" i="7"/>
  <c r="FN29" i="7"/>
  <c r="CD29" i="7"/>
  <c r="FV29" i="7"/>
  <c r="BE29" i="7"/>
  <c r="BW29" i="7"/>
  <c r="BM29" i="7"/>
  <c r="FE29" i="7"/>
  <c r="BN29" i="7"/>
  <c r="FF29" i="7"/>
  <c r="BU29" i="7"/>
  <c r="FM29" i="7"/>
  <c r="CB29" i="7"/>
  <c r="FT29" i="7"/>
  <c r="CJ29" i="7"/>
  <c r="GB29" i="7"/>
  <c r="CO29" i="7"/>
  <c r="DG29" i="7"/>
  <c r="BS29" i="7"/>
  <c r="FK29" i="7"/>
  <c r="BT29" i="7"/>
  <c r="FL29" i="7"/>
  <c r="CA29" i="7"/>
  <c r="FS29" i="7"/>
  <c r="CH29" i="7"/>
  <c r="FZ29" i="7"/>
  <c r="CP29" i="7"/>
  <c r="GH29" i="7"/>
  <c r="DY29" i="7"/>
  <c r="EQ29" i="7"/>
  <c r="BY29" i="7"/>
  <c r="FQ29" i="7"/>
  <c r="BZ29" i="7"/>
  <c r="FR29" i="7"/>
  <c r="CG29" i="7"/>
  <c r="FY29" i="7"/>
  <c r="CN29" i="7"/>
  <c r="GF29" i="7"/>
  <c r="CV29" i="7"/>
  <c r="GN29" i="7"/>
  <c r="FI29" i="7"/>
  <c r="GA29" i="7"/>
  <c r="CE29" i="7"/>
  <c r="FW29" i="7"/>
  <c r="CF29" i="7"/>
  <c r="FX29" i="7"/>
  <c r="CM29" i="7"/>
  <c r="GE29" i="7"/>
  <c r="CT29" i="7"/>
  <c r="GL29" i="7"/>
  <c r="DB29" i="7"/>
  <c r="GT29" i="7"/>
  <c r="GS29" i="7"/>
  <c r="P29" i="7"/>
  <c r="CK29" i="7"/>
  <c r="GC29" i="7"/>
  <c r="CL29" i="7"/>
  <c r="GD29" i="7"/>
  <c r="CS29" i="7"/>
  <c r="GK29" i="7"/>
  <c r="CZ29" i="7"/>
  <c r="GR29" i="7"/>
  <c r="DH29" i="7"/>
  <c r="AS29" i="7"/>
  <c r="AA29" i="7"/>
  <c r="CQ29" i="7"/>
  <c r="GI29" i="7"/>
  <c r="CR29" i="7"/>
  <c r="GJ29" i="7"/>
  <c r="CY29" i="7"/>
  <c r="GQ29" i="7"/>
  <c r="DF29" i="7"/>
  <c r="V29" i="7"/>
  <c r="DN29" i="7"/>
  <c r="CC29" i="7"/>
  <c r="BK29" i="7"/>
  <c r="CW29" i="7"/>
  <c r="GO29" i="7"/>
  <c r="CX29" i="7"/>
  <c r="GP29" i="7"/>
  <c r="DE29" i="7"/>
  <c r="T29" i="7"/>
  <c r="DL29" i="7"/>
  <c r="AB29" i="7"/>
  <c r="DT29" i="7"/>
  <c r="DM29" i="7"/>
  <c r="CU29" i="7"/>
  <c r="DC29" i="7"/>
  <c r="GU29" i="7"/>
  <c r="DD29" i="7"/>
  <c r="S29" i="7"/>
  <c r="DK29" i="7"/>
  <c r="Z29" i="7"/>
  <c r="DR29" i="7"/>
  <c r="AH29" i="7"/>
  <c r="DZ29" i="7"/>
  <c r="EW29" i="7"/>
  <c r="EE29" i="7"/>
  <c r="DI29" i="7"/>
  <c r="R29" i="7"/>
  <c r="DJ29" i="7"/>
  <c r="Y29" i="7"/>
  <c r="DQ29" i="7"/>
  <c r="AF29" i="7"/>
  <c r="DX29" i="7"/>
  <c r="AN29" i="7"/>
  <c r="EF29" i="7"/>
  <c r="GG29" i="7"/>
  <c r="FO29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6" i="7"/>
  <c r="EN6" i="7"/>
  <c r="AW6" i="7"/>
  <c r="EO6" i="7"/>
  <c r="AX6" i="7"/>
  <c r="EP6" i="7"/>
  <c r="AY6" i="7"/>
  <c r="EQ6" i="7"/>
  <c r="AT6" i="7"/>
  <c r="EL6" i="7"/>
  <c r="AO6" i="7"/>
  <c r="EG6" i="7"/>
  <c r="BB6" i="7"/>
  <c r="ET6" i="7"/>
  <c r="BC6" i="7"/>
  <c r="EU6" i="7"/>
  <c r="BD6" i="7"/>
  <c r="EV6" i="7"/>
  <c r="BE6" i="7"/>
  <c r="EW6" i="7"/>
  <c r="AZ6" i="7"/>
  <c r="ER6" i="7"/>
  <c r="AU6" i="7"/>
  <c r="EM6" i="7"/>
  <c r="BH6" i="7"/>
  <c r="EZ6" i="7"/>
  <c r="BI6" i="7"/>
  <c r="FA6" i="7"/>
  <c r="BJ6" i="7"/>
  <c r="FB6" i="7"/>
  <c r="BK6" i="7"/>
  <c r="FC6" i="7"/>
  <c r="BF6" i="7"/>
  <c r="EX6" i="7"/>
  <c r="BA6" i="7"/>
  <c r="ES6" i="7"/>
  <c r="BN6" i="7"/>
  <c r="FF6" i="7"/>
  <c r="BO6" i="7"/>
  <c r="FG6" i="7"/>
  <c r="BP6" i="7"/>
  <c r="FH6" i="7"/>
  <c r="BQ6" i="7"/>
  <c r="FI6" i="7"/>
  <c r="BL6" i="7"/>
  <c r="FD6" i="7"/>
  <c r="BG6" i="7"/>
  <c r="EY6" i="7"/>
  <c r="BT6" i="7"/>
  <c r="FL6" i="7"/>
  <c r="BU6" i="7"/>
  <c r="FM6" i="7"/>
  <c r="BV6" i="7"/>
  <c r="FN6" i="7"/>
  <c r="BW6" i="7"/>
  <c r="FO6" i="7"/>
  <c r="BR6" i="7"/>
  <c r="FJ6" i="7"/>
  <c r="BM6" i="7"/>
  <c r="FE6" i="7"/>
  <c r="BZ6" i="7"/>
  <c r="FR6" i="7"/>
  <c r="CA6" i="7"/>
  <c r="FS6" i="7"/>
  <c r="CB6" i="7"/>
  <c r="FT6" i="7"/>
  <c r="CC6" i="7"/>
  <c r="FU6" i="7"/>
  <c r="BX6" i="7"/>
  <c r="FP6" i="7"/>
  <c r="BS6" i="7"/>
  <c r="FK6" i="7"/>
  <c r="CF6" i="7"/>
  <c r="FX6" i="7"/>
  <c r="CG6" i="7"/>
  <c r="FY6" i="7"/>
  <c r="CH6" i="7"/>
  <c r="FZ6" i="7"/>
  <c r="CI6" i="7"/>
  <c r="GA6" i="7"/>
  <c r="CD6" i="7"/>
  <c r="FV6" i="7"/>
  <c r="BY6" i="7"/>
  <c r="FQ6" i="7"/>
  <c r="CL6" i="7"/>
  <c r="GD6" i="7"/>
  <c r="CM6" i="7"/>
  <c r="GE6" i="7"/>
  <c r="CN6" i="7"/>
  <c r="GF6" i="7"/>
  <c r="CO6" i="7"/>
  <c r="GG6" i="7"/>
  <c r="CJ6" i="7"/>
  <c r="GB6" i="7"/>
  <c r="CE6" i="7"/>
  <c r="FW6" i="7"/>
  <c r="CR6" i="7"/>
  <c r="GJ6" i="7"/>
  <c r="CS6" i="7"/>
  <c r="GK6" i="7"/>
  <c r="CT6" i="7"/>
  <c r="GL6" i="7"/>
  <c r="CU6" i="7"/>
  <c r="GM6" i="7"/>
  <c r="CP6" i="7"/>
  <c r="GH6" i="7"/>
  <c r="CK6" i="7"/>
  <c r="GC6" i="7"/>
  <c r="CX6" i="7"/>
  <c r="GP6" i="7"/>
  <c r="CY6" i="7"/>
  <c r="GQ6" i="7"/>
  <c r="CZ6" i="7"/>
  <c r="GR6" i="7"/>
  <c r="DA6" i="7"/>
  <c r="GS6" i="7"/>
  <c r="CV6" i="7"/>
  <c r="GN6" i="7"/>
  <c r="CQ6" i="7"/>
  <c r="GI6" i="7"/>
  <c r="L6" i="7"/>
  <c r="DD6" i="7"/>
  <c r="M6" i="7"/>
  <c r="DE6" i="7"/>
  <c r="N6" i="7"/>
  <c r="DF6" i="7"/>
  <c r="O6" i="7"/>
  <c r="DG6" i="7"/>
  <c r="DB6" i="7"/>
  <c r="GT6" i="7"/>
  <c r="CW6" i="7"/>
  <c r="GO6" i="7"/>
  <c r="R6" i="7"/>
  <c r="DJ6" i="7"/>
  <c r="S6" i="7"/>
  <c r="DK6" i="7"/>
  <c r="T6" i="7"/>
  <c r="DL6" i="7"/>
  <c r="U6" i="7"/>
  <c r="DM6" i="7"/>
  <c r="P6" i="7"/>
  <c r="DH6" i="7"/>
  <c r="DC6" i="7"/>
  <c r="GU6" i="7"/>
  <c r="X6" i="7"/>
  <c r="DP6" i="7"/>
  <c r="Y6" i="7"/>
  <c r="DQ6" i="7"/>
  <c r="Z6" i="7"/>
  <c r="DR6" i="7"/>
  <c r="AA6" i="7"/>
  <c r="DS6" i="7"/>
  <c r="V6" i="7"/>
  <c r="DN6" i="7"/>
  <c r="Q6" i="7"/>
  <c r="DI6" i="7"/>
  <c r="AD6" i="7"/>
  <c r="DV6" i="7"/>
  <c r="AE6" i="7"/>
  <c r="DW6" i="7"/>
  <c r="AF6" i="7"/>
  <c r="DX6" i="7"/>
  <c r="AG6" i="7"/>
  <c r="DY6" i="7"/>
  <c r="AB6" i="7"/>
  <c r="DT6" i="7"/>
  <c r="W6" i="7"/>
  <c r="DO6" i="7"/>
  <c r="AJ6" i="7"/>
  <c r="EB6" i="7"/>
  <c r="AK6" i="7"/>
  <c r="EC6" i="7"/>
  <c r="AL6" i="7"/>
  <c r="ED6" i="7"/>
  <c r="AM6" i="7"/>
  <c r="EE6" i="7"/>
  <c r="AH6" i="7"/>
  <c r="DZ6" i="7"/>
  <c r="AC6" i="7"/>
  <c r="DU6" i="7"/>
  <c r="AP6" i="7"/>
  <c r="EH6" i="7"/>
  <c r="AQ6" i="7"/>
  <c r="EI6" i="7"/>
  <c r="AR6" i="7"/>
  <c r="EJ6" i="7"/>
  <c r="AS6" i="7"/>
  <c r="EK6" i="7"/>
  <c r="AN6" i="7"/>
  <c r="EF6" i="7"/>
  <c r="AI6" i="7"/>
  <c r="EA6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1" i="2"/>
  <c r="BN2" i="2"/>
  <c r="BN26" i="2"/>
  <c r="BN10" i="2"/>
  <c r="BN7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5" i="2"/>
  <c r="H36" i="2"/>
  <c r="H35" i="2"/>
  <c r="H37" i="2"/>
  <c r="V35" i="2"/>
  <c r="V37" i="2"/>
  <c r="V36" i="2"/>
  <c r="T37" i="2"/>
  <c r="T36" i="2"/>
  <c r="T35" i="2"/>
  <c r="O37" i="2"/>
  <c r="O36" i="2"/>
  <c r="O35" i="2"/>
  <c r="G25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6" i="2"/>
  <c r="AD225" i="1"/>
  <c r="AD164" i="1"/>
  <c r="AD168" i="1"/>
  <c r="AC170" i="1"/>
  <c r="AC156" i="1"/>
  <c r="AJ20" i="2"/>
  <c r="AC231" i="1"/>
  <c r="BL11" i="2"/>
  <c r="AD239" i="1"/>
  <c r="AC236" i="1"/>
  <c r="AC150" i="1"/>
  <c r="AC122" i="1"/>
  <c r="AD123" i="1"/>
  <c r="AC102" i="1"/>
  <c r="BL7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5" i="2"/>
  <c r="AH10" i="2"/>
  <c r="BO33" i="2"/>
  <c r="BO15" i="2"/>
  <c r="AJ8" i="2"/>
  <c r="AJ26" i="2"/>
  <c r="AH19" i="2"/>
  <c r="BO20" i="2"/>
  <c r="AJ27" i="2"/>
  <c r="BO8" i="2"/>
  <c r="BN14" i="2"/>
  <c r="AJ5" i="2"/>
  <c r="AG17" i="2"/>
  <c r="BO53" i="5"/>
  <c r="CY6" i="2"/>
  <c r="CY5" i="2"/>
  <c r="AE14" i="2"/>
  <c r="AI10" i="2"/>
  <c r="AI3" i="2"/>
  <c r="BO46" i="5"/>
  <c r="AI7" i="2"/>
  <c r="AJ14" i="2"/>
  <c r="AE33" i="2"/>
  <c r="AF13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5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1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1" i="2"/>
  <c r="AF4" i="2"/>
  <c r="BN25" i="2"/>
  <c r="BO22" i="2"/>
  <c r="BO42" i="5"/>
  <c r="BO6" i="2"/>
  <c r="BO21" i="5"/>
  <c r="AI30" i="2"/>
  <c r="AG11" i="2"/>
  <c r="AI20" i="2"/>
  <c r="AE16" i="2"/>
  <c r="AI15" i="2"/>
  <c r="AI9" i="2"/>
  <c r="AG30" i="2"/>
  <c r="AC31" i="2"/>
  <c r="AC6" i="2"/>
  <c r="AC26" i="2"/>
  <c r="AG10" i="2"/>
  <c r="AI31" i="2"/>
  <c r="AI6" i="2"/>
  <c r="AG31" i="2"/>
  <c r="AC20" i="2"/>
  <c r="AE12" i="2"/>
  <c r="AE13" i="2"/>
  <c r="AI2" i="2"/>
  <c r="AI18" i="2"/>
  <c r="AE32" i="2"/>
  <c r="AC16" i="2"/>
  <c r="AC17" i="2"/>
  <c r="AC22" i="2"/>
  <c r="AE26" i="2"/>
  <c r="AE2" i="2"/>
  <c r="AI28" i="2"/>
  <c r="AF19" i="2"/>
  <c r="AE25" i="2"/>
  <c r="AI33" i="2"/>
  <c r="AE8" i="2"/>
  <c r="AG29" i="2"/>
  <c r="AG9" i="2"/>
  <c r="AE21" i="2"/>
  <c r="AI5" i="2"/>
  <c r="AC7" i="2"/>
  <c r="AE20" i="2"/>
  <c r="AC30" i="2"/>
  <c r="AI25" i="2"/>
  <c r="AG32" i="2"/>
  <c r="AE3" i="2"/>
  <c r="AE11" i="2"/>
  <c r="AE28" i="2"/>
  <c r="AI8" i="2"/>
  <c r="AE15" i="2"/>
  <c r="AI24" i="2"/>
  <c r="AE18" i="2"/>
  <c r="AC14" i="2"/>
  <c r="AC12" i="2"/>
  <c r="AE31" i="2"/>
  <c r="AE19" i="2"/>
  <c r="AI17" i="2"/>
  <c r="AI21" i="2"/>
  <c r="AE10" i="2"/>
  <c r="AE17" i="2"/>
  <c r="AF26" i="2"/>
  <c r="AC28" i="2"/>
  <c r="AG13" i="2"/>
  <c r="AI29" i="2"/>
  <c r="AI22" i="2"/>
  <c r="AG26" i="2"/>
  <c r="AC11" i="2"/>
  <c r="AI13" i="2"/>
  <c r="AE22" i="2"/>
  <c r="AE9" i="2"/>
  <c r="AG28" i="2"/>
  <c r="AI27" i="2"/>
  <c r="AE29" i="2"/>
  <c r="AE24" i="2"/>
  <c r="AC21" i="2"/>
  <c r="AI32" i="2"/>
  <c r="AI16" i="2"/>
  <c r="AC3" i="2"/>
  <c r="AI12" i="2"/>
  <c r="AE6" i="2"/>
  <c r="AG12" i="2"/>
  <c r="AI14" i="2"/>
  <c r="AC25" i="2"/>
  <c r="AC2" i="2"/>
  <c r="AC8" i="2"/>
  <c r="AC33" i="2"/>
  <c r="AG2" i="2"/>
  <c r="AI26" i="2"/>
  <c r="AI4" i="2"/>
  <c r="AC27" i="2"/>
  <c r="AC23" i="2"/>
  <c r="AC4" i="2"/>
  <c r="AG27" i="2"/>
  <c r="AG15" i="2"/>
  <c r="AI19" i="2"/>
  <c r="AC9" i="2"/>
  <c r="AE7" i="2"/>
  <c r="AG8" i="2"/>
  <c r="AG16" i="2"/>
  <c r="AG21" i="2"/>
  <c r="AC24" i="2"/>
  <c r="AC32" i="2"/>
  <c r="AG7" i="2"/>
  <c r="AE30" i="2"/>
  <c r="AG24" i="2"/>
  <c r="AE27" i="2"/>
  <c r="AG20" i="2"/>
  <c r="AG23" i="2"/>
  <c r="AG18" i="2"/>
  <c r="AC5" i="2"/>
  <c r="AC19" i="2"/>
  <c r="AC13" i="2"/>
  <c r="AC29" i="2"/>
  <c r="AE5" i="2"/>
  <c r="AG22" i="2"/>
  <c r="AG19" i="2"/>
  <c r="AG33" i="2"/>
  <c r="AE23" i="2"/>
  <c r="AH25" i="2"/>
  <c r="AG14" i="2"/>
  <c r="AC10" i="2"/>
  <c r="AC15" i="2"/>
  <c r="AC18" i="2"/>
  <c r="AJ2" i="2"/>
  <c r="AG25" i="2"/>
  <c r="AG6" i="2"/>
  <c r="AG3" i="2"/>
  <c r="AI23" i="2"/>
  <c r="AG4" i="2"/>
  <c r="AE4" i="2"/>
  <c r="AH18" i="2"/>
  <c r="BX13" i="2"/>
  <c r="J16" i="2"/>
  <c r="G16" i="2"/>
  <c r="J15" i="2"/>
  <c r="G15" i="2"/>
  <c r="J14" i="2"/>
  <c r="BX11" i="2"/>
  <c r="J11" i="2"/>
  <c r="BV21" i="2"/>
  <c r="X11" i="2"/>
  <c r="BX21" i="2"/>
  <c r="BX10" i="2"/>
  <c r="J19" i="2"/>
  <c r="X19" i="2"/>
  <c r="X15" i="2"/>
  <c r="X9" i="2"/>
  <c r="BV10" i="2"/>
  <c r="J2" i="2"/>
  <c r="BV9" i="2"/>
  <c r="BX9" i="2"/>
  <c r="X22" i="2"/>
  <c r="BV32" i="2"/>
  <c r="X8" i="2"/>
  <c r="X27" i="2"/>
  <c r="BX3" i="2"/>
  <c r="BW13" i="2"/>
  <c r="AH24" i="2"/>
  <c r="BX33" i="2"/>
  <c r="X33" i="2"/>
  <c r="BW23" i="2"/>
  <c r="X18" i="2"/>
  <c r="BV23" i="2"/>
  <c r="BX18" i="2"/>
  <c r="BX27" i="2"/>
  <c r="BX32" i="2"/>
  <c r="X16" i="2"/>
  <c r="X4" i="2"/>
  <c r="BO17" i="2"/>
  <c r="X29" i="2"/>
  <c r="BX26" i="2"/>
  <c r="BX17" i="2"/>
  <c r="BX23" i="2"/>
  <c r="X31" i="2"/>
  <c r="BX20" i="2"/>
  <c r="BX31" i="2"/>
  <c r="BX16" i="2"/>
  <c r="X17" i="2"/>
  <c r="J10" i="2"/>
  <c r="X13" i="2"/>
  <c r="X32" i="2"/>
  <c r="BV4" i="2"/>
  <c r="BX4" i="2"/>
  <c r="BW9" i="2"/>
  <c r="BV8" i="2"/>
  <c r="BV26" i="2"/>
  <c r="BW26" i="2"/>
  <c r="BV33" i="2"/>
  <c r="BV20" i="2"/>
  <c r="BV27" i="2"/>
  <c r="X5" i="2"/>
  <c r="BX8" i="2"/>
  <c r="BV16" i="2"/>
  <c r="X26" i="2"/>
  <c r="X21" i="2"/>
  <c r="BW17" i="2"/>
  <c r="BX29" i="2"/>
  <c r="BX24" i="2"/>
  <c r="BX19" i="2"/>
  <c r="BV19" i="2"/>
  <c r="BV2" i="2"/>
  <c r="X20" i="2"/>
  <c r="BX14" i="2"/>
  <c r="X14" i="2"/>
  <c r="BX15" i="2"/>
  <c r="BX12" i="2"/>
  <c r="J24" i="2"/>
  <c r="E24" i="2" s="1"/>
  <c r="X30" i="2"/>
  <c r="BV17" i="2"/>
  <c r="AF18" i="2"/>
  <c r="AF23" i="2"/>
  <c r="AJ11" i="2"/>
  <c r="AF11" i="2"/>
  <c r="BN27" i="2"/>
  <c r="AF7" i="2"/>
  <c r="AH22" i="2"/>
  <c r="BV13" i="2"/>
  <c r="P29" i="2"/>
  <c r="BV31" i="2"/>
  <c r="BV12" i="2"/>
  <c r="X28" i="2"/>
  <c r="BX28" i="2"/>
  <c r="J23" i="2"/>
  <c r="X23" i="2"/>
  <c r="J25" i="2"/>
  <c r="X6" i="2"/>
  <c r="BX6" i="2"/>
  <c r="X25" i="2"/>
  <c r="P23" i="2"/>
  <c r="BW11" i="2"/>
  <c r="BX25" i="2"/>
  <c r="P15" i="2"/>
  <c r="X24" i="2"/>
  <c r="P4" i="2"/>
  <c r="X10" i="2"/>
  <c r="P33" i="2"/>
  <c r="P31" i="2"/>
  <c r="P8" i="2"/>
  <c r="X2" i="2"/>
  <c r="P22" i="2"/>
  <c r="P12" i="2"/>
  <c r="X12" i="2"/>
  <c r="P28" i="2"/>
  <c r="P27" i="2"/>
  <c r="BV24" i="2"/>
  <c r="BV11" i="2"/>
  <c r="BV6" i="2"/>
  <c r="BV29" i="2"/>
  <c r="BV25" i="2"/>
  <c r="BV30" i="2"/>
  <c r="BX2" i="2"/>
  <c r="BW15" i="2"/>
  <c r="BV22" i="2"/>
  <c r="BV14" i="2"/>
  <c r="BV18" i="2"/>
  <c r="BW20" i="2"/>
  <c r="BW21" i="2"/>
  <c r="BV15" i="2"/>
  <c r="BW5" i="2"/>
  <c r="BV5" i="2"/>
  <c r="BV28" i="2"/>
  <c r="BW32" i="2"/>
  <c r="BW18" i="2"/>
  <c r="BW3" i="2"/>
  <c r="BV3" i="2"/>
  <c r="BX5" i="2"/>
  <c r="X3" i="2"/>
  <c r="P6" i="2"/>
  <c r="BX22" i="2"/>
  <c r="J8" i="2"/>
  <c r="BW29" i="2"/>
  <c r="J9" i="2"/>
  <c r="P18" i="2"/>
  <c r="BX30" i="2"/>
  <c r="BW19" i="2"/>
  <c r="P19" i="2"/>
  <c r="J28" i="2"/>
  <c r="BW28" i="2"/>
  <c r="BW4" i="2"/>
  <c r="J5" i="2"/>
  <c r="P5" i="2"/>
  <c r="BW14" i="2"/>
  <c r="P14" i="2"/>
  <c r="J18" i="2"/>
  <c r="J13" i="2"/>
  <c r="J31" i="2"/>
  <c r="BW10" i="2"/>
  <c r="J32" i="2"/>
  <c r="P32" i="2"/>
  <c r="P11" i="2"/>
  <c r="BW12" i="2"/>
  <c r="BW31" i="2"/>
  <c r="J17" i="2"/>
  <c r="J22" i="2"/>
  <c r="J4" i="2"/>
  <c r="P13" i="2"/>
  <c r="P10" i="2"/>
  <c r="BW8" i="2"/>
  <c r="J30" i="2"/>
  <c r="BW6" i="2"/>
  <c r="J33" i="2"/>
  <c r="P17" i="2"/>
  <c r="BW16" i="2"/>
  <c r="P24" i="2"/>
  <c r="J3" i="2"/>
  <c r="J6" i="2"/>
  <c r="J12" i="2"/>
  <c r="P3" i="2"/>
  <c r="J27" i="2"/>
  <c r="J26" i="2"/>
  <c r="J20" i="2"/>
  <c r="BW24" i="2"/>
  <c r="P9" i="2"/>
  <c r="BW27" i="2"/>
  <c r="P16" i="2"/>
  <c r="J29" i="2"/>
  <c r="P21" i="2"/>
  <c r="P20" i="2"/>
  <c r="P25" i="2"/>
  <c r="P2" i="2"/>
  <c r="BW2" i="2"/>
  <c r="J21" i="2"/>
  <c r="BW22" i="2"/>
  <c r="BW25" i="2"/>
  <c r="P30" i="2"/>
  <c r="BW33" i="2"/>
  <c r="BW30" i="2"/>
  <c r="P26" i="2"/>
  <c r="BH16" i="2"/>
  <c r="BH22" i="2"/>
  <c r="BH6" i="2"/>
  <c r="BH23" i="2"/>
  <c r="BH28" i="2"/>
  <c r="BH24" i="2"/>
  <c r="BH3" i="2"/>
  <c r="BH31" i="2"/>
  <c r="BH13" i="2"/>
  <c r="BH14" i="2"/>
  <c r="BH29" i="2"/>
  <c r="BH17" i="2"/>
  <c r="BH5" i="2"/>
  <c r="BH18" i="2"/>
  <c r="BH19" i="2"/>
  <c r="BH2" i="2"/>
  <c r="BH8" i="2"/>
  <c r="BH21" i="2"/>
  <c r="BH20" i="2"/>
  <c r="BH11" i="2"/>
  <c r="BH9" i="2"/>
  <c r="BH27" i="2"/>
  <c r="BH10" i="2"/>
  <c r="BH25" i="2"/>
  <c r="BH15" i="2"/>
  <c r="BH12" i="2"/>
  <c r="BH32" i="2"/>
  <c r="BH33" i="2"/>
  <c r="BH30" i="2"/>
  <c r="BH26" i="2"/>
  <c r="BH4" i="2"/>
  <c r="AJ7" i="2"/>
  <c r="AH7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H17" i="2" l="1"/>
  <c r="AH33" i="2"/>
  <c r="BO21" i="2"/>
  <c r="BL10" i="2"/>
  <c r="BL19" i="2"/>
  <c r="BO5" i="2"/>
  <c r="BN19" i="2"/>
  <c r="AF10" i="2"/>
  <c r="AJ19" i="2"/>
  <c r="AW19" i="2" s="1"/>
  <c r="AJ29" i="2"/>
  <c r="AH12" i="2"/>
  <c r="AF29" i="2"/>
  <c r="AF14" i="2"/>
  <c r="AF2" i="2"/>
  <c r="AW2" i="2" s="1"/>
  <c r="BO12" i="2"/>
  <c r="BN29" i="2"/>
  <c r="BL29" i="2"/>
  <c r="AO796" i="1"/>
  <c r="AP30" i="2"/>
  <c r="AO802" i="1"/>
  <c r="AJ10" i="2"/>
  <c r="AL10" i="2" s="1"/>
  <c r="AH11" i="2"/>
  <c r="AL11" i="2" s="1"/>
  <c r="BO24" i="2"/>
  <c r="BL18" i="2"/>
  <c r="BN18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7" i="2"/>
  <c r="AL2" i="2"/>
  <c r="AL26" i="2"/>
  <c r="AP1009" i="1"/>
  <c r="AP990" i="1"/>
  <c r="AP855" i="1"/>
  <c r="AP989" i="1"/>
  <c r="AP1012" i="1"/>
  <c r="BZ33" i="2"/>
  <c r="AO1113" i="1"/>
  <c r="BZ19" i="2"/>
  <c r="BZ3" i="2"/>
  <c r="BZ25" i="2"/>
  <c r="BZ16" i="2"/>
  <c r="BZ6" i="2"/>
  <c r="BZ20" i="2"/>
  <c r="CJ29" i="2"/>
  <c r="CJ4" i="2"/>
  <c r="CJ26" i="2"/>
  <c r="BZ11" i="2"/>
  <c r="BZ2" i="2"/>
  <c r="BZ14" i="2"/>
  <c r="CI11" i="2"/>
  <c r="CI15" i="2"/>
  <c r="CJ32" i="2"/>
  <c r="BZ22" i="2"/>
  <c r="BZ4" i="2"/>
  <c r="BZ5" i="2"/>
  <c r="BZ21" i="2"/>
  <c r="BZ29" i="2"/>
  <c r="BZ10" i="2"/>
  <c r="BZ13" i="2"/>
  <c r="BZ15" i="2"/>
  <c r="BZ24" i="2"/>
  <c r="BZ26" i="2"/>
  <c r="BZ9" i="2"/>
  <c r="BZ30" i="2"/>
  <c r="BZ17" i="2"/>
  <c r="BZ8" i="2"/>
  <c r="BZ28" i="2"/>
  <c r="BZ18" i="2"/>
  <c r="BZ31" i="2"/>
  <c r="BZ27" i="2"/>
  <c r="BZ12" i="2"/>
  <c r="BZ32" i="2"/>
  <c r="BZ23" i="2"/>
  <c r="AO958" i="1"/>
  <c r="CJ14" i="2"/>
  <c r="CI19" i="2"/>
  <c r="CI25" i="2"/>
  <c r="CJ20" i="2"/>
  <c r="CI12" i="2"/>
  <c r="CJ16" i="2"/>
  <c r="CJ33" i="2"/>
  <c r="CI29" i="2"/>
  <c r="CI16" i="2"/>
  <c r="CI7" i="2"/>
  <c r="CI14" i="2"/>
  <c r="CJ18" i="2"/>
  <c r="CJ19" i="2"/>
  <c r="CJ11" i="2"/>
  <c r="CI21" i="2"/>
  <c r="CI24" i="2"/>
  <c r="CI10" i="2"/>
  <c r="CJ17" i="2"/>
  <c r="CJ3" i="2"/>
  <c r="CJ25" i="2"/>
  <c r="AP762" i="1"/>
  <c r="CI5" i="2"/>
  <c r="CI31" i="2"/>
  <c r="CJ2" i="2"/>
  <c r="CJ10" i="2"/>
  <c r="CI6" i="2"/>
  <c r="CI33" i="2"/>
  <c r="CJ6" i="2"/>
  <c r="CI18" i="2"/>
  <c r="CI9" i="2"/>
  <c r="CJ23" i="2"/>
  <c r="CI3" i="2"/>
  <c r="CI30" i="2"/>
  <c r="CI28" i="2"/>
  <c r="CJ15" i="2"/>
  <c r="CI8" i="2"/>
  <c r="CJ27" i="2"/>
  <c r="CJ28" i="2"/>
  <c r="CI26" i="2"/>
  <c r="CI2" i="2"/>
  <c r="CJ5" i="2"/>
  <c r="CI13" i="2"/>
  <c r="CI22" i="2"/>
  <c r="CJ22" i="2"/>
  <c r="CI17" i="2"/>
  <c r="CJ30" i="2"/>
  <c r="CJ9" i="2"/>
  <c r="CI20" i="2"/>
  <c r="CJ12" i="2"/>
  <c r="CI27" i="2"/>
  <c r="CJ8" i="2"/>
  <c r="CJ21" i="2"/>
  <c r="CJ31" i="2"/>
  <c r="CI32" i="2"/>
  <c r="CI23" i="2"/>
  <c r="CI4" i="2"/>
  <c r="CJ7" i="2"/>
  <c r="CJ24" i="2"/>
  <c r="CJ13" i="2"/>
  <c r="E32" i="2"/>
  <c r="BK14" i="2"/>
  <c r="E10" i="2"/>
  <c r="E27" i="2"/>
  <c r="E13" i="2"/>
  <c r="BK15" i="2"/>
  <c r="E6" i="2"/>
  <c r="E22" i="2"/>
  <c r="E18" i="2"/>
  <c r="E9" i="2"/>
  <c r="E20" i="2"/>
  <c r="E3" i="2"/>
  <c r="E17" i="2"/>
  <c r="E8" i="2"/>
  <c r="E2" i="2"/>
  <c r="E21" i="2"/>
  <c r="E29" i="2"/>
  <c r="E26" i="2"/>
  <c r="E31" i="2"/>
  <c r="E5" i="2"/>
  <c r="E12" i="2"/>
  <c r="E33" i="2"/>
  <c r="E4" i="2"/>
  <c r="E28" i="2"/>
  <c r="E11" i="2"/>
  <c r="BK16" i="2"/>
  <c r="BK19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" i="2"/>
  <c r="AK26" i="2"/>
  <c r="AK7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0" i="2"/>
  <c r="BN16" i="2"/>
  <c r="BN3" i="2"/>
  <c r="BO3" i="2"/>
  <c r="BN13" i="2"/>
  <c r="BN5" i="2"/>
  <c r="BN15" i="2"/>
  <c r="BO9" i="2"/>
  <c r="BN4" i="2"/>
  <c r="BO14" i="2"/>
  <c r="BN28" i="2"/>
  <c r="BN20" i="2"/>
  <c r="BO29" i="2"/>
  <c r="BO32" i="2"/>
  <c r="BN32" i="2"/>
  <c r="BN30" i="2"/>
  <c r="BO16" i="2"/>
  <c r="BN23" i="2"/>
  <c r="BN9" i="2"/>
  <c r="BN8" i="2"/>
  <c r="BO13" i="2"/>
  <c r="BO31" i="2"/>
  <c r="BO28" i="2"/>
  <c r="BO23" i="2"/>
  <c r="BN6" i="2"/>
  <c r="BN31" i="2"/>
  <c r="BO4" i="2"/>
  <c r="BO27" i="2"/>
  <c r="BN21" i="2"/>
  <c r="BO11" i="2"/>
  <c r="BO7" i="2"/>
  <c r="BN17" i="2"/>
  <c r="BO18" i="2"/>
  <c r="BN12" i="2"/>
  <c r="BN22" i="2"/>
  <c r="BN33" i="2"/>
  <c r="BO2" i="2"/>
  <c r="BO10" i="2"/>
  <c r="BO19" i="2"/>
  <c r="BO26" i="2"/>
  <c r="BN24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5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5" i="2"/>
  <c r="BM25" i="2"/>
  <c r="AP20" i="2"/>
  <c r="BL20" i="2"/>
  <c r="BM14" i="2"/>
  <c r="BL6" i="2"/>
  <c r="BL24" i="2"/>
  <c r="BM20" i="2"/>
  <c r="BM33" i="2"/>
  <c r="BM6" i="2"/>
  <c r="BL17" i="2"/>
  <c r="BL31" i="2"/>
  <c r="BM32" i="2"/>
  <c r="BL27" i="2"/>
  <c r="BM22" i="2"/>
  <c r="BM12" i="2"/>
  <c r="BL21" i="2"/>
  <c r="BM9" i="2"/>
  <c r="BM27" i="2"/>
  <c r="BM15" i="2"/>
  <c r="BL3" i="2"/>
  <c r="BM17" i="2"/>
  <c r="BM4" i="2"/>
  <c r="BM5" i="2"/>
  <c r="BL32" i="2"/>
  <c r="BM23" i="2"/>
  <c r="BL12" i="2"/>
  <c r="BL28" i="2"/>
  <c r="BL33" i="2"/>
  <c r="BM31" i="2"/>
  <c r="BM16" i="2"/>
  <c r="BM8" i="2"/>
  <c r="BM13" i="2"/>
  <c r="BM24" i="2"/>
  <c r="BL9" i="2"/>
  <c r="BL8" i="2"/>
  <c r="BM3" i="2"/>
  <c r="BL22" i="2"/>
  <c r="BM30" i="2"/>
  <c r="BL30" i="2"/>
  <c r="BL16" i="2"/>
  <c r="BM21" i="2"/>
  <c r="BL15" i="2"/>
  <c r="BL5" i="2"/>
  <c r="BM28" i="2"/>
  <c r="BM29" i="2"/>
  <c r="BM18" i="2"/>
  <c r="BL25" i="2"/>
  <c r="BL23" i="2"/>
  <c r="BM11" i="2"/>
  <c r="BL4" i="2"/>
  <c r="BM10" i="2"/>
  <c r="BM7" i="2"/>
  <c r="BM2" i="2"/>
  <c r="BM19" i="2"/>
  <c r="BL14" i="2"/>
  <c r="BL13" i="2"/>
  <c r="BM26" i="2"/>
  <c r="AP25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0" i="2"/>
  <c r="AF5" i="2"/>
  <c r="AH23" i="2"/>
  <c r="AP10" i="2"/>
  <c r="AF8" i="2"/>
  <c r="AO20" i="2"/>
  <c r="AF15" i="2"/>
  <c r="AH8" i="2"/>
  <c r="AK8" i="2" s="1"/>
  <c r="AF28" i="2"/>
  <c r="AP19" i="2"/>
  <c r="AH5" i="2"/>
  <c r="AK5" i="2" s="1"/>
  <c r="AF24" i="2"/>
  <c r="AO19" i="2"/>
  <c r="AJ33" i="2"/>
  <c r="AK33" i="2" s="1"/>
  <c r="AJ24" i="2"/>
  <c r="AK24" i="2" s="1"/>
  <c r="AP26" i="2"/>
  <c r="AF20" i="2"/>
  <c r="AO23" i="2"/>
  <c r="AP27" i="2"/>
  <c r="AO15" i="2"/>
  <c r="AJ15" i="2"/>
  <c r="AO26" i="2"/>
  <c r="AH20" i="2"/>
  <c r="AK20" i="2" s="1"/>
  <c r="AH16" i="2"/>
  <c r="AF27" i="2"/>
  <c r="AO8" i="2"/>
  <c r="AO5" i="2"/>
  <c r="AP5" i="2"/>
  <c r="AP8" i="2"/>
  <c r="AJ13" i="2"/>
  <c r="BP47" i="5"/>
  <c r="BP13" i="5"/>
  <c r="AO13" i="2"/>
  <c r="BP45" i="5"/>
  <c r="BP53" i="5"/>
  <c r="AF32" i="2"/>
  <c r="AF3" i="2"/>
  <c r="AJ4" i="2"/>
  <c r="AJ32" i="2"/>
  <c r="AW26" i="2"/>
  <c r="AW7" i="2"/>
  <c r="AH32" i="2"/>
  <c r="AF12" i="2"/>
  <c r="AP14" i="2"/>
  <c r="BP61" i="5"/>
  <c r="BP7" i="5"/>
  <c r="BP19" i="5"/>
  <c r="BP35" i="5"/>
  <c r="BP33" i="5"/>
  <c r="BP29" i="5"/>
  <c r="AO2" i="2"/>
  <c r="BP15" i="5"/>
  <c r="BP59" i="5"/>
  <c r="AP13" i="2"/>
  <c r="BP57" i="5"/>
  <c r="AH3" i="2"/>
  <c r="AF16" i="2"/>
  <c r="AJ25" i="2"/>
  <c r="AK25" i="2" s="1"/>
  <c r="BP21" i="5"/>
  <c r="E30" i="2"/>
  <c r="CY2" i="2"/>
  <c r="CZ5" i="2" s="1"/>
  <c r="AO25" i="2"/>
  <c r="AH13" i="2"/>
  <c r="AD22" i="2"/>
  <c r="BP22" i="2" s="1"/>
  <c r="AJ31" i="2"/>
  <c r="AH15" i="2"/>
  <c r="AP15" i="2"/>
  <c r="AH6" i="2"/>
  <c r="AP4" i="2"/>
  <c r="AJ22" i="2"/>
  <c r="AK22" i="2" s="1"/>
  <c r="DA5" i="2"/>
  <c r="DA6" i="2"/>
  <c r="AF33" i="2"/>
  <c r="AF31" i="2"/>
  <c r="CY3" i="2"/>
  <c r="DA3" i="2" s="1"/>
  <c r="AP2" i="2"/>
  <c r="AJ28" i="2"/>
  <c r="AF9" i="2"/>
  <c r="AJ21" i="2"/>
  <c r="AK21" i="2" s="1"/>
  <c r="AF22" i="2"/>
  <c r="AO12" i="2"/>
  <c r="AO28" i="2"/>
  <c r="AH28" i="2"/>
  <c r="AP28" i="2"/>
  <c r="AO21" i="2"/>
  <c r="AH31" i="2"/>
  <c r="AP21" i="2"/>
  <c r="AJ12" i="2"/>
  <c r="AK12" i="2" s="1"/>
  <c r="BP27" i="5"/>
  <c r="BP3" i="5"/>
  <c r="BP11" i="5"/>
  <c r="BP25" i="5"/>
  <c r="AD28" i="2"/>
  <c r="BP28" i="2" s="1"/>
  <c r="AF17" i="2"/>
  <c r="AF6" i="2"/>
  <c r="AO4" i="2"/>
  <c r="AO14" i="2"/>
  <c r="AH14" i="2"/>
  <c r="AW14" i="2" s="1"/>
  <c r="CS8" i="2"/>
  <c r="CS7" i="2"/>
  <c r="AF21" i="2"/>
  <c r="AJ16" i="2"/>
  <c r="AJ3" i="2"/>
  <c r="BP5" i="5"/>
  <c r="BP17" i="5"/>
  <c r="BP37" i="5"/>
  <c r="BP9" i="5"/>
  <c r="AH9" i="2"/>
  <c r="BP55" i="5"/>
  <c r="BP23" i="5"/>
  <c r="BP63" i="5"/>
  <c r="BP51" i="5"/>
  <c r="BP65" i="5"/>
  <c r="BP31" i="5"/>
  <c r="BP41" i="5"/>
  <c r="AO6" i="2"/>
  <c r="BP43" i="5"/>
  <c r="BP49" i="5"/>
  <c r="AH4" i="2"/>
  <c r="BP39" i="5"/>
  <c r="AP12" i="2"/>
  <c r="E23" i="2"/>
  <c r="BK5" i="2"/>
  <c r="BK23" i="2"/>
  <c r="BK18" i="2"/>
  <c r="BK8" i="2"/>
  <c r="BK6" i="2"/>
  <c r="BK11" i="2"/>
  <c r="BK12" i="2"/>
  <c r="BK3" i="2"/>
  <c r="BK22" i="2"/>
  <c r="BK27" i="2"/>
  <c r="BK33" i="2"/>
  <c r="BK13" i="2"/>
  <c r="BK30" i="2"/>
  <c r="BK4" i="2"/>
  <c r="BK17" i="2"/>
  <c r="BK2" i="2"/>
  <c r="BK29" i="2"/>
  <c r="BK9" i="2"/>
  <c r="BK20" i="2"/>
  <c r="BK31" i="2"/>
  <c r="BK26" i="2"/>
  <c r="BK25" i="2"/>
  <c r="BK28" i="2"/>
  <c r="BK21" i="2"/>
  <c r="BK24" i="2"/>
  <c r="BK32" i="2"/>
  <c r="BK10" i="2"/>
  <c r="K16" i="2"/>
  <c r="E16" i="2"/>
  <c r="BI19" i="2"/>
  <c r="E19" i="2"/>
  <c r="K14" i="2"/>
  <c r="E14" i="2"/>
  <c r="K15" i="2"/>
  <c r="E15" i="2"/>
  <c r="BJ15" i="2"/>
  <c r="AD14" i="2"/>
  <c r="BP14" i="2" s="1"/>
  <c r="BI16" i="2"/>
  <c r="BJ16" i="2"/>
  <c r="AD30" i="2"/>
  <c r="BP30" i="2" s="1"/>
  <c r="AD21" i="2"/>
  <c r="BP21" i="2" s="1"/>
  <c r="AF30" i="2"/>
  <c r="AD26" i="2"/>
  <c r="BP26" i="2" s="1"/>
  <c r="AD32" i="2"/>
  <c r="BP32" i="2" s="1"/>
  <c r="AD20" i="2"/>
  <c r="BP20" i="2" s="1"/>
  <c r="AO9" i="2"/>
  <c r="AD15" i="2"/>
  <c r="BP15" i="2" s="1"/>
  <c r="AD23" i="2"/>
  <c r="BP23" i="2" s="1"/>
  <c r="AD33" i="2"/>
  <c r="BP33" i="2" s="1"/>
  <c r="AH30" i="2"/>
  <c r="AD8" i="2"/>
  <c r="BP8" i="2" s="1"/>
  <c r="AD19" i="2"/>
  <c r="BP19" i="2" s="1"/>
  <c r="AD24" i="2"/>
  <c r="BP24" i="2" s="1"/>
  <c r="AD5" i="2"/>
  <c r="BP5" i="2" s="1"/>
  <c r="AD4" i="2"/>
  <c r="BP4" i="2" s="1"/>
  <c r="AD16" i="2"/>
  <c r="BP16" i="2" s="1"/>
  <c r="AD10" i="2"/>
  <c r="BP10" i="2" s="1"/>
  <c r="AD2" i="2"/>
  <c r="BP2" i="2" s="1"/>
  <c r="AD3" i="2"/>
  <c r="BP3" i="2" s="1"/>
  <c r="AD13" i="2"/>
  <c r="BP13" i="2" s="1"/>
  <c r="AD18" i="2"/>
  <c r="BP18" i="2" s="1"/>
  <c r="AD27" i="2"/>
  <c r="BP27" i="2" s="1"/>
  <c r="AD31" i="2"/>
  <c r="BP31" i="2" s="1"/>
  <c r="AD17" i="2"/>
  <c r="BP17" i="2" s="1"/>
  <c r="AD11" i="2"/>
  <c r="BP11" i="2" s="1"/>
  <c r="AD9" i="2"/>
  <c r="BP9" i="2" s="1"/>
  <c r="AD29" i="2"/>
  <c r="BP29" i="2" s="1"/>
  <c r="AJ30" i="2"/>
  <c r="AP29" i="2"/>
  <c r="AH29" i="2"/>
  <c r="AJ23" i="2"/>
  <c r="AO18" i="2"/>
  <c r="AJ18" i="2"/>
  <c r="AW18" i="2" s="1"/>
  <c r="AD12" i="2"/>
  <c r="BP12" i="2" s="1"/>
  <c r="AO17" i="2"/>
  <c r="AJ17" i="2"/>
  <c r="AK17" i="2" s="1"/>
  <c r="AJ6" i="2"/>
  <c r="AD6" i="2"/>
  <c r="BP6" i="2" s="1"/>
  <c r="AJ9" i="2"/>
  <c r="AD25" i="2"/>
  <c r="BP25" i="2" s="1"/>
  <c r="AH27" i="2"/>
  <c r="AK27" i="2" s="1"/>
  <c r="BI15" i="2"/>
  <c r="BY11" i="2"/>
  <c r="BY13" i="2"/>
  <c r="BJ14" i="2"/>
  <c r="BI14" i="2"/>
  <c r="BI31" i="2"/>
  <c r="K31" i="2"/>
  <c r="BI5" i="2"/>
  <c r="K5" i="2"/>
  <c r="BJ12" i="2"/>
  <c r="K12" i="2"/>
  <c r="BJ33" i="2"/>
  <c r="K33" i="2"/>
  <c r="BJ13" i="2"/>
  <c r="K13" i="2"/>
  <c r="BI25" i="2"/>
  <c r="K25" i="2"/>
  <c r="BI27" i="2"/>
  <c r="K27" i="2"/>
  <c r="BI8" i="2"/>
  <c r="K8" i="2"/>
  <c r="BI11" i="2"/>
  <c r="K11" i="2"/>
  <c r="BJ11" i="2"/>
  <c r="BI21" i="2"/>
  <c r="K21" i="2"/>
  <c r="BJ20" i="2"/>
  <c r="K20" i="2"/>
  <c r="BI3" i="2"/>
  <c r="K3" i="2"/>
  <c r="BJ22" i="2"/>
  <c r="K22" i="2"/>
  <c r="BI32" i="2"/>
  <c r="K32" i="2"/>
  <c r="BJ28" i="2"/>
  <c r="K28" i="2"/>
  <c r="BJ23" i="2"/>
  <c r="K23" i="2"/>
  <c r="BJ10" i="2"/>
  <c r="K10" i="2"/>
  <c r="BJ19" i="2"/>
  <c r="K19" i="2"/>
  <c r="BJ6" i="2"/>
  <c r="K6" i="2"/>
  <c r="BI4" i="2"/>
  <c r="K4" i="2"/>
  <c r="BJ18" i="2"/>
  <c r="K18" i="2"/>
  <c r="BJ9" i="2"/>
  <c r="K9" i="2"/>
  <c r="BJ29" i="2"/>
  <c r="K29" i="2"/>
  <c r="BI26" i="2"/>
  <c r="K26" i="2"/>
  <c r="BJ30" i="2"/>
  <c r="K30" i="2"/>
  <c r="BJ17" i="2"/>
  <c r="K17" i="2"/>
  <c r="BI24" i="2"/>
  <c r="K24" i="2"/>
  <c r="BJ2" i="2"/>
  <c r="K2" i="2"/>
  <c r="BI2" i="2"/>
  <c r="BY21" i="2"/>
  <c r="BY10" i="2"/>
  <c r="BY9" i="2"/>
  <c r="BI10" i="2"/>
  <c r="BY18" i="2"/>
  <c r="AP3" i="2"/>
  <c r="BY26" i="2"/>
  <c r="BY27" i="2"/>
  <c r="BY3" i="2"/>
  <c r="AP24" i="2"/>
  <c r="AO24" i="2"/>
  <c r="BY20" i="2"/>
  <c r="AP6" i="2"/>
  <c r="BY33" i="2"/>
  <c r="BJ24" i="2"/>
  <c r="AP16" i="2"/>
  <c r="BY12" i="2"/>
  <c r="AO32" i="2"/>
  <c r="AO16" i="2"/>
  <c r="BY31" i="2"/>
  <c r="AP18" i="2"/>
  <c r="BY16" i="2"/>
  <c r="BY32" i="2"/>
  <c r="BY23" i="2"/>
  <c r="AP17" i="2"/>
  <c r="BY17" i="2"/>
  <c r="BY4" i="2"/>
  <c r="BY14" i="2"/>
  <c r="BY19" i="2"/>
  <c r="BY8" i="2"/>
  <c r="BY24" i="2"/>
  <c r="BY15" i="2"/>
  <c r="BY29" i="2"/>
  <c r="BI23" i="2"/>
  <c r="BY28" i="2"/>
  <c r="AO31" i="2"/>
  <c r="AQ31" i="2" s="1"/>
  <c r="AP23" i="2"/>
  <c r="AO30" i="2"/>
  <c r="AP22" i="2"/>
  <c r="AO22" i="2"/>
  <c r="AO11" i="2"/>
  <c r="BY6" i="2"/>
  <c r="AP31" i="2"/>
  <c r="BY25" i="2"/>
  <c r="AP32" i="2"/>
  <c r="AO27" i="2"/>
  <c r="AO3" i="2"/>
  <c r="AO29" i="2"/>
  <c r="AP33" i="2"/>
  <c r="AP7" i="2"/>
  <c r="AP9" i="2"/>
  <c r="AP11" i="2"/>
  <c r="BJ8" i="2"/>
  <c r="BJ25" i="2"/>
  <c r="BY2" i="2"/>
  <c r="BJ4" i="2"/>
  <c r="AO33" i="2"/>
  <c r="BY5" i="2"/>
  <c r="BY22" i="2"/>
  <c r="BI9" i="2"/>
  <c r="BI28" i="2"/>
  <c r="BI30" i="2"/>
  <c r="BI22" i="2"/>
  <c r="BJ5" i="2"/>
  <c r="BJ31" i="2"/>
  <c r="BY30" i="2"/>
  <c r="BI18" i="2"/>
  <c r="AO7" i="2"/>
  <c r="D2" i="9" s="1"/>
  <c r="U7" i="9" s="1"/>
  <c r="BI13" i="2"/>
  <c r="BJ32" i="2"/>
  <c r="BJ27" i="2"/>
  <c r="BI17" i="2"/>
  <c r="BI20" i="2"/>
  <c r="BI33" i="2"/>
  <c r="BJ21" i="2"/>
  <c r="BJ26" i="2"/>
  <c r="BJ3" i="2"/>
  <c r="BI6" i="2"/>
  <c r="BI12" i="2"/>
  <c r="BI29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7" i="2"/>
  <c r="BA7" i="2"/>
  <c r="BE7" i="2"/>
  <c r="P7" i="2"/>
  <c r="P36" i="2" s="1"/>
  <c r="J7" i="2"/>
  <c r="BG7" i="2"/>
  <c r="X7" i="2"/>
  <c r="X36" i="2" s="1"/>
  <c r="BW7" i="2"/>
  <c r="BV7" i="2"/>
  <c r="BX7" i="2"/>
  <c r="BX36" i="2" s="1"/>
  <c r="AL19" i="2" l="1"/>
  <c r="AW29" i="2"/>
  <c r="AK19" i="2"/>
  <c r="AW11" i="2"/>
  <c r="AK11" i="2"/>
  <c r="AW10" i="2"/>
  <c r="AK10" i="2"/>
  <c r="AM10" i="2"/>
  <c r="AN10" i="2"/>
  <c r="AM26" i="2"/>
  <c r="AN26" i="2"/>
  <c r="AM19" i="2"/>
  <c r="AN19" i="2"/>
  <c r="AM11" i="2"/>
  <c r="AN11" i="2"/>
  <c r="AM2" i="2"/>
  <c r="AN2" i="2"/>
  <c r="AM7" i="2"/>
  <c r="AN7" i="2"/>
  <c r="AB16" i="2"/>
  <c r="AB14" i="2"/>
  <c r="AB13" i="2"/>
  <c r="AB31" i="2"/>
  <c r="AB28" i="2"/>
  <c r="AB25" i="2"/>
  <c r="AB19" i="2"/>
  <c r="AB30" i="2"/>
  <c r="AB11" i="2"/>
  <c r="AB33" i="2"/>
  <c r="AB24" i="2"/>
  <c r="AB18" i="2"/>
  <c r="AB12" i="2"/>
  <c r="AB8" i="2"/>
  <c r="AB4" i="2"/>
  <c r="AB29" i="2"/>
  <c r="AB32" i="2"/>
  <c r="AB3" i="2"/>
  <c r="AB23" i="2"/>
  <c r="AB21" i="2"/>
  <c r="AB6" i="2"/>
  <c r="AB5" i="2"/>
  <c r="AB26" i="2"/>
  <c r="AB22" i="2"/>
  <c r="AB2" i="2"/>
  <c r="AB10" i="2"/>
  <c r="AB20" i="2"/>
  <c r="AB15" i="2"/>
  <c r="AB17" i="2"/>
  <c r="AB9" i="2"/>
  <c r="AB27" i="2"/>
  <c r="CW11" i="2"/>
  <c r="AL4" i="2"/>
  <c r="AL31" i="2"/>
  <c r="AL15" i="2"/>
  <c r="AL30" i="2"/>
  <c r="AL13" i="2"/>
  <c r="AL23" i="2"/>
  <c r="AL32" i="2"/>
  <c r="AL6" i="2"/>
  <c r="AL16" i="2"/>
  <c r="AL28" i="2"/>
  <c r="AL9" i="2"/>
  <c r="AL3" i="2"/>
  <c r="AL33" i="2"/>
  <c r="AL8" i="2"/>
  <c r="AL29" i="2"/>
  <c r="AL24" i="2"/>
  <c r="AL17" i="2"/>
  <c r="AL21" i="2"/>
  <c r="AL20" i="2"/>
  <c r="AL5" i="2"/>
  <c r="AL22" i="2"/>
  <c r="AL14" i="2"/>
  <c r="AL27" i="2"/>
  <c r="AL12" i="2"/>
  <c r="AL18" i="2"/>
  <c r="AL25" i="2"/>
  <c r="BO36" i="2"/>
  <c r="BN35" i="2"/>
  <c r="BO35" i="2"/>
  <c r="BR21" i="2"/>
  <c r="BS21" i="2" s="1"/>
  <c r="BR6" i="2"/>
  <c r="BS6" i="2" s="1"/>
  <c r="BR5" i="2"/>
  <c r="BS5" i="2" s="1"/>
  <c r="BR30" i="2"/>
  <c r="BS30" i="2" s="1"/>
  <c r="BR32" i="2"/>
  <c r="BS32" i="2" s="1"/>
  <c r="BN37" i="2"/>
  <c r="BR19" i="2"/>
  <c r="BS19" i="2" s="1"/>
  <c r="BR20" i="2"/>
  <c r="BS20" i="2" s="1"/>
  <c r="BR15" i="2"/>
  <c r="BS15" i="2" s="1"/>
  <c r="BR12" i="2"/>
  <c r="BS12" i="2" s="1"/>
  <c r="BR31" i="2"/>
  <c r="BS31" i="2" s="1"/>
  <c r="BN36" i="2"/>
  <c r="BR18" i="2"/>
  <c r="BS18" i="2" s="1"/>
  <c r="BR16" i="2"/>
  <c r="BS16" i="2" s="1"/>
  <c r="BR14" i="2"/>
  <c r="BS14" i="2" s="1"/>
  <c r="BR3" i="2"/>
  <c r="BS3" i="2" s="1"/>
  <c r="BR11" i="2"/>
  <c r="BS11" i="2" s="1"/>
  <c r="BR22" i="2"/>
  <c r="BS22" i="2" s="1"/>
  <c r="BR28" i="2"/>
  <c r="BS28" i="2" s="1"/>
  <c r="BR25" i="2"/>
  <c r="BS25" i="2" s="1"/>
  <c r="BR2" i="2"/>
  <c r="BR8" i="2"/>
  <c r="BS8" i="2" s="1"/>
  <c r="BO37" i="2"/>
  <c r="BR26" i="2"/>
  <c r="BS26" i="2" s="1"/>
  <c r="BR33" i="2"/>
  <c r="BS33" i="2" s="1"/>
  <c r="BR24" i="2"/>
  <c r="BS24" i="2" s="1"/>
  <c r="BR27" i="2"/>
  <c r="BS27" i="2" s="1"/>
  <c r="BR23" i="2"/>
  <c r="BS23" i="2" s="1"/>
  <c r="BR17" i="2"/>
  <c r="BS17" i="2" s="1"/>
  <c r="BR13" i="2"/>
  <c r="BS13" i="2" s="1"/>
  <c r="BR4" i="2"/>
  <c r="BS4" i="2" s="1"/>
  <c r="BR29" i="2"/>
  <c r="BS29" i="2" s="1"/>
  <c r="BR9" i="2"/>
  <c r="BS9" i="2" s="1"/>
  <c r="BR10" i="2"/>
  <c r="BS10" i="2" s="1"/>
  <c r="BL35" i="2"/>
  <c r="BL36" i="2"/>
  <c r="BL37" i="2"/>
  <c r="BM35" i="2"/>
  <c r="BM36" i="2"/>
  <c r="BM37" i="2"/>
  <c r="CK4" i="2"/>
  <c r="CL4" i="2" s="1"/>
  <c r="CK29" i="2"/>
  <c r="CL29" i="2" s="1"/>
  <c r="CK15" i="2"/>
  <c r="CL15" i="2" s="1"/>
  <c r="CK26" i="2"/>
  <c r="CL26" i="2" s="1"/>
  <c r="CK12" i="2"/>
  <c r="CL12" i="2" s="1"/>
  <c r="CK11" i="2"/>
  <c r="CL11" i="2" s="1"/>
  <c r="CK32" i="2"/>
  <c r="CL32" i="2" s="1"/>
  <c r="CK2" i="2"/>
  <c r="CL2" i="2" s="1"/>
  <c r="BV37" i="2"/>
  <c r="BZ7" i="2"/>
  <c r="BZ37" i="2" s="1"/>
  <c r="CK20" i="2"/>
  <c r="CL20" i="2" s="1"/>
  <c r="CK18" i="2"/>
  <c r="CL18" i="2" s="1"/>
  <c r="CK33" i="2"/>
  <c r="CL33" i="2" s="1"/>
  <c r="CK19" i="2"/>
  <c r="CL19" i="2" s="1"/>
  <c r="CK25" i="2"/>
  <c r="CL25" i="2" s="1"/>
  <c r="CK10" i="2"/>
  <c r="CL10" i="2" s="1"/>
  <c r="CK14" i="2"/>
  <c r="CL14" i="2" s="1"/>
  <c r="CK16" i="2"/>
  <c r="CL16" i="2" s="1"/>
  <c r="CK24" i="2"/>
  <c r="CL24" i="2" s="1"/>
  <c r="CK7" i="2"/>
  <c r="CL7" i="2" s="1"/>
  <c r="CK21" i="2"/>
  <c r="CL21" i="2" s="1"/>
  <c r="CK8" i="2"/>
  <c r="CL8" i="2" s="1"/>
  <c r="CK6" i="2"/>
  <c r="CL6" i="2" s="1"/>
  <c r="CK22" i="2"/>
  <c r="CL22" i="2" s="1"/>
  <c r="CK28" i="2"/>
  <c r="CL28" i="2" s="1"/>
  <c r="CK9" i="2"/>
  <c r="CL9" i="2" s="1"/>
  <c r="CK17" i="2"/>
  <c r="CL17" i="2" s="1"/>
  <c r="CK30" i="2"/>
  <c r="CL30" i="2" s="1"/>
  <c r="CK3" i="2"/>
  <c r="CL3" i="2" s="1"/>
  <c r="CK23" i="2"/>
  <c r="CL23" i="2" s="1"/>
  <c r="CK13" i="2"/>
  <c r="CL13" i="2" s="1"/>
  <c r="CK5" i="2"/>
  <c r="CL5" i="2" s="1"/>
  <c r="CK27" i="2"/>
  <c r="CL27" i="2" s="1"/>
  <c r="CK31" i="2"/>
  <c r="CL31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8" i="2"/>
  <c r="AK4" i="2"/>
  <c r="AK13" i="2"/>
  <c r="AK23" i="2"/>
  <c r="AK31" i="2"/>
  <c r="AK6" i="2"/>
  <c r="AK3" i="2"/>
  <c r="AK16" i="2"/>
  <c r="AK9" i="2"/>
  <c r="AK15" i="2"/>
  <c r="AK32" i="2"/>
  <c r="AK30" i="2"/>
  <c r="AK14" i="2"/>
  <c r="AK18" i="2"/>
  <c r="AK29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6" i="2"/>
  <c r="AV6" i="2" s="1"/>
  <c r="AR21" i="2"/>
  <c r="AV21" i="2" s="1"/>
  <c r="AQ5" i="2"/>
  <c r="AQ27" i="2"/>
  <c r="AR13" i="2"/>
  <c r="AV13" i="2" s="1"/>
  <c r="AQ8" i="2"/>
  <c r="AR19" i="2"/>
  <c r="AV19" i="2" s="1"/>
  <c r="AR31" i="2"/>
  <c r="AV31" i="2" s="1"/>
  <c r="AQ24" i="2"/>
  <c r="AQ17" i="2"/>
  <c r="AQ21" i="2"/>
  <c r="AR4" i="2"/>
  <c r="AV4" i="2" s="1"/>
  <c r="AQ9" i="2"/>
  <c r="AR5" i="2"/>
  <c r="AV5" i="2" s="1"/>
  <c r="AR32" i="2"/>
  <c r="AV32" i="2" s="1"/>
  <c r="AR24" i="2"/>
  <c r="AV24" i="2" s="1"/>
  <c r="AQ6" i="2"/>
  <c r="AR28" i="2"/>
  <c r="AV28" i="2" s="1"/>
  <c r="AR25" i="2"/>
  <c r="AQ33" i="2"/>
  <c r="AQ11" i="2"/>
  <c r="AR17" i="2"/>
  <c r="AV17" i="2" s="1"/>
  <c r="AR15" i="2"/>
  <c r="AV15" i="2" s="1"/>
  <c r="AQ2" i="2"/>
  <c r="AQ28" i="2"/>
  <c r="AQ26" i="2"/>
  <c r="AQ20" i="2"/>
  <c r="AQ14" i="2"/>
  <c r="AQ12" i="2"/>
  <c r="AQ18" i="2"/>
  <c r="AQ4" i="2"/>
  <c r="AQ15" i="2"/>
  <c r="AR10" i="2"/>
  <c r="AV10" i="2" s="1"/>
  <c r="AR30" i="2"/>
  <c r="AV30" i="2" s="1"/>
  <c r="AR23" i="2"/>
  <c r="AV23" i="2" s="1"/>
  <c r="AR18" i="2"/>
  <c r="AV18" i="2" s="1"/>
  <c r="AR29" i="2"/>
  <c r="AV29" i="2" s="1"/>
  <c r="AR27" i="2"/>
  <c r="AV27" i="2" s="1"/>
  <c r="AQ30" i="2"/>
  <c r="AQ23" i="2"/>
  <c r="AR9" i="2"/>
  <c r="AV9" i="2" s="1"/>
  <c r="AQ13" i="2"/>
  <c r="AQ10" i="2"/>
  <c r="AR2" i="2"/>
  <c r="AV2" i="2" s="1"/>
  <c r="AR14" i="2"/>
  <c r="AV14" i="2" s="1"/>
  <c r="AR26" i="2"/>
  <c r="AV26" i="2" s="1"/>
  <c r="AQ22" i="2"/>
  <c r="AR22" i="2"/>
  <c r="AV22" i="2" s="1"/>
  <c r="AR3" i="2"/>
  <c r="AV3" i="2" s="1"/>
  <c r="AR11" i="2"/>
  <c r="AV11" i="2" s="1"/>
  <c r="AQ25" i="2"/>
  <c r="BQ25" i="2" s="1"/>
  <c r="AQ16" i="2"/>
  <c r="AQ32" i="2"/>
  <c r="AR33" i="2"/>
  <c r="AV33" i="2" s="1"/>
  <c r="AR20" i="2"/>
  <c r="AV20" i="2" s="1"/>
  <c r="AQ29" i="2"/>
  <c r="AR16" i="2"/>
  <c r="AV16" i="2" s="1"/>
  <c r="AQ3" i="2"/>
  <c r="AR12" i="2"/>
  <c r="AV12" i="2" s="1"/>
  <c r="AR8" i="2"/>
  <c r="AV8" i="2" s="1"/>
  <c r="AQ19" i="2"/>
  <c r="AW25" i="2"/>
  <c r="AR7" i="2"/>
  <c r="AW33" i="2"/>
  <c r="AW8" i="2"/>
  <c r="AW5" i="2"/>
  <c r="AW23" i="2"/>
  <c r="AW20" i="2"/>
  <c r="AW15" i="2"/>
  <c r="AW24" i="2"/>
  <c r="AT27" i="2"/>
  <c r="AS15" i="2"/>
  <c r="AW27" i="2"/>
  <c r="AW13" i="2"/>
  <c r="AW4" i="2"/>
  <c r="AW28" i="2"/>
  <c r="AW32" i="2"/>
  <c r="AW3" i="2"/>
  <c r="AW30" i="2"/>
  <c r="AW16" i="2"/>
  <c r="AW12" i="2"/>
  <c r="AW9" i="2"/>
  <c r="AW21" i="2"/>
  <c r="AW6" i="2"/>
  <c r="AW17" i="2"/>
  <c r="AW22" i="2"/>
  <c r="AW31" i="2"/>
  <c r="CR18" i="2"/>
  <c r="CZ6" i="2"/>
  <c r="CY4" i="2"/>
  <c r="DA4" i="2" s="1"/>
  <c r="AS14" i="2"/>
  <c r="BP67" i="5"/>
  <c r="AT16" i="2"/>
  <c r="AT15" i="2"/>
  <c r="BK7" i="2"/>
  <c r="BK36" i="2" s="1"/>
  <c r="AT14" i="2"/>
  <c r="K7" i="2"/>
  <c r="E7" i="2"/>
  <c r="E35" i="2" s="1"/>
  <c r="AT29" i="2"/>
  <c r="AD7" i="2"/>
  <c r="AS16" i="2"/>
  <c r="AQ7" i="2"/>
  <c r="AT22" i="2"/>
  <c r="AT33" i="2"/>
  <c r="AT31" i="2"/>
  <c r="AS13" i="2"/>
  <c r="AT13" i="2"/>
  <c r="AS2" i="2"/>
  <c r="AT2" i="2"/>
  <c r="AS9" i="2"/>
  <c r="AT9" i="2"/>
  <c r="AS23" i="2"/>
  <c r="AT23" i="2"/>
  <c r="AS21" i="2"/>
  <c r="AT21" i="2"/>
  <c r="AS26" i="2"/>
  <c r="AT26" i="2"/>
  <c r="AS19" i="2"/>
  <c r="AT19" i="2"/>
  <c r="AT3" i="2"/>
  <c r="AT11" i="2"/>
  <c r="AS25" i="2"/>
  <c r="AT25" i="2"/>
  <c r="AS12" i="2"/>
  <c r="AT12" i="2"/>
  <c r="AS8" i="2"/>
  <c r="AT8" i="2"/>
  <c r="AS5" i="2"/>
  <c r="AT5" i="2"/>
  <c r="AT30" i="2"/>
  <c r="AS6" i="2"/>
  <c r="AT6" i="2"/>
  <c r="AT24" i="2"/>
  <c r="AS18" i="2"/>
  <c r="AT18" i="2"/>
  <c r="AS28" i="2"/>
  <c r="AT28" i="2"/>
  <c r="AS17" i="2"/>
  <c r="AT17" i="2"/>
  <c r="AS4" i="2"/>
  <c r="AT4" i="2"/>
  <c r="AS10" i="2"/>
  <c r="AT10" i="2"/>
  <c r="AT32" i="2"/>
  <c r="AS20" i="2"/>
  <c r="AT20" i="2"/>
  <c r="AS33" i="2"/>
  <c r="AS31" i="2"/>
  <c r="AS24" i="2"/>
  <c r="AS3" i="2"/>
  <c r="AS11" i="2"/>
  <c r="AS27" i="2"/>
  <c r="AS29" i="2"/>
  <c r="AS32" i="2"/>
  <c r="AS30" i="2"/>
  <c r="AS22" i="2"/>
  <c r="BI7" i="2"/>
  <c r="BI35" i="2" s="1"/>
  <c r="BJ7" i="2"/>
  <c r="BJ36" i="2" s="1"/>
  <c r="BQ67" i="4"/>
  <c r="BQ68" i="4" s="1"/>
  <c r="BP67" i="4"/>
  <c r="BP68" i="4" s="1"/>
  <c r="BY7" i="2"/>
  <c r="BY37" i="2" s="1"/>
  <c r="BH7" i="2"/>
  <c r="AM5" i="2" l="1"/>
  <c r="AN5" i="2"/>
  <c r="AM30" i="2"/>
  <c r="AN30" i="2"/>
  <c r="AM21" i="2"/>
  <c r="AN21" i="2"/>
  <c r="AM31" i="2"/>
  <c r="AN31" i="2"/>
  <c r="AM17" i="2"/>
  <c r="AN17" i="2"/>
  <c r="AM4" i="2"/>
  <c r="AN4" i="2"/>
  <c r="AM24" i="2"/>
  <c r="AN24" i="2"/>
  <c r="AM15" i="2"/>
  <c r="AN15" i="2"/>
  <c r="AM29" i="2"/>
  <c r="AN29" i="2"/>
  <c r="AM8" i="2"/>
  <c r="AN8" i="2"/>
  <c r="AM33" i="2"/>
  <c r="AN33" i="2"/>
  <c r="AM3" i="2"/>
  <c r="AN3" i="2"/>
  <c r="AM9" i="2"/>
  <c r="AN9" i="2"/>
  <c r="AM20" i="2"/>
  <c r="AN20" i="2"/>
  <c r="AM25" i="2"/>
  <c r="AN25" i="2"/>
  <c r="AM28" i="2"/>
  <c r="AN28" i="2"/>
  <c r="AM18" i="2"/>
  <c r="AN18" i="2"/>
  <c r="AM16" i="2"/>
  <c r="AN16" i="2"/>
  <c r="AM12" i="2"/>
  <c r="AN12" i="2"/>
  <c r="AM6" i="2"/>
  <c r="AN6" i="2"/>
  <c r="AM27" i="2"/>
  <c r="AN27" i="2"/>
  <c r="AM32" i="2"/>
  <c r="AN32" i="2"/>
  <c r="AM14" i="2"/>
  <c r="AN14" i="2"/>
  <c r="AM23" i="2"/>
  <c r="AN23" i="2"/>
  <c r="AM22" i="2"/>
  <c r="AN22" i="2"/>
  <c r="AM13" i="2"/>
  <c r="AN13" i="2"/>
  <c r="BR7" i="2"/>
  <c r="BR37" i="2" s="1"/>
  <c r="AB7" i="2"/>
  <c r="CX7" i="2"/>
  <c r="CW9" i="2" s="1"/>
  <c r="CX10" i="2" s="1"/>
  <c r="BS2" i="2"/>
  <c r="BP7" i="2"/>
  <c r="BZ35" i="2"/>
  <c r="BZ36" i="2"/>
  <c r="CS11" i="2"/>
  <c r="CS15" i="2"/>
  <c r="CS13" i="2"/>
  <c r="AT7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7" i="2"/>
  <c r="AU22" i="2"/>
  <c r="BQ22" i="2"/>
  <c r="AU15" i="2"/>
  <c r="BQ15" i="2"/>
  <c r="AU19" i="2"/>
  <c r="BQ19" i="2"/>
  <c r="AU18" i="2"/>
  <c r="BQ18" i="2"/>
  <c r="AU10" i="2"/>
  <c r="BQ10" i="2"/>
  <c r="AU14" i="2"/>
  <c r="BQ14" i="2"/>
  <c r="AU3" i="2"/>
  <c r="BQ3" i="2"/>
  <c r="AU13" i="2"/>
  <c r="BQ13" i="2"/>
  <c r="AU20" i="2"/>
  <c r="BQ20" i="2"/>
  <c r="AU21" i="2"/>
  <c r="BQ21" i="2"/>
  <c r="AU26" i="2"/>
  <c r="BQ26" i="2"/>
  <c r="AU17" i="2"/>
  <c r="BQ17" i="2"/>
  <c r="AU29" i="2"/>
  <c r="BQ29" i="2"/>
  <c r="AU23" i="2"/>
  <c r="BQ23" i="2"/>
  <c r="AU28" i="2"/>
  <c r="BQ28" i="2"/>
  <c r="AU24" i="2"/>
  <c r="BQ24" i="2"/>
  <c r="AU31" i="2"/>
  <c r="BQ31" i="2"/>
  <c r="AU2" i="2"/>
  <c r="BQ2" i="2"/>
  <c r="AU30" i="2"/>
  <c r="BQ30" i="2"/>
  <c r="AU9" i="2"/>
  <c r="BQ9" i="2"/>
  <c r="AU32" i="2"/>
  <c r="BQ32" i="2"/>
  <c r="AU8" i="2"/>
  <c r="BQ8" i="2"/>
  <c r="AU16" i="2"/>
  <c r="BQ16" i="2"/>
  <c r="AU11" i="2"/>
  <c r="BQ11" i="2"/>
  <c r="AU33" i="2"/>
  <c r="BQ33" i="2"/>
  <c r="AU27" i="2"/>
  <c r="BQ27" i="2"/>
  <c r="AU12" i="2"/>
  <c r="BQ12" i="2"/>
  <c r="AU5" i="2"/>
  <c r="BQ5" i="2"/>
  <c r="AU4" i="2"/>
  <c r="BQ4" i="2"/>
  <c r="AU6" i="2"/>
  <c r="BQ6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5" i="2"/>
  <c r="AR35" i="2"/>
  <c r="AR37" i="2"/>
  <c r="AR36" i="2"/>
  <c r="AU25" i="2"/>
  <c r="AQ35" i="2"/>
  <c r="AQ37" i="2"/>
  <c r="AQ36" i="2"/>
  <c r="K35" i="2"/>
  <c r="AV7" i="2"/>
  <c r="AU7" i="2"/>
  <c r="DA7" i="2"/>
  <c r="AS7" i="2"/>
  <c r="AS37" i="2" s="1"/>
  <c r="DB4" i="2" l="1"/>
  <c r="DE9" i="2"/>
  <c r="BS7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<sst xmlns="http://schemas.openxmlformats.org/spreadsheetml/2006/main" count="6129" uniqueCount="766">
  <si>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</si>
  <si>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</si>
  <si>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</si>
  <si>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</si>
  <si>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</si>
  <si>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</si>
  <si>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</si>
  <si>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</si>
  <si>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</si>
  <si>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</si>
  <si>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</si>
  <si>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</si>
  <si>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</si>
  <si>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</si>
  <si>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</si>
  <si>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</si>
  <si>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</si>
  <si>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</si>
  <si>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</si>
  <si>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</si>
  <si>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</si>
  <si>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</si>
  <si>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</si>
  <si>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</si>
  <si>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</si>
  <si>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</si>
  <si>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</si>
  <si>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</si>
  <si>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</si>
  <si>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</si>
  <si>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</si>
  <si>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</si>
  <si>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</si>
  <si>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</si>
  <si>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</si>
  <si>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</si>
  <si>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</si>
  <si>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</si>
  <si>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</si>
  <si>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</si>
  <si>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</si>
  <si>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</si>
  <si>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</si>
  <si>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</si>
  <si>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</si>
  <si>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</si>
  <si>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</si>
  <si>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</si>
  <si>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</si>
  <si>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</si>
  <si>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</si>
  <si>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</si>
  <si>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</si>
  <si>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</si>
  <si>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</si>
  <si>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</si>
  <si>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</si>
  <si>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</si>
  <si>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</si>
  <si>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</si>
  <si>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</si>
  <si>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</si>
  <si>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</si>
  <si>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</si>
  <si>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</si>
  <si>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</si>
  <si>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</si>
  <si>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</si>
  <si>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</si>
  <si>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</si>
  <si>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</si>
  <si>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</si>
  <si>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</si>
  <si>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</si>
  <si>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</si>
  <si>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</si>
  <si>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</si>
  <si>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</si>
  <si>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</si>
  <si>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</si>
  <si>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</si>
  <si>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</si>
  <si>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</si>
  <si>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</si>
  <si>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</si>
  <si>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</si>
  <si>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</si>
  <si>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</si>
  <si>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</si>
  <si>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</si>
  <si>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</si>
  <si>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</si>
  <si>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</si>
  <si>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</si>
  <si>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</si>
  <si>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</si>
  <si>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</si>
  <si>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</si>
  <si>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</si>
  <si>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</si>
  <si>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</si>
  <si>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</si>
  <si>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</si>
  <si>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</si>
  <si>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</si>
  <si>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</si>
  <si>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</si>
  <si>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</si>
  <si>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</si>
  <si>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</si>
  <si>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</si>
  <si>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</si>
  <si>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</si>
  <si>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</si>
  <si>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</si>
  <si>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</si>
  <si>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</si>
  <si>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</si>
  <si>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</si>
  <si>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</si>
  <si>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</si>
  <si>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</si>
  <si>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</si>
  <si>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</si>
  <si>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</si>
  <si>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</si>
  <si>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</si>
  <si>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</si>
  <si>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</si>
  <si>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</si>
  <si>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</si>
  <si>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</si>
  <si>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</si>
  <si>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</si>
  <si>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</si>
  <si>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</si>
  <si>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</si>
  <si>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</si>
  <si>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</si>
  <si>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</si>
  <si>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</si>
  <si>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</si>
  <si>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</si>
  <si>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</si>
  <si>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</si>
  <si>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</si>
  <si>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</si>
  <si>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</si>
  <si>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</si>
  <si>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</si>
  <si>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</si>
  <si>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</si>
  <si>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</si>
  <si>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</si>
  <si>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</si>
  <si>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</si>
  <si>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</si>
  <si>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</si>
  <si>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</si>
  <si>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</si>
  <si>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</si>
  <si>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</si>
  <si>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</si>
  <si>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</si>
  <si>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</si>
  <si>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</si>
  <si>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</si>
  <si>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</si>
  <si>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</si>
  <si>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</si>
  <si>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</si>
  <si>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</si>
  <si>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</si>
  <si>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</si>
  <si>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</si>
  <si>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</si>
  <si>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</si>
  <si>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</si>
  <si>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</si>
  <si>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</si>
  <si>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</si>
  <si>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</si>
  <si>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</si>
  <si>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</si>
  <si>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</si>
  <si>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</si>
  <si>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</si>
  <si>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</si>
  <si>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</si>
  <si>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</si>
  <si>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</si>
  <si>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</si>
  <si>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</si>
  <si>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</si>
  <si>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</si>
  <si>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</si>
  <si>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</si>
  <si>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</si>
  <si>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</si>
  <si>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</si>
  <si>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</si>
  <si>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</si>
  <si>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</si>
  <si>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</si>
  <si>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</si>
  <si>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</si>
  <si>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</si>
  <si>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</si>
  <si>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</si>
  <si>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</si>
  <si>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</si>
  <si>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</si>
  <si>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</si>
  <si>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</si>
  <si>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</si>
  <si>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</si>
  <si>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</si>
  <si>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</si>
  <si>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</si>
  <si>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</si>
  <si>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</si>
  <si>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</si>
  <si>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</si>
  <si>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</si>
  <si>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</si>
  <si>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</si>
  <si>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</si>
  <si>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</si>
  <si>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</si>
  <si>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</si>
  <si>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</si>
  <si>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</si>
  <si>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</si>
  <si>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</si>
  <si>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</si>
  <si>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</si>
  <si>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</si>
  <si>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</si>
  <si>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</si>
  <si>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</si>
  <si>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</si>
  <si>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</si>
  <si>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</si>
  <si>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</si>
  <si>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</si>
  <si>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</si>
  <si>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</si>
  <si>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</si>
  <si>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</si>
  <si>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</si>
  <si>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</si>
  <si>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</si>
  <si>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</si>
  <si>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</si>
  <si>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</si>
  <si>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</si>
  <si>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</si>
  <si>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</si>
  <si>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</si>
  <si>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</si>
  <si>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</si>
  <si>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</si>
  <si>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</si>
  <si>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</si>
  <si>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</si>
  <si>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</si>
  <si>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</si>
  <si>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</si>
  <si>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</si>
  <si>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</si>
  <si>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</si>
  <si>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</si>
  <si>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</si>
  <si>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</si>
  <si>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</si>
  <si>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</si>
  <si>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</si>
  <si>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</si>
  <si>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</si>
  <si>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</si>
  <si>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</si>
  <si>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</si>
  <si>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</si>
  <si>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</si>
  <si>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</si>
  <si>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</si>
  <si>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</si>
  <si>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</si>
  <si>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</si>
  <si>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</si>
  <si>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</si>
  <si>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</si>
  <si>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</si>
  <si>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</si>
  <si>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</si>
  <si>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</si>
  <si>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</si>
  <si>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</si>
  <si>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</si>
  <si>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</si>
  <si>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</si>
  <si>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</si>
  <si>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</si>
  <si>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</si>
  <si>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</si>
  <si>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</si>
  <si>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</si>
  <si>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</si>
  <si>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</si>
  <si>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</si>
  <si>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</si>
  <si>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</si>
  <si>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</si>
  <si>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</si>
  <si>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</si>
  <si>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</si>
  <si>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</si>
  <si>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</si>
  <si>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</si>
  <si>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</si>
  <si>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</si>
  <si>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</si>
  <si>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</si>
  <si>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</si>
  <si>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</si>
  <si>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</si>
  <si>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</si>
  <si>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</si>
  <si>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</si>
  <si>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</si>
  <si>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</si>
  <si>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</si>
  <si>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</si>
  <si>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</si>
  <si>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</si>
  <si>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</si>
  <si>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</si>
  <si>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</si>
  <si>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</si>
  <si>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</si>
  <si>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</si>
  <si>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</si>
  <si>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</si>
  <si>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</si>
  <si>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</si>
  <si>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</si>
  <si>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</si>
  <si>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</si>
  <si>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</si>
  <si>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</si>
  <si>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</si>
  <si>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</si>
  <si>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</si>
  <si>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</si>
  <si>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</si>
  <si>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</si>
  <si>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</si>
  <si>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</si>
  <si>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</si>
  <si>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</si>
  <si>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</si>
  <si>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</si>
  <si>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</si>
  <si>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</si>
  <si>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</si>
  <si>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</si>
  <si>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</si>
  <si>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</si>
  <si>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</si>
  <si>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</si>
  <si>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</si>
  <si>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</si>
  <si>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</si>
  <si>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</si>
  <si>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</si>
  <si>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</si>
  <si>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</si>
  <si>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</si>
  <si>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</si>
  <si>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</si>
  <si>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</si>
  <si>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</si>
  <si>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</si>
  <si>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</si>
  <si>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</si>
  <si>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</si>
  <si>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</si>
  <si>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</si>
  <si>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</si>
  <si>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</si>
  <si>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</si>
  <si>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</si>
  <si>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</si>
  <si>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</si>
  <si>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</si>
  <si>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</si>
  <si>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</si>
  <si>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</si>
  <si>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</si>
  <si>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</si>
  <si>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</si>
  <si>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</si>
  <si>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</si>
  <si>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</si>
  <si>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</si>
  <si>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</si>
  <si>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</si>
  <si>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</si>
  <si>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</si>
  <si>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</si>
  <si>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</si>
  <si>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</si>
  <si>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</si>
  <si>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</si>
  <si>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</si>
  <si>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</si>
  <si>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</si>
  <si>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</si>
  <si>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</si>
  <si>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</si>
  <si>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</si>
  <si>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</si>
  <si>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</si>
  <si>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</si>
  <si>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</si>
  <si>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</si>
  <si>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</si>
  <si>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</si>
  <si>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</si>
  <si>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</si>
  <si>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</si>
  <si>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</si>
  <si>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</si>
  <si>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</si>
  <si>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</si>
  <si>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</si>
  <si>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</si>
  <si>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</si>
  <si>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</si>
  <si>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</si>
  <si>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</si>
  <si>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</si>
  <si>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</si>
  <si>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</si>
  <si>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</si>
  <si>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</si>
  <si>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</si>
  <si>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</si>
  <si>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</si>
  <si>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</si>
  <si>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</si>
  <si>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</si>
  <si>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</si>
  <si>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</si>
  <si>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</si>
  <si>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</si>
  <si>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</si>
  <si>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</si>
  <si>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</si>
  <si>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</si>
  <si>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</si>
  <si>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</si>
  <si>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</si>
  <si>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</si>
  <si>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</si>
  <si>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</si>
  <si>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</si>
  <si>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</si>
  <si>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</si>
  <si>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</si>
  <si>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</si>
  <si>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</si>
  <si>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</si>
  <si>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</si>
  <si>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</si>
  <si>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</si>
  <si>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</si>
  <si>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</si>
  <si>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</si>
  <si>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</si>
  <si>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</si>
  <si>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</si>
  <si>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</si>
  <si>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</si>
  <si>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</si>
  <si>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</si>
  <si>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</si>
  <si>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</si>
  <si>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</si>
  <si>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</si>
  <si>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</si>
  <si>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</si>
  <si>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</si>
  <si>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</si>
  <si>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</si>
  <si>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</si>
  <si>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</si>
  <si>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</si>
  <si>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</si>
  <si>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</si>
  <si>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</si>
  <si>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</si>
  <si>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</si>
  <si>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</si>
  <si>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</si>
  <si>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</si>
  <si>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</si>
  <si>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</si>
  <si>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</si>
  <si>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</si>
  <si>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</si>
  <si>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</si>
  <si>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</si>
  <si>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</si>
  <si>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</si>
  <si>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</si>
  <si>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</si>
  <si>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</si>
  <si>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</si>
  <si>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</si>
  <si>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</si>
  <si>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</si>
  <si>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</si>
  <si>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</si>
  <si>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</si>
  <si>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</si>
  <si>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</si>
  <si>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</si>
  <si>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</si>
  <si>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</si>
  <si>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</si>
  <si>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</si>
  <si>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</si>
  <si>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</si>
  <si>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</si>
  <si>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</si>
  <si>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</si>
  <si>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</si>
  <si>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</si>
  <si>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</si>
  <si>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</si>
  <si>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</si>
  <si>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</si>
  <si>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</si>
  <si>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</si>
  <si>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</si>
  <si>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</si>
  <si>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</si>
  <si>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</si>
  <si>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</si>
  <si>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</si>
  <si>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</si>
  <si>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</si>
  <si>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</si>
  <si>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</si>
  <si>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</si>
  <si>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</si>
  <si>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</si>
  <si>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</si>
  <si>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</si>
  <si>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</si>
  <si>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</si>
  <si>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</si>
  <si>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</si>
  <si>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</si>
  <si>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</si>
  <si>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</si>
  <si>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</si>
  <si>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</si>
  <si>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</si>
  <si>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</si>
  <si>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</si>
  <si>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</si>
  <si>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</si>
  <si>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</si>
  <si>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</si>
  <si>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</si>
  <si>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</si>
  <si>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</si>
  <si>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</si>
  <si>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</si>
  <si>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</si>
  <si>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</si>
  <si>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</si>
  <si>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</si>
  <si>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</si>
  <si>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</si>
  <si>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</si>
  <si>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</si>
  <si>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</si>
  <si>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</si>
  <si>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</si>
  <si>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</si>
  <si>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</si>
  <si>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</si>
  <si>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</si>
  <si>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</si>
  <si>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</si>
  <si>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</si>
  <si>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</si>
  <si>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</si>
  <si>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</si>
  <si>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</si>
  <si>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</si>
  <si>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</si>
  <si>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</si>
  <si>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</si>
  <si>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</si>
  <si>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</si>
  <si>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</si>
  <si>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</si>
  <si>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</si>
  <si>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</si>
  <si>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</si>
  <si>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</si>
  <si>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</si>
  <si>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</si>
  <si>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</si>
  <si>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</si>
  <si>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</si>
  <si>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</si>
  <si>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</si>
  <si>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</si>
  <si>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</si>
  <si>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</si>
  <si>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</si>
  <si>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</si>
  <si>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</si>
  <si>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</si>
  <si>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</si>
  <si>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</si>
  <si>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</si>
  <si>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</si>
  <si>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</si>
  <si>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</si>
  <si>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</si>
  <si>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</si>
  <si>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</si>
  <si>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</si>
  <si>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</si>
  <si>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</si>
  <si>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</si>
  <si>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</si>
  <si>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</si>
  <si>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</si>
  <si>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</si>
  <si>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</si>
  <si>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</si>
  <si>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</si>
  <si>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</si>
  <si>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</si>
  <si>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</si>
  <si>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</si>
  <si>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</si>
  <si>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</si>
  <si>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</si>
  <si>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</si>
  <si>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</si>
  <si>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</si>
  <si>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</si>
  <si>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</si>
  <si>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</si>
  <si>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</si>
  <si>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</si>
  <si>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</si>
  <si>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</si>
  <si>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</si>
  <si>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</si>
  <si>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</si>
  <si>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</si>
  <si>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</si>
  <si>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</si>
  <si>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</si>
  <si>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</si>
  <si>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</si>
  <si>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</si>
  <si>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</si>
  <si>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</si>
  <si>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</si>
  <si>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</si>
  <si>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</si>
  <si>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</si>
  <si>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</si>
  <si>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</si>
  <si>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</si>
  <si>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</si>
  <si>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</si>
  <si>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</si>
  <si>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</si>
  <si>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</si>
  <si>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</si>
  <si>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</si>
  <si>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</si>
  <si>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</si>
  <si>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</si>
  <si>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</si>
  <si>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</si>
  <si>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</si>
  <si>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</si>
  <si>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</si>
  <si>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</si>
  <si>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</si>
  <si>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</si>
  <si>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</si>
  <si>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</si>
  <si>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</si>
  <si>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</si>
  <si>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</si>
  <si>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</si>
  <si>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</si>
  <si>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</si>
  <si>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</si>
  <si>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</si>
  <si>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</si>
  <si>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</si>
  <si>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</si>
  <si>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</si>
  <si>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</si>
  <si>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</si>
  <si>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</si>
  <si>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</si>
  <si>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</si>
  <si>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</si>
  <si>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</si>
  <si>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</si>
  <si>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</si>
  <si>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</si>
  <si>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</si>
  <si>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</si>
  <si>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</si>
  <si>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</si>
  <si>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</si>
  <si>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</si>
  <si>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</si>
  <si>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</si>
  <si>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</si>
  <si>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</si>
  <si>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</si>
  <si>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</si>
  <si>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</si>
  <si>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</si>
  <si>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</si>
  <si>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</si>
  <si>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</si>
  <si>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</si>
  <si>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</si>
  <si>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</si>
  <si>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</si>
  <si>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</si>
  <si>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</si>
  <si>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</si>
  <si>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</si>
  <si>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</si>
  <si>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</si>
  <si>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</si>
  <si>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</si>
  <si>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</si>
  <si>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</si>
  <si>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</si>
  <si>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</si>
  <si>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</si>
  <si>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</si>
  <si>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</si>
  <si>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</si>
  <si>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</si>
  <si>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wsh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</si>
</sst>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0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-2</c:v>
                </c:pt>
                <c:pt idx="419">
                  <c:v>-1</c:v>
                </c:pt>
                <c:pt idx="420">
                  <c:v>0</c:v>
                </c:pt>
                <c:pt idx="421">
                  <c:v>1</c:v>
                </c:pt>
                <c:pt idx="422">
                  <c:v>-2</c:v>
                </c:pt>
                <c:pt idx="423">
                  <c:v>0</c:v>
                </c:pt>
                <c:pt idx="424">
                  <c:v>4</c:v>
                </c:pt>
                <c:pt idx="425">
                  <c:v>4</c:v>
                </c:pt>
                <c:pt idx="426">
                  <c:v>-1</c:v>
                </c:pt>
                <c:pt idx="427">
                  <c:v>0</c:v>
                </c:pt>
                <c:pt idx="428">
                  <c:v>0</c:v>
                </c:pt>
                <c:pt idx="429">
                  <c:v>-1</c:v>
                </c:pt>
                <c:pt idx="430">
                  <c:v>-2</c:v>
                </c:pt>
                <c:pt idx="431">
                  <c:v>3</c:v>
                </c:pt>
                <c:pt idx="432">
                  <c:v>3</c:v>
                </c:pt>
                <c:pt idx="433">
                  <c:v>-2</c:v>
                </c:pt>
                <c:pt idx="434">
                  <c:v>1</c:v>
                </c:pt>
                <c:pt idx="435">
                  <c:v>-1</c:v>
                </c:pt>
                <c:pt idx="436">
                  <c:v>1</c:v>
                </c:pt>
                <c:pt idx="437">
                  <c:v>0</c:v>
                </c:pt>
                <c:pt idx="438">
                  <c:v>-2</c:v>
                </c:pt>
                <c:pt idx="439">
                  <c:v>-1</c:v>
                </c:pt>
                <c:pt idx="440">
                  <c:v>0</c:v>
                </c:pt>
                <c:pt idx="441">
                  <c:v>-2</c:v>
                </c:pt>
                <c:pt idx="442">
                  <c:v>3</c:v>
                </c:pt>
                <c:pt idx="443">
                  <c:v>-2</c:v>
                </c:pt>
                <c:pt idx="444">
                  <c:v>0</c:v>
                </c:pt>
                <c:pt idx="445">
                  <c:v>0</c:v>
                </c:pt>
                <c:pt idx="446">
                  <c:v>-1</c:v>
                </c:pt>
                <c:pt idx="447">
                  <c:v>2</c:v>
                </c:pt>
                <c:pt idx="448">
                  <c:v>-3</c:v>
                </c:pt>
                <c:pt idx="449">
                  <c:v>-2</c:v>
                </c:pt>
                <c:pt idx="450">
                  <c:v>-1</c:v>
                </c:pt>
                <c:pt idx="451">
                  <c:v>-2</c:v>
                </c:pt>
                <c:pt idx="452">
                  <c:v>2</c:v>
                </c:pt>
                <c:pt idx="453">
                  <c:v>1</c:v>
                </c:pt>
                <c:pt idx="454">
                  <c:v>-1</c:v>
                </c:pt>
                <c:pt idx="455">
                  <c:v>2</c:v>
                </c:pt>
                <c:pt idx="456">
                  <c:v>-1</c:v>
                </c:pt>
                <c:pt idx="457">
                  <c:v>2</c:v>
                </c:pt>
                <c:pt idx="458">
                  <c:v>0</c:v>
                </c:pt>
                <c:pt idx="459">
                  <c:v>-2</c:v>
                </c:pt>
                <c:pt idx="460">
                  <c:v>-3</c:v>
                </c:pt>
                <c:pt idx="461">
                  <c:v>-4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-3</c:v>
                </c:pt>
                <c:pt idx="467">
                  <c:v>-2</c:v>
                </c:pt>
                <c:pt idx="468">
                  <c:v>-1</c:v>
                </c:pt>
                <c:pt idx="469">
                  <c:v>-3</c:v>
                </c:pt>
                <c:pt idx="470">
                  <c:v>-2</c:v>
                </c:pt>
                <c:pt idx="471">
                  <c:v>-2</c:v>
                </c:pt>
                <c:pt idx="472">
                  <c:v>-4</c:v>
                </c:pt>
                <c:pt idx="473">
                  <c:v>-4</c:v>
                </c:pt>
                <c:pt idx="474">
                  <c:v>-3</c:v>
                </c:pt>
                <c:pt idx="475">
                  <c:v>-3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-1</c:v>
                </c:pt>
                <c:pt idx="412">
                  <c:v>3</c:v>
                </c:pt>
                <c:pt idx="413">
                  <c:v>-2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-1</c:v>
                </c:pt>
                <c:pt idx="418">
                  <c:v>-2</c:v>
                </c:pt>
                <c:pt idx="419">
                  <c:v>2</c:v>
                </c:pt>
                <c:pt idx="420">
                  <c:v>-1</c:v>
                </c:pt>
                <c:pt idx="421">
                  <c:v>-3</c:v>
                </c:pt>
                <c:pt idx="422">
                  <c:v>1</c:v>
                </c:pt>
                <c:pt idx="423">
                  <c:v>2</c:v>
                </c:pt>
                <c:pt idx="424">
                  <c:v>-4</c:v>
                </c:pt>
                <c:pt idx="425">
                  <c:v>-3</c:v>
                </c:pt>
                <c:pt idx="426">
                  <c:v>3</c:v>
                </c:pt>
                <c:pt idx="427">
                  <c:v>0</c:v>
                </c:pt>
                <c:pt idx="428">
                  <c:v>0</c:v>
                </c:pt>
                <c:pt idx="429">
                  <c:v>-4</c:v>
                </c:pt>
                <c:pt idx="430">
                  <c:v>4</c:v>
                </c:pt>
                <c:pt idx="431">
                  <c:v>-2</c:v>
                </c:pt>
                <c:pt idx="432">
                  <c:v>2</c:v>
                </c:pt>
                <c:pt idx="433">
                  <c:v>0</c:v>
                </c:pt>
                <c:pt idx="434">
                  <c:v>4</c:v>
                </c:pt>
                <c:pt idx="435">
                  <c:v>-1</c:v>
                </c:pt>
                <c:pt idx="436">
                  <c:v>-3</c:v>
                </c:pt>
                <c:pt idx="437">
                  <c:v>0</c:v>
                </c:pt>
                <c:pt idx="438">
                  <c:v>0</c:v>
                </c:pt>
                <c:pt idx="439">
                  <c:v>-2</c:v>
                </c:pt>
                <c:pt idx="440">
                  <c:v>-1</c:v>
                </c:pt>
                <c:pt idx="441">
                  <c:v>0</c:v>
                </c:pt>
                <c:pt idx="442">
                  <c:v>3</c:v>
                </c:pt>
                <c:pt idx="443">
                  <c:v>2</c:v>
                </c:pt>
                <c:pt idx="444">
                  <c:v>-3</c:v>
                </c:pt>
                <c:pt idx="445">
                  <c:v>-2</c:v>
                </c:pt>
                <c:pt idx="446">
                  <c:v>-2</c:v>
                </c:pt>
                <c:pt idx="447">
                  <c:v>2</c:v>
                </c:pt>
                <c:pt idx="448">
                  <c:v>-2</c:v>
                </c:pt>
                <c:pt idx="449">
                  <c:v>3</c:v>
                </c:pt>
                <c:pt idx="450">
                  <c:v>2</c:v>
                </c:pt>
                <c:pt idx="451">
                  <c:v>2</c:v>
                </c:pt>
                <c:pt idx="452">
                  <c:v>-2</c:v>
                </c:pt>
                <c:pt idx="453">
                  <c:v>-1</c:v>
                </c:pt>
                <c:pt idx="454">
                  <c:v>0</c:v>
                </c:pt>
                <c:pt idx="455">
                  <c:v>-2</c:v>
                </c:pt>
                <c:pt idx="456">
                  <c:v>1</c:v>
                </c:pt>
                <c:pt idx="457">
                  <c:v>-1</c:v>
                </c:pt>
                <c:pt idx="458">
                  <c:v>-2</c:v>
                </c:pt>
                <c:pt idx="459">
                  <c:v>-2</c:v>
                </c:pt>
                <c:pt idx="460">
                  <c:v>4</c:v>
                </c:pt>
                <c:pt idx="461">
                  <c:v>-1</c:v>
                </c:pt>
                <c:pt idx="462">
                  <c:v>0</c:v>
                </c:pt>
                <c:pt idx="463">
                  <c:v>3</c:v>
                </c:pt>
                <c:pt idx="464">
                  <c:v>-2</c:v>
                </c:pt>
                <c:pt idx="465">
                  <c:v>-3</c:v>
                </c:pt>
                <c:pt idx="466">
                  <c:v>-2</c:v>
                </c:pt>
                <c:pt idx="467">
                  <c:v>-3</c:v>
                </c:pt>
                <c:pt idx="468">
                  <c:v>-2</c:v>
                </c:pt>
                <c:pt idx="469">
                  <c:v>-2</c:v>
                </c:pt>
                <c:pt idx="470">
                  <c:v>-4</c:v>
                </c:pt>
                <c:pt idx="471">
                  <c:v>-4</c:v>
                </c:pt>
                <c:pt idx="472">
                  <c:v>-2</c:v>
                </c:pt>
                <c:pt idx="473">
                  <c:v>-2</c:v>
                </c:pt>
                <c:pt idx="474">
                  <c:v>-5</c:v>
                </c:pt>
                <c:pt idx="475">
                  <c:v>-2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7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-9</c:v>
                </c:pt>
                <c:pt idx="412">
                  <c:v>-9</c:v>
                </c:pt>
                <c:pt idx="413">
                  <c:v>-9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-9</c:v>
                </c:pt>
                <c:pt idx="419">
                  <c:v>-9</c:v>
                </c:pt>
                <c:pt idx="420">
                  <c:v>-9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-2</c:v>
                </c:pt>
                <c:pt idx="437">
                  <c:v>-2</c:v>
                </c:pt>
                <c:pt idx="438">
                  <c:v>-2</c:v>
                </c:pt>
                <c:pt idx="439">
                  <c:v>-2</c:v>
                </c:pt>
                <c:pt idx="440">
                  <c:v>-2</c:v>
                </c:pt>
                <c:pt idx="441">
                  <c:v>-6</c:v>
                </c:pt>
                <c:pt idx="442">
                  <c:v>-6</c:v>
                </c:pt>
                <c:pt idx="443">
                  <c:v>-6</c:v>
                </c:pt>
                <c:pt idx="444">
                  <c:v>-6</c:v>
                </c:pt>
                <c:pt idx="445">
                  <c:v>-6</c:v>
                </c:pt>
                <c:pt idx="446">
                  <c:v>-6</c:v>
                </c:pt>
                <c:pt idx="447">
                  <c:v>-6</c:v>
                </c:pt>
                <c:pt idx="448">
                  <c:v>-6</c:v>
                </c:pt>
                <c:pt idx="449">
                  <c:v>-6</c:v>
                </c:pt>
                <c:pt idx="450">
                  <c:v>-6</c:v>
                </c:pt>
                <c:pt idx="451">
                  <c:v>-6</c:v>
                </c:pt>
                <c:pt idx="452">
                  <c:v>-6</c:v>
                </c:pt>
                <c:pt idx="453">
                  <c:v>-2</c:v>
                </c:pt>
                <c:pt idx="454">
                  <c:v>-2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</c:v>
                </c:pt>
                <c:pt idx="459">
                  <c:v>-2</c:v>
                </c:pt>
                <c:pt idx="460">
                  <c:v>-2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-27</c:v>
                </c:pt>
                <c:pt idx="467">
                  <c:v>-27</c:v>
                </c:pt>
                <c:pt idx="468">
                  <c:v>-27</c:v>
                </c:pt>
                <c:pt idx="469">
                  <c:v>-27</c:v>
                </c:pt>
                <c:pt idx="470">
                  <c:v>-27</c:v>
                </c:pt>
                <c:pt idx="471">
                  <c:v>-27</c:v>
                </c:pt>
                <c:pt idx="472">
                  <c:v>-27</c:v>
                </c:pt>
                <c:pt idx="473">
                  <c:v>-27</c:v>
                </c:pt>
                <c:pt idx="474">
                  <c:v>-27</c:v>
                </c:pt>
                <c:pt idx="475">
                  <c:v>-27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7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-7</c:v>
                </c:pt>
                <c:pt idx="422">
                  <c:v>-7</c:v>
                </c:pt>
                <c:pt idx="423">
                  <c:v>-7</c:v>
                </c:pt>
                <c:pt idx="424">
                  <c:v>-7</c:v>
                </c:pt>
                <c:pt idx="425">
                  <c:v>-7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-6</c:v>
                </c:pt>
                <c:pt idx="437">
                  <c:v>-6</c:v>
                </c:pt>
                <c:pt idx="438">
                  <c:v>-6</c:v>
                </c:pt>
                <c:pt idx="439">
                  <c:v>-6</c:v>
                </c:pt>
                <c:pt idx="440">
                  <c:v>-6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3</c:v>
                </c:pt>
                <c:pt idx="452">
                  <c:v>3</c:v>
                </c:pt>
                <c:pt idx="453">
                  <c:v>-3</c:v>
                </c:pt>
                <c:pt idx="454">
                  <c:v>-3</c:v>
                </c:pt>
                <c:pt idx="455">
                  <c:v>-3</c:v>
                </c:pt>
                <c:pt idx="456">
                  <c:v>-3</c:v>
                </c:pt>
                <c:pt idx="457">
                  <c:v>-3</c:v>
                </c:pt>
                <c:pt idx="458">
                  <c:v>-3</c:v>
                </c:pt>
                <c:pt idx="459">
                  <c:v>-3</c:v>
                </c:pt>
                <c:pt idx="460">
                  <c:v>-3</c:v>
                </c:pt>
                <c:pt idx="461">
                  <c:v>-3</c:v>
                </c:pt>
                <c:pt idx="462">
                  <c:v>-3</c:v>
                </c:pt>
                <c:pt idx="463">
                  <c:v>-3</c:v>
                </c:pt>
                <c:pt idx="464">
                  <c:v>-3</c:v>
                </c:pt>
                <c:pt idx="465">
                  <c:v>-3</c:v>
                </c:pt>
                <c:pt idx="466">
                  <c:v>-28</c:v>
                </c:pt>
                <c:pt idx="467">
                  <c:v>-28</c:v>
                </c:pt>
                <c:pt idx="468">
                  <c:v>-28</c:v>
                </c:pt>
                <c:pt idx="469">
                  <c:v>-28</c:v>
                </c:pt>
                <c:pt idx="470">
                  <c:v>-28</c:v>
                </c:pt>
                <c:pt idx="471">
                  <c:v>-28</c:v>
                </c:pt>
                <c:pt idx="472">
                  <c:v>-28</c:v>
                </c:pt>
                <c:pt idx="473">
                  <c:v>-28</c:v>
                </c:pt>
                <c:pt idx="474">
                  <c:v>-28</c:v>
                </c:pt>
                <c:pt idx="475">
                  <c:v>-28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0.15483870967741936</c:v>
                </c:pt>
                <c:pt idx="1">
                  <c:v>0.39139784946236561</c:v>
                </c:pt>
                <c:pt idx="2">
                  <c:v>0.23655913978494625</c:v>
                </c:pt>
                <c:pt idx="3">
                  <c:v>0.15268817204301074</c:v>
                </c:pt>
                <c:pt idx="4">
                  <c:v>4.9462365591397849E-2</c:v>
                </c:pt>
                <c:pt idx="5">
                  <c:v>8.6021505376344086E-3</c:v>
                </c:pt>
                <c:pt idx="6">
                  <c:v>8.6021505376344086E-3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0.14838709677419354</c:v>
                </c:pt>
                <c:pt idx="1">
                  <c:v>0.35913978494623655</c:v>
                </c:pt>
                <c:pt idx="2">
                  <c:v>0.27956989247311825</c:v>
                </c:pt>
                <c:pt idx="3">
                  <c:v>0.13118279569892474</c:v>
                </c:pt>
                <c:pt idx="4">
                  <c:v>7.0967741935483872E-2</c:v>
                </c:pt>
                <c:pt idx="5">
                  <c:v>8.6021505376344086E-3</c:v>
                </c:pt>
                <c:pt idx="6">
                  <c:v>4.3010752688172043E-3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0.15161290322580645</c:v>
                </c:pt>
                <c:pt idx="1">
                  <c:v>0.37526881720430105</c:v>
                </c:pt>
                <c:pt idx="2">
                  <c:v>0.25806451612903225</c:v>
                </c:pt>
                <c:pt idx="3">
                  <c:v>0.14193548387096774</c:v>
                </c:pt>
                <c:pt idx="4">
                  <c:v>6.0215053763440864E-2</c:v>
                </c:pt>
                <c:pt idx="5">
                  <c:v>8.6021505376344086E-3</c:v>
                </c:pt>
                <c:pt idx="6">
                  <c:v>6.4516129032258064E-3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35</c:v>
                </c:pt>
                <c:pt idx="63">
                  <c:v>35</c:v>
                </c:pt>
                <c:pt idx="64">
                  <c:v>37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31</c:v>
                </c:pt>
                <c:pt idx="62">
                  <c:v>31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26</c:v>
                </c:pt>
                <c:pt idx="64">
                  <c:v>26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  <c:pt idx="59">
                  <c:v>28</c:v>
                </c:pt>
                <c:pt idx="60">
                  <c:v>28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46</c:v>
                </c:pt>
                <c:pt idx="64">
                  <c:v>48</c:v>
                </c:pt>
                <c:pt idx="65">
                  <c:v>48</c:v>
                </c:pt>
                <c:pt idx="66">
                  <c:v>48</c:v>
                </c:pt>
                <c:pt idx="67">
                  <c:v>48</c:v>
                </c:pt>
                <c:pt idx="68">
                  <c:v>48</c:v>
                </c:pt>
                <c:pt idx="69">
                  <c:v>48</c:v>
                </c:pt>
                <c:pt idx="70">
                  <c:v>48</c:v>
                </c:pt>
                <c:pt idx="71">
                  <c:v>48</c:v>
                </c:pt>
                <c:pt idx="72">
                  <c:v>48</c:v>
                </c:pt>
                <c:pt idx="73">
                  <c:v>48</c:v>
                </c:pt>
                <c:pt idx="74">
                  <c:v>48</c:v>
                </c:pt>
                <c:pt idx="75">
                  <c:v>48</c:v>
                </c:pt>
                <c:pt idx="76">
                  <c:v>48</c:v>
                </c:pt>
                <c:pt idx="77">
                  <c:v>48</c:v>
                </c:pt>
                <c:pt idx="78">
                  <c:v>48</c:v>
                </c:pt>
                <c:pt idx="79">
                  <c:v>48</c:v>
                </c:pt>
                <c:pt idx="80">
                  <c:v>48</c:v>
                </c:pt>
                <c:pt idx="81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  <c:pt idx="59">
                  <c:v>39</c:v>
                </c:pt>
                <c:pt idx="60">
                  <c:v>41</c:v>
                </c:pt>
                <c:pt idx="61">
                  <c:v>41</c:v>
                </c:pt>
                <c:pt idx="62">
                  <c:v>43</c:v>
                </c:pt>
                <c:pt idx="63">
                  <c:v>43</c:v>
                </c:pt>
                <c:pt idx="64">
                  <c:v>45</c:v>
                </c:pt>
                <c:pt idx="65">
                  <c:v>45</c:v>
                </c:pt>
                <c:pt idx="66">
                  <c:v>45</c:v>
                </c:pt>
                <c:pt idx="67">
                  <c:v>45</c:v>
                </c:pt>
                <c:pt idx="68">
                  <c:v>45</c:v>
                </c:pt>
                <c:pt idx="69">
                  <c:v>45</c:v>
                </c:pt>
                <c:pt idx="70">
                  <c:v>45</c:v>
                </c:pt>
                <c:pt idx="71">
                  <c:v>45</c:v>
                </c:pt>
                <c:pt idx="72">
                  <c:v>45</c:v>
                </c:pt>
                <c:pt idx="73">
                  <c:v>45</c:v>
                </c:pt>
                <c:pt idx="74">
                  <c:v>45</c:v>
                </c:pt>
                <c:pt idx="75">
                  <c:v>45</c:v>
                </c:pt>
                <c:pt idx="76">
                  <c:v>45</c:v>
                </c:pt>
                <c:pt idx="77">
                  <c:v>45</c:v>
                </c:pt>
                <c:pt idx="78">
                  <c:v>45</c:v>
                </c:pt>
                <c:pt idx="79">
                  <c:v>45</c:v>
                </c:pt>
                <c:pt idx="80">
                  <c:v>45</c:v>
                </c:pt>
                <c:pt idx="81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24</c:v>
                </c:pt>
                <c:pt idx="67">
                  <c:v>24</c:v>
                </c:pt>
                <c:pt idx="68">
                  <c:v>24</c:v>
                </c:pt>
                <c:pt idx="69">
                  <c:v>24</c:v>
                </c:pt>
                <c:pt idx="70">
                  <c:v>24</c:v>
                </c:pt>
                <c:pt idx="71">
                  <c:v>24</c:v>
                </c:pt>
                <c:pt idx="72">
                  <c:v>24</c:v>
                </c:pt>
                <c:pt idx="73">
                  <c:v>24</c:v>
                </c:pt>
                <c:pt idx="74">
                  <c:v>24</c:v>
                </c:pt>
                <c:pt idx="75">
                  <c:v>24</c:v>
                </c:pt>
                <c:pt idx="76">
                  <c:v>24</c:v>
                </c:pt>
                <c:pt idx="77">
                  <c:v>24</c:v>
                </c:pt>
                <c:pt idx="78">
                  <c:v>24</c:v>
                </c:pt>
                <c:pt idx="79">
                  <c:v>24</c:v>
                </c:pt>
                <c:pt idx="80">
                  <c:v>24</c:v>
                </c:pt>
                <c:pt idx="8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30</c:v>
                </c:pt>
                <c:pt idx="64">
                  <c:v>30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29</c:v>
                </c:pt>
                <c:pt idx="61">
                  <c:v>29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34</c:v>
                </c:pt>
                <c:pt idx="63">
                  <c:v>34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27</c:v>
                </c:pt>
                <c:pt idx="61">
                  <c:v>27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37</c:v>
                </c:pt>
                <c:pt idx="63">
                  <c:v>37</c:v>
                </c:pt>
                <c:pt idx="64">
                  <c:v>39</c:v>
                </c:pt>
                <c:pt idx="65">
                  <c:v>39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448" workbookViewId="0">
      <selection activeCell="AJ473" sqref="AJ473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465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184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248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157</v>
      </c>
      <c r="BP5" s="57"/>
      <c r="BR5" s="2">
        <v>0</v>
      </c>
      <c r="BS5" s="110" cm="1">
        <f t="array" ref="BS5">SUM(--(ABS($F$3:$F$1315 - $J$3:$J$1315) = 0)) -(((32*82)/2) - $BD$4)</f>
        <v>72</v>
      </c>
      <c r="BT5" s="111">
        <f>$BS5/$BD$4</f>
        <v>0.15483870967741936</v>
      </c>
      <c r="BU5" s="112" cm="1">
        <f t="array" ref="BU5">SUM(--(ABS($G$3:$G$1315 - $K$3:$K$1315) = 0)) -(((32*82)/2) - $BD$4)</f>
        <v>69</v>
      </c>
      <c r="BV5" s="113">
        <f>$BU5/$BD$4</f>
        <v>0.14838709677419354</v>
      </c>
      <c r="BW5" s="109">
        <f t="shared" ref="BW5:BW15" si="5">BS5+BU5</f>
        <v>141</v>
      </c>
      <c r="BX5" s="114">
        <f t="shared" ref="BX5:BX15" si="6">(BS5+BU5)/($BD$4*2)</f>
        <v>0.15161290322580645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2-1-0</v>
      </c>
      <c r="AP6" s="2" t="str">
        <f>INDEX(Sheet5!$B$2:$AG$33, MATCH(Table2[[#This Row],[HomeTeam]],Sheet5!$A$2:$A$33, 0), MATCH(Table2[[#This Row],[AwayTeam]],Sheet5!$A$2:$A$33, 0))</f>
        <v>1-1-1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217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44</v>
      </c>
      <c r="BP6" s="57"/>
      <c r="BR6" s="2">
        <v>1</v>
      </c>
      <c r="BS6" s="110" cm="1">
        <f t="array" ref="BS6">SUM(--(ABS($F$3:$F$1315 - $J$3:$J$1315) = $BR6))</f>
        <v>182</v>
      </c>
      <c r="BT6" s="111">
        <f t="shared" ref="BT6:BT15" si="7">$BS6/$BD$4</f>
        <v>0.39139784946236561</v>
      </c>
      <c r="BU6" s="112" cm="1">
        <f t="array" ref="BU6">SUM(--(ABS($G$3:$G$1315 - $K$3:$K$1315) = $BR6))</f>
        <v>167</v>
      </c>
      <c r="BV6" s="113">
        <f t="shared" ref="BV6:BV15" si="8">$BU6/$BD$4</f>
        <v>0.35913978494623655</v>
      </c>
      <c r="BW6" s="109">
        <f t="shared" si="5"/>
        <v>349</v>
      </c>
      <c r="BX6" s="114">
        <f t="shared" si="6"/>
        <v>0.37526881720430105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0.53333333333333333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36</v>
      </c>
      <c r="BP7" s="57"/>
      <c r="BR7" s="2">
        <v>2</v>
      </c>
      <c r="BS7" s="110" cm="1">
        <f t="array" ref="BS7">SUM(--(ABS($F$3:$F$1315 - $J$3:$J$1315) = $BR7))</f>
        <v>110</v>
      </c>
      <c r="BT7" s="111">
        <f t="shared" si="7"/>
        <v>0.23655913978494625</v>
      </c>
      <c r="BU7" s="112" cm="1">
        <f t="array" ref="BU7">SUM(--(ABS($G$3:$G$1315 - $K$3:$K$1315) = $BR7))</f>
        <v>130</v>
      </c>
      <c r="BV7" s="113">
        <f t="shared" si="8"/>
        <v>0.27956989247311825</v>
      </c>
      <c r="BW7" s="109">
        <f t="shared" si="5"/>
        <v>240</v>
      </c>
      <c r="BX7" s="114">
        <f t="shared" si="6"/>
        <v>0.25806451612903225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20</v>
      </c>
      <c r="BP8" s="57"/>
      <c r="BR8" s="2">
        <v>3</v>
      </c>
      <c r="BS8" s="110" cm="1">
        <f t="array" ref="BS8">SUM(--(ABS($F$3:$F$1315 - $J$3:$J$1315) = $BR8))</f>
        <v>71</v>
      </c>
      <c r="BT8" s="111">
        <f t="shared" si="7"/>
        <v>0.15268817204301074</v>
      </c>
      <c r="BU8" s="112" cm="1">
        <f t="array" ref="BU8">SUM(--(ABS($G$3:$G$1315 - $K$3:$K$1315) = $BR8))</f>
        <v>61</v>
      </c>
      <c r="BV8" s="113">
        <f t="shared" si="8"/>
        <v>0.13118279569892474</v>
      </c>
      <c r="BW8" s="109">
        <f t="shared" si="5"/>
        <v>132</v>
      </c>
      <c r="BX8" s="114">
        <f t="shared" si="6"/>
        <v>0.14193548387096774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214.30000000000058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24</v>
      </c>
      <c r="BP9" s="57"/>
      <c r="BR9" s="2">
        <v>4</v>
      </c>
      <c r="BS9" s="110" cm="1">
        <f t="array" ref="BS9">SUM(--(ABS($F$3:$F$1315 - $J$3:$J$1315) = $BR9))</f>
        <v>23</v>
      </c>
      <c r="BT9" s="111">
        <f t="shared" si="7"/>
        <v>4.9462365591397849E-2</v>
      </c>
      <c r="BU9" s="112" cm="1">
        <f t="array" ref="BU9">SUM(--(ABS($G$3:$G$1315 - $K$3:$K$1315) = $BR9))</f>
        <v>33</v>
      </c>
      <c r="BV9" s="113">
        <f t="shared" si="8"/>
        <v>7.0967741935483872E-2</v>
      </c>
      <c r="BW9" s="109">
        <f t="shared" si="5"/>
        <v>56</v>
      </c>
      <c r="BX9" s="114">
        <f t="shared" si="6"/>
        <v>6.0215053763440864E-2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0.46086021505376468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8.6021505376344086E-3</v>
      </c>
      <c r="BU10" s="112" cm="1">
        <f t="array" ref="BU10">SUM(--(ABS($G$3:$G$1315 - $K$3:$K$1315) = $BR10))</f>
        <v>4</v>
      </c>
      <c r="BV10" s="113">
        <f t="shared" si="8"/>
        <v>8.6021505376344086E-3</v>
      </c>
      <c r="BW10" s="109">
        <f t="shared" si="5"/>
        <v>8</v>
      </c>
      <c r="BX10" s="114">
        <f t="shared" si="6"/>
        <v>8.6021505376344086E-3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198.4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248-157-60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8.6021505376344086E-3</v>
      </c>
      <c r="BU11" s="112" cm="1">
        <f t="array" ref="BU11">SUM(--(ABS($G$3:$G$1315 - $K$3:$K$1315) = $BR11))</f>
        <v>2</v>
      </c>
      <c r="BV11" s="113">
        <f t="shared" si="8"/>
        <v>4.3010752688172043E-3</v>
      </c>
      <c r="BW11" s="109">
        <f t="shared" si="5"/>
        <v>6</v>
      </c>
      <c r="BX11" s="114">
        <f t="shared" si="6"/>
        <v>6.4516129032258064E-3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81</v>
      </c>
      <c r="BF12">
        <f>10/100</f>
        <v>0.1</v>
      </c>
      <c r="BK12" s="57"/>
      <c r="BL12" s="158" t="str">
        <f>_xlfn.CONCAT(TEXT(BM4, "0"),"-",TEXT(BM5, "0"),"-",TEXT(BM7+BM9+BM6+BM8, "0"))</f>
        <v>184-157-124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7.8000000000000007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1.6150537634408599</v>
      </c>
      <c r="BT16" s="157"/>
      <c r="BU16" s="157">
        <f>((BR5*BV5)+(BV6*BR6)+(BV7*BR7)+(BV8*BR8)+(BV9*BR9)+(BV10*BR10)+(BV11*BR11)+(BV12*BR12)+(BV13*BR13)+(BV14*BR14)+(BV15*BR15))</f>
        <v>1.6645161290322581</v>
      </c>
      <c r="BV16" s="157"/>
      <c r="BX16">
        <f>((BR5*BX5)+(BX6*BR6)+(BX7*BR7)+(BX8*BR8)+(BX9*BR9)+(BX10*BR10)+(BX11*BR11)+(BX12*BR12)+(BX13*BR13)+(BX14*BR14)+(BX15*BR15))</f>
        <v>1.6397849462365592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235.06000000000083</v>
      </c>
      <c r="BH17" t="s">
        <v>486</v>
      </c>
      <c r="BI17">
        <f>COUNTIFS($N$3:$N$1315,1,$AC$3:$AC$1315,1)</f>
        <v>23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0.50550537634408776</v>
      </c>
      <c r="BH18" t="s">
        <v>759</v>
      </c>
      <c r="BI18" s="10">
        <f>BI17/BD4</f>
        <v>4.9462365591397849E-2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11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9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10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18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1-1-0</v>
      </c>
      <c r="AP57" s="2" t="str">
        <f>INDEX(Sheet5!$B$2:$AG$33, MATCH(Table2[[#This Row],[HomeTeam]],Sheet5!$A$2:$A$33, 0), MATCH(Table2[[#This Row],[AwayTeam]],Sheet5!$A$2:$A$33, 0))</f>
        <v>1-1-0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1-1-0</v>
      </c>
      <c r="AP62" s="143" t="str">
        <f>INDEX(Sheet5!$B$2:$AG$33, MATCH(Table2[[#This Row],[HomeTeam]],Sheet5!$A$2:$A$33, 0), MATCH(Table2[[#This Row],[AwayTeam]],Sheet5!$A$2:$A$33, 0))</f>
        <v>1-1-0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1-1-1</v>
      </c>
      <c r="AP93" s="2" t="str">
        <f>INDEX(Sheet5!$B$2:$AG$33, MATCH(Table2[[#This Row],[HomeTeam]],Sheet5!$A$2:$A$33, 0), MATCH(Table2[[#This Row],[AwayTeam]],Sheet5!$A$2:$A$33, 0))</f>
        <v>2-1-0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3-0-0</v>
      </c>
      <c r="AP127" s="2" t="str">
        <f>INDEX(Sheet5!$B$2:$AG$33, MATCH(Table2[[#This Row],[HomeTeam]],Sheet5!$A$2:$A$33, 0), MATCH(Table2[[#This Row],[AwayTeam]],Sheet5!$A$2:$A$33, 0))</f>
        <v>0-3-0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2-1-0</v>
      </c>
      <c r="AP141" s="143" t="str">
        <f>INDEX(Sheet5!$B$2:$AG$33, MATCH(Table2[[#This Row],[HomeTeam]],Sheet5!$A$2:$A$33, 0), MATCH(Table2[[#This Row],[AwayTeam]],Sheet5!$A$2:$A$33, 0))</f>
        <v>1-2-0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2-1-0</v>
      </c>
      <c r="AP146" s="2" t="str">
        <f>INDEX(Sheet5!$B$2:$AG$33, MATCH(Table2[[#This Row],[HomeTeam]],Sheet5!$A$2:$A$33, 0), MATCH(Table2[[#This Row],[AwayTeam]],Sheet5!$A$2:$A$33, 0))</f>
        <v>1-2-0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0-2-0</v>
      </c>
      <c r="AP185" s="2" t="str">
        <f>INDEX(Sheet5!$B$2:$AG$33, MATCH(Table2[[#This Row],[HomeTeam]],Sheet5!$A$2:$A$33, 0), MATCH(Table2[[#This Row],[AwayTeam]],Sheet5!$A$2:$A$33, 0))</f>
        <v>2-0-0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1-0-1</v>
      </c>
      <c r="AP189" s="2" t="str">
        <f>INDEX(Sheet5!$B$2:$AG$33, MATCH(Table2[[#This Row],[HomeTeam]],Sheet5!$A$2:$A$33, 0), MATCH(Table2[[#This Row],[AwayTeam]],Sheet5!$A$2:$A$33, 0))</f>
        <v>1-1-0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1-1-0</v>
      </c>
      <c r="AP192" s="2" t="str">
        <f>INDEX(Sheet5!$B$2:$AG$33, MATCH(Table2[[#This Row],[HomeTeam]],Sheet5!$A$2:$A$33, 0), MATCH(Table2[[#This Row],[AwayTeam]],Sheet5!$A$2:$A$33, 0))</f>
        <v>1-1-0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1-1-0</v>
      </c>
      <c r="AP248" s="2" t="str">
        <f>INDEX(Sheet5!$B$2:$AG$33, MATCH(Table2[[#This Row],[HomeTeam]],Sheet5!$A$2:$A$33, 0), MATCH(Table2[[#This Row],[AwayTeam]],Sheet5!$A$2:$A$33, 0))</f>
        <v>1-1-0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1-1-0</v>
      </c>
      <c r="AP251" s="2" t="str">
        <f>INDEX(Sheet5!$B$2:$AG$33, MATCH(Table2[[#This Row],[HomeTeam]],Sheet5!$A$2:$A$33, 0), MATCH(Table2[[#This Row],[AwayTeam]],Sheet5!$A$2:$A$33, 0))</f>
        <v>1-1-0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2-0-0</v>
      </c>
      <c r="AP252" s="2" t="str">
        <f>INDEX(Sheet5!$B$2:$AG$33, MATCH(Table2[[#This Row],[HomeTeam]],Sheet5!$A$2:$A$33, 0), MATCH(Table2[[#This Row],[AwayTeam]],Sheet5!$A$2:$A$33, 0))</f>
        <v>0-1-1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1-1-0</v>
      </c>
      <c r="AP302" s="143" t="str">
        <f>INDEX(Sheet5!$B$2:$AG$33, MATCH(Table2[[#This Row],[HomeTeam]],Sheet5!$A$2:$A$33, 0), MATCH(Table2[[#This Row],[AwayTeam]],Sheet5!$A$2:$A$33, 0))</f>
        <v>1-1-0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0-2-0</v>
      </c>
      <c r="AP306" s="2" t="str">
        <f>INDEX(Sheet5!$B$2:$AG$33, MATCH(Table2[[#This Row],[HomeTeam]],Sheet5!$A$2:$A$33, 0), MATCH(Table2[[#This Row],[AwayTeam]],Sheet5!$A$2:$A$33, 0))</f>
        <v>2-0-0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1-0-1</v>
      </c>
      <c r="AP308" s="143" t="str">
        <f>INDEX(Sheet5!$B$2:$AG$33, MATCH(Table2[[#This Row],[HomeTeam]],Sheet5!$A$2:$A$33, 0), MATCH(Table2[[#This Row],[AwayTeam]],Sheet5!$A$2:$A$33, 0))</f>
        <v>1-1-0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0-2-0</v>
      </c>
      <c r="AP310" s="2" t="str">
        <f>INDEX(Sheet5!$B$2:$AG$33, MATCH(Table2[[#This Row],[HomeTeam]],Sheet5!$A$2:$A$33, 0), MATCH(Table2[[#This Row],[AwayTeam]],Sheet5!$A$2:$A$33, 0))</f>
        <v>2-0-0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0-1-1</v>
      </c>
      <c r="AP315" s="2" t="str">
        <f>INDEX(Sheet5!$B$2:$AG$33, MATCH(Table2[[#This Row],[HomeTeam]],Sheet5!$A$2:$A$33, 0), MATCH(Table2[[#This Row],[AwayTeam]],Sheet5!$A$2:$A$33, 0))</f>
        <v>2-0-0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2-0-0</v>
      </c>
      <c r="AP318" s="2" t="str">
        <f>INDEX(Sheet5!$B$2:$AG$33, MATCH(Table2[[#This Row],[HomeTeam]],Sheet5!$A$2:$A$33, 0), MATCH(Table2[[#This Row],[AwayTeam]],Sheet5!$A$2:$A$33, 0))</f>
        <v>0-2-0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0-1-1</v>
      </c>
      <c r="AP328" s="2" t="str">
        <f>INDEX(Sheet5!$B$2:$AG$33, MATCH(Table2[[#This Row],[HomeTeam]],Sheet5!$A$2:$A$33, 0), MATCH(Table2[[#This Row],[AwayTeam]],Sheet5!$A$2:$A$33, 0))</f>
        <v>2-0-0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1-0-1</v>
      </c>
      <c r="AP337" s="2" t="str">
        <f>INDEX(Sheet5!$B$2:$AG$33, MATCH(Table2[[#This Row],[HomeTeam]],Sheet5!$A$2:$A$33, 0), MATCH(Table2[[#This Row],[AwayTeam]],Sheet5!$A$2:$A$33, 0))</f>
        <v>1-0-1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1-1-1</v>
      </c>
      <c r="AP339" s="2" t="str">
        <f>INDEX(Sheet5!$B$2:$AG$33, MATCH(Table2[[#This Row],[HomeTeam]],Sheet5!$A$2:$A$33, 0), MATCH(Table2[[#This Row],[AwayTeam]],Sheet5!$A$2:$A$33, 0))</f>
        <v>2-1-0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1-0-0</v>
      </c>
      <c r="AP345" s="2" t="str">
        <f>INDEX(Sheet5!$B$2:$AG$33, MATCH(Table2[[#This Row],[HomeTeam]],Sheet5!$A$2:$A$33, 0), MATCH(Table2[[#This Row],[AwayTeam]],Sheet5!$A$2:$A$33, 0))</f>
        <v>0-1-0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0-3-0</v>
      </c>
      <c r="AP358" s="2" t="str">
        <f>INDEX(Sheet5!$B$2:$AG$33, MATCH(Table2[[#This Row],[HomeTeam]],Sheet5!$A$2:$A$33, 0), MATCH(Table2[[#This Row],[AwayTeam]],Sheet5!$A$2:$A$33, 0))</f>
        <v>3-0-0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1-0-1</v>
      </c>
      <c r="AP359" s="2" t="str">
        <f>INDEX(Sheet5!$B$2:$AG$33, MATCH(Table2[[#This Row],[HomeTeam]],Sheet5!$A$2:$A$33, 0), MATCH(Table2[[#This Row],[AwayTeam]],Sheet5!$A$2:$A$33, 0))</f>
        <v>1-1-0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0-1-0</v>
      </c>
      <c r="AP369" s="2" t="str">
        <f>INDEX(Sheet5!$B$2:$AG$33, MATCH(Table2[[#This Row],[HomeTeam]],Sheet5!$A$2:$A$33, 0), MATCH(Table2[[#This Row],[AwayTeam]],Sheet5!$A$2:$A$33, 0))</f>
        <v>1-0-0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0-2-0</v>
      </c>
      <c r="AP384" s="2" t="str">
        <f>INDEX(Sheet5!$B$2:$AG$33, MATCH(Table2[[#This Row],[HomeTeam]],Sheet5!$A$2:$A$33, 0), MATCH(Table2[[#This Row],[AwayTeam]],Sheet5!$A$2:$A$33, 0))</f>
        <v>2-0-0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2-1-0</v>
      </c>
      <c r="AP395" s="2" t="str">
        <f>INDEX(Sheet5!$B$2:$AG$33, MATCH(Table2[[#This Row],[HomeTeam]],Sheet5!$A$2:$A$33, 0), MATCH(Table2[[#This Row],[AwayTeam]],Sheet5!$A$2:$A$33, 0))</f>
        <v>1-2-0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1-0-1</v>
      </c>
      <c r="AP396" s="2" t="str">
        <f>INDEX(Sheet5!$B$2:$AG$33, MATCH(Table2[[#This Row],[HomeTeam]],Sheet5!$A$2:$A$33, 0), MATCH(Table2[[#This Row],[AwayTeam]],Sheet5!$A$2:$A$33, 0))</f>
        <v>1-1-0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1-1-1</v>
      </c>
      <c r="AP405" s="2" t="str">
        <f>INDEX(Sheet5!$B$2:$AG$33, MATCH(Table2[[#This Row],[HomeTeam]],Sheet5!$A$2:$A$33, 0), MATCH(Table2[[#This Row],[AwayTeam]],Sheet5!$A$2:$A$33, 0))</f>
        <v>2-1-0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1-1-0</v>
      </c>
      <c r="AP410" s="2" t="str">
        <f>INDEX(Sheet5!$B$2:$AG$33, MATCH(Table2[[#This Row],[HomeTeam]],Sheet5!$A$2:$A$33, 0), MATCH(Table2[[#This Row],[AwayTeam]],Sheet5!$A$2:$A$33, 0))</f>
        <v>1-1-0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>
        <v>5</v>
      </c>
      <c r="K413" s="2">
        <v>2</v>
      </c>
      <c r="L413" s="2" t="str">
        <f t="shared" si="35"/>
        <v>OTT</v>
      </c>
      <c r="M413" s="2" t="s">
        <v>718</v>
      </c>
      <c r="N413" s="2">
        <f>IF(ISBLANK(Table2[[#This Row],[ActualResult]]), 0, 1)</f>
        <v>1</v>
      </c>
      <c r="O413" s="2" t="str">
        <f>IF(ISBLANK(Table2[[#This Row],[ActualResult]]), "_", IF(Table2[[#This Row],[ActualWinner]]=Table2[[#This Row],[PredictedWinner]], "Y", "N"))</f>
        <v>Y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3" s="2">
        <v>1</v>
      </c>
      <c r="S413" s="2" t="str">
        <f t="shared" si="36"/>
        <v>MTL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1</v>
      </c>
      <c r="AG413" s="2">
        <f>Table2[[#This Row],[ActualHomeScore]]-Table2[[#This Row],[PredictedHomeScore]]</f>
        <v>-1</v>
      </c>
      <c r="AH413" s="2">
        <f t="shared" si="37"/>
        <v>-9</v>
      </c>
      <c r="AI413" s="2">
        <f t="shared" si="38"/>
        <v>3</v>
      </c>
      <c r="AJ413" s="2">
        <v>1</v>
      </c>
      <c r="AK413" s="3">
        <v>45993</v>
      </c>
      <c r="AL413" s="2">
        <f>IF(Table2[[#This Row],[GameIsOver]]=0,0,IF(Table2[[#This Row],[ActualWinner]]=Table2[[#This Row],[AwayTeam]], 1, 0))</f>
        <v>1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1-0-1</v>
      </c>
      <c r="AP413" s="2" t="str">
        <f>INDEX(Sheet5!$B$2:$AG$33, MATCH(Table2[[#This Row],[HomeTeam]],Sheet5!$A$2:$A$33, 0), MATCH(Table2[[#This Row],[AwayTeam]],Sheet5!$A$2:$A$33, 0))</f>
        <v>1-1-0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0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>
        <v>4</v>
      </c>
      <c r="K414" s="2">
        <v>5</v>
      </c>
      <c r="L414" s="2" t="str">
        <f t="shared" si="35"/>
        <v>DET</v>
      </c>
      <c r="M414" s="2" t="s">
        <v>718</v>
      </c>
      <c r="N414" s="2">
        <f>IF(ISBLANK(Table2[[#This Row],[ActualResult]]), 0, 1)</f>
        <v>1</v>
      </c>
      <c r="O414" s="2" t="str">
        <f>IF(ISBLANK(Table2[[#This Row],[ActualResult]]), "_", IF(Table2[[#This Row],[ActualWinner]]=Table2[[#This Row],[PredictedWinner]], "Y", "N"))</f>
        <v>N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4" s="2">
        <v>1</v>
      </c>
      <c r="S414" s="2" t="str">
        <f t="shared" si="36"/>
        <v>BOS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1</v>
      </c>
      <c r="AG414" s="2">
        <f>Table2[[#This Row],[ActualHomeScore]]-Table2[[#This Row],[PredictedHomeScore]]</f>
        <v>3</v>
      </c>
      <c r="AH414" s="2">
        <f t="shared" si="37"/>
        <v>-9</v>
      </c>
      <c r="AI414" s="2">
        <f t="shared" si="38"/>
        <v>3</v>
      </c>
      <c r="AJ414" s="2">
        <v>2</v>
      </c>
      <c r="AK414" s="3">
        <v>45993</v>
      </c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1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1-1-0</v>
      </c>
      <c r="AP414" s="2" t="str">
        <f>INDEX(Sheet5!$B$2:$AG$33, MATCH(Table2[[#This Row],[HomeTeam]],Sheet5!$A$2:$A$33, 0), MATCH(Table2[[#This Row],[AwayTeam]],Sheet5!$A$2:$A$33, 0))</f>
        <v>1-0-1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0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>
        <v>4</v>
      </c>
      <c r="K415" s="2">
        <v>1</v>
      </c>
      <c r="L415" s="2" t="str">
        <f t="shared" si="35"/>
        <v>TOR</v>
      </c>
      <c r="M415" s="2" t="s">
        <v>718</v>
      </c>
      <c r="N415" s="2">
        <f>IF(ISBLANK(Table2[[#This Row],[ActualResult]]), 0, 1)</f>
        <v>1</v>
      </c>
      <c r="O415" s="2" t="str">
        <f>IF(ISBLANK(Table2[[#This Row],[ActualResult]]), "_", IF(Table2[[#This Row],[ActualWinner]]=Table2[[#This Row],[PredictedWinner]], "Y", "N"))</f>
        <v>Y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5" s="2">
        <v>1</v>
      </c>
      <c r="S415" s="2" t="str">
        <f t="shared" si="36"/>
        <v>FLA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-2</v>
      </c>
      <c r="AH415" s="2">
        <f t="shared" si="37"/>
        <v>-9</v>
      </c>
      <c r="AI415" s="2">
        <f t="shared" si="38"/>
        <v>3</v>
      </c>
      <c r="AJ415" s="2">
        <v>4</v>
      </c>
      <c r="AK415" s="3">
        <v>45993</v>
      </c>
      <c r="AL415" s="2">
        <f>IF(Table2[[#This Row],[GameIsOver]]=0,0,IF(Table2[[#This Row],[ActualWinner]]=Table2[[#This Row],[AwayTeam]], 1, 0))</f>
        <v>1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1-0-0</v>
      </c>
      <c r="AP415" s="2" t="str">
        <f>INDEX(Sheet5!$B$2:$AG$33, MATCH(Table2[[#This Row],[HomeTeam]],Sheet5!$A$2:$A$33, 0), MATCH(Table2[[#This Row],[AwayTeam]],Sheet5!$A$2:$A$33, 0))</f>
        <v>0-1-0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0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>
        <v>1</v>
      </c>
      <c r="K416" s="2">
        <v>2</v>
      </c>
      <c r="L416" s="2" t="str">
        <f t="shared" si="35"/>
        <v>NYI</v>
      </c>
      <c r="M416" s="2" t="s">
        <v>718</v>
      </c>
      <c r="N416" s="2">
        <f>IF(ISBLANK(Table2[[#This Row],[ActualResult]]), 0, 1)</f>
        <v>1</v>
      </c>
      <c r="O416" s="2" t="str">
        <f>IF(ISBLANK(Table2[[#This Row],[ActualResult]]), "_", IF(Table2[[#This Row],[ActualWinner]]=Table2[[#This Row],[PredictedWinner]], "Y", "N"))</f>
        <v>N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6" s="2">
        <v>1</v>
      </c>
      <c r="S416" s="2" t="str">
        <f t="shared" si="36"/>
        <v>TBL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-2</v>
      </c>
      <c r="AG416" s="2">
        <f>Table2[[#This Row],[ActualHomeScore]]-Table2[[#This Row],[PredictedHomeScore]]</f>
        <v>1</v>
      </c>
      <c r="AH416" s="2">
        <f t="shared" si="37"/>
        <v>-9</v>
      </c>
      <c r="AI416" s="2">
        <f t="shared" si="38"/>
        <v>3</v>
      </c>
      <c r="AJ416" s="2">
        <v>5</v>
      </c>
      <c r="AK416" s="3">
        <v>45993</v>
      </c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1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0-2-0</v>
      </c>
      <c r="AP416" s="2" t="str">
        <f>INDEX(Sheet5!$B$2:$AG$33, MATCH(Table2[[#This Row],[HomeTeam]],Sheet5!$A$2:$A$33, 0), MATCH(Table2[[#This Row],[AwayTeam]],Sheet5!$A$2:$A$33, 0))</f>
        <v>2-0-0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>
        <v>2</v>
      </c>
      <c r="K417" s="2">
        <v>3</v>
      </c>
      <c r="L417" s="2" t="str">
        <f t="shared" si="35"/>
        <v>NYR</v>
      </c>
      <c r="M417" s="2" t="s">
        <v>720</v>
      </c>
      <c r="N417" s="2">
        <f>IF(ISBLANK(Table2[[#This Row],[ActualResult]]), 0, 1)</f>
        <v>1</v>
      </c>
      <c r="O417" s="2" t="str">
        <f>IF(ISBLANK(Table2[[#This Row],[ActualResult]]), "_", IF(Table2[[#This Row],[ActualWinner]]=Table2[[#This Row],[PredictedWinner]], "Y", "N"))</f>
        <v>N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7" s="2">
        <v>1</v>
      </c>
      <c r="S417" s="2" t="str">
        <f t="shared" si="36"/>
        <v>DAL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-2</v>
      </c>
      <c r="AG417" s="2">
        <f>Table2[[#This Row],[ActualHomeScore]]-Table2[[#This Row],[PredictedHomeScore]]</f>
        <v>2</v>
      </c>
      <c r="AH417" s="2">
        <f t="shared" si="37"/>
        <v>-9</v>
      </c>
      <c r="AI417" s="2">
        <f t="shared" si="38"/>
        <v>3</v>
      </c>
      <c r="AJ417" s="2">
        <v>3</v>
      </c>
      <c r="AK417" s="3">
        <v>45993</v>
      </c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1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0-0-1</v>
      </c>
      <c r="AP417" s="2" t="str">
        <f>INDEX(Sheet5!$B$2:$AG$33, MATCH(Table2[[#This Row],[HomeTeam]],Sheet5!$A$2:$A$33, 0), MATCH(Table2[[#This Row],[AwayTeam]],Sheet5!$A$2:$A$33, 0))</f>
        <v>1-0-0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0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>
        <v>1</v>
      </c>
      <c r="K418" s="2">
        <v>5</v>
      </c>
      <c r="L418" s="2" t="str">
        <f t="shared" si="35"/>
        <v>NSH</v>
      </c>
      <c r="M418" s="2" t="s">
        <v>718</v>
      </c>
      <c r="N418" s="2">
        <f>IF(ISBLANK(Table2[[#This Row],[ActualResult]]), 0, 1)</f>
        <v>1</v>
      </c>
      <c r="O418" s="2" t="str">
        <f>IF(ISBLANK(Table2[[#This Row],[ActualResult]]), "_", IF(Table2[[#This Row],[ActualWinner]]=Table2[[#This Row],[PredictedWinner]], "Y", "N"))</f>
        <v>N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8" s="2">
        <v>1</v>
      </c>
      <c r="S418" s="2" t="str">
        <f t="shared" si="36"/>
        <v>CGY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-3</v>
      </c>
      <c r="AG418" s="2">
        <f>Table2[[#This Row],[ActualHomeScore]]-Table2[[#This Row],[PredictedHomeScore]]</f>
        <v>2</v>
      </c>
      <c r="AH418" s="2">
        <f t="shared" si="37"/>
        <v>-9</v>
      </c>
      <c r="AI418" s="2">
        <f t="shared" si="38"/>
        <v>3</v>
      </c>
      <c r="AJ418" s="2">
        <v>6</v>
      </c>
      <c r="AK418" s="3">
        <v>45993</v>
      </c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1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0-2-0</v>
      </c>
      <c r="AP418" s="2" t="str">
        <f>INDEX(Sheet5!$B$2:$AG$33, MATCH(Table2[[#This Row],[HomeTeam]],Sheet5!$A$2:$A$33, 0), MATCH(Table2[[#This Row],[AwayTeam]],Sheet5!$A$2:$A$33, 0))</f>
        <v>2-0-0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0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>
        <v>1</v>
      </c>
      <c r="K419" s="2">
        <v>3</v>
      </c>
      <c r="L419" s="2" t="str">
        <f t="shared" si="35"/>
        <v>COL</v>
      </c>
      <c r="M419" s="2" t="s">
        <v>718</v>
      </c>
      <c r="N419" s="2">
        <f>IF(ISBLANK(Table2[[#This Row],[ActualResult]]), 0, 1)</f>
        <v>1</v>
      </c>
      <c r="O419" s="2" t="str">
        <f>IF(ISBLANK(Table2[[#This Row],[ActualResult]]), "_", IF(Table2[[#This Row],[ActualWinner]]=Table2[[#This Row],[PredictedWinner]], "Y", "N"))</f>
        <v>Y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9" s="2">
        <v>1</v>
      </c>
      <c r="S419" s="2" t="str">
        <f t="shared" si="36"/>
        <v>VAN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-1</v>
      </c>
      <c r="AG419" s="2">
        <f>Table2[[#This Row],[ActualHomeScore]]-Table2[[#This Row],[PredictedHomeScore]]</f>
        <v>-1</v>
      </c>
      <c r="AH419" s="2">
        <f t="shared" si="37"/>
        <v>-9</v>
      </c>
      <c r="AI419" s="2">
        <f t="shared" si="38"/>
        <v>3</v>
      </c>
      <c r="AJ419" s="2">
        <v>7</v>
      </c>
      <c r="AK419" s="3">
        <v>45993</v>
      </c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1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0-1-1</v>
      </c>
      <c r="AP419" s="2" t="str">
        <f>INDEX(Sheet5!$B$2:$AG$33, MATCH(Table2[[#This Row],[HomeTeam]],Sheet5!$A$2:$A$33, 0), MATCH(Table2[[#This Row],[AwayTeam]],Sheet5!$A$2:$A$33, 0))</f>
        <v>2-0-0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0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>
        <v>1</v>
      </c>
      <c r="K420" s="2">
        <v>0</v>
      </c>
      <c r="L420" s="2" t="str">
        <f t="shared" si="35"/>
        <v>MIN</v>
      </c>
      <c r="M420" s="2" t="s">
        <v>718</v>
      </c>
      <c r="N420" s="2">
        <f>IF(ISBLANK(Table2[[#This Row],[ActualResult]]), 0, 1)</f>
        <v>1</v>
      </c>
      <c r="O420" s="2" t="str">
        <f>IF(ISBLANK(Table2[[#This Row],[ActualResult]]), "_", IF(Table2[[#This Row],[ActualWinner]]=Table2[[#This Row],[PredictedWinner]], "Y", "N"))</f>
        <v>Y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0" s="2">
        <v>1</v>
      </c>
      <c r="S420" s="2" t="str">
        <f t="shared" si="36"/>
        <v>EDM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1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-2</v>
      </c>
      <c r="AG420" s="2">
        <f>Table2[[#This Row],[ActualHomeScore]]-Table2[[#This Row],[PredictedHomeScore]]</f>
        <v>-2</v>
      </c>
      <c r="AH420" s="2">
        <f t="shared" si="37"/>
        <v>-9</v>
      </c>
      <c r="AI420" s="2">
        <f t="shared" si="38"/>
        <v>3</v>
      </c>
      <c r="AJ420" s="2">
        <v>8</v>
      </c>
      <c r="AK420" s="3">
        <v>45993</v>
      </c>
      <c r="AL420" s="2">
        <f>IF(Table2[[#This Row],[GameIsOver]]=0,0,IF(Table2[[#This Row],[ActualWinner]]=Table2[[#This Row],[AwayTeam]], 1, 0))</f>
        <v>1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1-0-0</v>
      </c>
      <c r="AP420" s="2" t="str">
        <f>INDEX(Sheet5!$B$2:$AG$33, MATCH(Table2[[#This Row],[HomeTeam]],Sheet5!$A$2:$A$33, 0), MATCH(Table2[[#This Row],[AwayTeam]],Sheet5!$A$2:$A$33, 0))</f>
        <v>0-1-0</v>
      </c>
      <c r="AQ420" s="2">
        <f>IF(Table2[[#This Row],[GameHasShutOut]], 1, 0)</f>
        <v>1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>
        <v>3</v>
      </c>
      <c r="K421" s="2">
        <v>4</v>
      </c>
      <c r="L421" s="2" t="str">
        <f t="shared" si="35"/>
        <v>VGK</v>
      </c>
      <c r="M421" s="2" t="s">
        <v>719</v>
      </c>
      <c r="N421" s="2">
        <f>IF(ISBLANK(Table2[[#This Row],[ActualResult]]), 0, 1)</f>
        <v>1</v>
      </c>
      <c r="O421" s="2" t="str">
        <f>IF(ISBLANK(Table2[[#This Row],[ActualResult]]), "_", IF(Table2[[#This Row],[ActualWinner]]=Table2[[#This Row],[PredictedWinner]], "Y", "N"))</f>
        <v>N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1" s="2">
        <v>1</v>
      </c>
      <c r="S421" s="2" t="str">
        <f t="shared" si="36"/>
        <v>CHI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-1</v>
      </c>
      <c r="AG421" s="2">
        <f>Table2[[#This Row],[ActualHomeScore]]-Table2[[#This Row],[PredictedHomeScore]]</f>
        <v>2</v>
      </c>
      <c r="AH421" s="2">
        <f t="shared" si="37"/>
        <v>-9</v>
      </c>
      <c r="AI421" s="2">
        <f t="shared" si="38"/>
        <v>3</v>
      </c>
      <c r="AJ421" s="2">
        <v>9</v>
      </c>
      <c r="AK421" s="3">
        <v>45993</v>
      </c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1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0-0-1</v>
      </c>
      <c r="AP421" s="2" t="str">
        <f>INDEX(Sheet5!$B$2:$AG$33, MATCH(Table2[[#This Row],[HomeTeam]],Sheet5!$A$2:$A$33, 0), MATCH(Table2[[#This Row],[AwayTeam]],Sheet5!$A$2:$A$33, 0))</f>
        <v>1-0-0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0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>
        <v>3</v>
      </c>
      <c r="K422" s="143">
        <v>1</v>
      </c>
      <c r="L422" s="143" t="str">
        <f t="shared" si="35"/>
        <v>WSH</v>
      </c>
      <c r="M422" s="143" t="s">
        <v>718</v>
      </c>
      <c r="N422" s="143">
        <f>IF(ISBLANK(Table2[[#This Row],[ActualResult]]), 0, 1)</f>
        <v>1</v>
      </c>
      <c r="O422" s="143" t="str">
        <f>IF(ISBLANK(Table2[[#This Row],[ActualResult]]), "_", IF(Table2[[#This Row],[ActualWinner]]=Table2[[#This Row],[PredictedWinner]], "Y", "N"))</f>
        <v>Y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2" s="143">
        <v>1</v>
      </c>
      <c r="S422" s="143" t="str">
        <f t="shared" si="36"/>
        <v>LAK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-1</v>
      </c>
      <c r="AH422" s="143">
        <f t="shared" si="37"/>
        <v>-9</v>
      </c>
      <c r="AI422" s="143">
        <f t="shared" si="38"/>
        <v>3</v>
      </c>
      <c r="AJ422" s="143">
        <v>10</v>
      </c>
      <c r="AK422" s="141">
        <v>45993</v>
      </c>
      <c r="AL422" s="143">
        <f>IF(Table2[[#This Row],[GameIsOver]]=0,0,IF(Table2[[#This Row],[ActualWinner]]=Table2[[#This Row],[AwayTeam]], 1, 0))</f>
        <v>1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2-0-0</v>
      </c>
      <c r="AP422" s="143" t="str">
        <f>INDEX(Sheet5!$B$2:$AG$33, MATCH(Table2[[#This Row],[HomeTeam]],Sheet5!$A$2:$A$33, 0), MATCH(Table2[[#This Row],[AwayTeam]],Sheet5!$A$2:$A$33, 0))</f>
        <v>0-2-0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0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>
        <v>45994</v>
      </c>
      <c r="B423" s="3">
        <v>45994</v>
      </c>
      <c r="C423" s="5">
        <v>2025020421</v>
      </c>
      <c r="D423" s="2" t="s">
        <v>33</v>
      </c>
      <c r="E423" s="2" t="s">
        <v>31</v>
      </c>
      <c r="F423" s="2">
        <v>2</v>
      </c>
      <c r="G423" s="2">
        <v>3</v>
      </c>
      <c r="H423" s="2" t="str">
        <f t="shared" si="34"/>
        <v>NJD</v>
      </c>
      <c r="I423" s="2" t="s">
        <v>719</v>
      </c>
      <c r="J423" s="2">
        <v>3</v>
      </c>
      <c r="K423" s="2">
        <v>0</v>
      </c>
      <c r="L423" s="2" t="str">
        <f t="shared" si="35"/>
        <v>DAL</v>
      </c>
      <c r="M423" s="2" t="s">
        <v>718</v>
      </c>
      <c r="N423" s="2">
        <f>IF(ISBLANK(Table2[[#This Row],[ActualResult]]), 0, 1)</f>
        <v>1</v>
      </c>
      <c r="O423" s="2" t="str">
        <f>IF(ISBLANK(Table2[[#This Row],[ActualResult]]), "_", IF(Table2[[#This Row],[ActualWinner]]=Table2[[#This Row],[PredictedWinner]], "Y", "N"))</f>
        <v>N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3" s="2">
        <v>1</v>
      </c>
      <c r="S423" s="2" t="str">
        <f t="shared" si="36"/>
        <v>NJD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1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1</v>
      </c>
      <c r="AG423" s="2">
        <f>Table2[[#This Row],[ActualHomeScore]]-Table2[[#This Row],[PredictedHomeScore]]</f>
        <v>-3</v>
      </c>
      <c r="AH423" s="2">
        <f t="shared" si="37"/>
        <v>7</v>
      </c>
      <c r="AI423" s="2">
        <f t="shared" si="38"/>
        <v>-7</v>
      </c>
      <c r="AJ423" s="2">
        <v>1</v>
      </c>
      <c r="AK423" s="3">
        <v>45994</v>
      </c>
      <c r="AL423" s="2">
        <f>IF(Table2[[#This Row],[GameIsOver]]=0,0,IF(Table2[[#This Row],[ActualWinner]]=Table2[[#This Row],[AwayTeam]], 1, 0))</f>
        <v>1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1-0-0</v>
      </c>
      <c r="AP423" s="2" t="str">
        <f>INDEX(Sheet5!$B$2:$AG$33, MATCH(Table2[[#This Row],[HomeTeam]],Sheet5!$A$2:$A$33, 0), MATCH(Table2[[#This Row],[AwayTeam]],Sheet5!$A$2:$A$33, 0))</f>
        <v>0-1-0</v>
      </c>
      <c r="AQ423" s="2">
        <f>IF(Table2[[#This Row],[GameHasShutOut]], 1, 0)</f>
        <v>1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>
        <v>45994</v>
      </c>
      <c r="B424" s="3">
        <v>45994</v>
      </c>
      <c r="C424" s="5">
        <v>2025020422</v>
      </c>
      <c r="D424" s="2" t="s">
        <v>21</v>
      </c>
      <c r="E424" s="2" t="s">
        <v>18</v>
      </c>
      <c r="F424" s="2">
        <v>4</v>
      </c>
      <c r="G424" s="2">
        <v>2</v>
      </c>
      <c r="H424" s="2" t="str">
        <f t="shared" si="34"/>
        <v>WPG</v>
      </c>
      <c r="I424" s="2" t="s">
        <v>718</v>
      </c>
      <c r="J424" s="2">
        <v>2</v>
      </c>
      <c r="K424" s="2">
        <v>3</v>
      </c>
      <c r="L424" s="2" t="str">
        <f t="shared" si="35"/>
        <v>MTL</v>
      </c>
      <c r="M424" s="2" t="s">
        <v>719</v>
      </c>
      <c r="N424" s="2">
        <f>IF(ISBLANK(Table2[[#This Row],[ActualResult]]), 0, 1)</f>
        <v>1</v>
      </c>
      <c r="O424" s="2" t="str">
        <f>IF(ISBLANK(Table2[[#This Row],[ActualResult]]), "_", IF(Table2[[#This Row],[ActualWinner]]=Table2[[#This Row],[PredictedWinner]], "Y", "N"))</f>
        <v>N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4" s="2">
        <v>1</v>
      </c>
      <c r="S424" s="2" t="str">
        <f t="shared" si="36"/>
        <v>WPG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-2</v>
      </c>
      <c r="AG424" s="2">
        <f>Table2[[#This Row],[ActualHomeScore]]-Table2[[#This Row],[PredictedHomeScore]]</f>
        <v>1</v>
      </c>
      <c r="AH424" s="2">
        <f t="shared" si="37"/>
        <v>7</v>
      </c>
      <c r="AI424" s="2">
        <f t="shared" si="38"/>
        <v>-7</v>
      </c>
      <c r="AJ424" s="2">
        <v>2</v>
      </c>
      <c r="AK424" s="3">
        <v>45994</v>
      </c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1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0-0-1</v>
      </c>
      <c r="AP424" s="2" t="str">
        <f>INDEX(Sheet5!$B$2:$AG$33, MATCH(Table2[[#This Row],[HomeTeam]],Sheet5!$A$2:$A$33, 0), MATCH(Table2[[#This Row],[AwayTeam]],Sheet5!$A$2:$A$33, 0))</f>
        <v>1-0-0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0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>
        <v>45994</v>
      </c>
      <c r="B425" s="3">
        <v>45994</v>
      </c>
      <c r="C425" s="5">
        <v>2025020423</v>
      </c>
      <c r="D425" s="2" t="s">
        <v>28</v>
      </c>
      <c r="E425" s="2" t="s">
        <v>42</v>
      </c>
      <c r="F425" s="2">
        <v>2</v>
      </c>
      <c r="G425" s="2">
        <v>3</v>
      </c>
      <c r="H425" s="2" t="str">
        <f t="shared" si="34"/>
        <v>PHI</v>
      </c>
      <c r="I425" s="2" t="s">
        <v>718</v>
      </c>
      <c r="J425" s="2">
        <v>2</v>
      </c>
      <c r="K425" s="2">
        <v>5</v>
      </c>
      <c r="L425" s="2" t="str">
        <f t="shared" si="35"/>
        <v>PHI</v>
      </c>
      <c r="M425" s="2" t="s">
        <v>718</v>
      </c>
      <c r="N425" s="2">
        <f>IF(ISBLANK(Table2[[#This Row],[ActualResult]]), 0, 1)</f>
        <v>1</v>
      </c>
      <c r="O425" s="2" t="str">
        <f>IF(ISBLANK(Table2[[#This Row],[ActualResult]]), "_", IF(Table2[[#This Row],[ActualWinner]]=Table2[[#This Row],[PredictedWinner]], "Y", "N"))</f>
        <v>Y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5" s="2">
        <v>1</v>
      </c>
      <c r="S425" s="2" t="str">
        <f t="shared" si="36"/>
        <v>BUF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2</v>
      </c>
      <c r="AH425" s="2">
        <f t="shared" si="37"/>
        <v>7</v>
      </c>
      <c r="AI425" s="2">
        <f t="shared" si="38"/>
        <v>-7</v>
      </c>
      <c r="AJ425" s="2">
        <v>3</v>
      </c>
      <c r="AK425" s="3">
        <v>45994</v>
      </c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1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0-1-0</v>
      </c>
      <c r="AP425" s="2" t="str">
        <f>INDEX(Sheet5!$B$2:$AG$33, MATCH(Table2[[#This Row],[HomeTeam]],Sheet5!$A$2:$A$33, 0), MATCH(Table2[[#This Row],[AwayTeam]],Sheet5!$A$2:$A$33, 0))</f>
        <v>1-0-0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0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>
        <v>45994</v>
      </c>
      <c r="B426" s="3">
        <v>45994</v>
      </c>
      <c r="C426" s="5">
        <v>2025020424</v>
      </c>
      <c r="D426" s="2" t="s">
        <v>14</v>
      </c>
      <c r="E426" s="2" t="s">
        <v>44</v>
      </c>
      <c r="F426" s="2">
        <v>3</v>
      </c>
      <c r="G426" s="2">
        <v>4</v>
      </c>
      <c r="H426" s="2" t="str">
        <f t="shared" si="34"/>
        <v>ANA</v>
      </c>
      <c r="I426" s="2" t="s">
        <v>720</v>
      </c>
      <c r="J426" s="2">
        <v>7</v>
      </c>
      <c r="K426" s="2">
        <v>0</v>
      </c>
      <c r="L426" s="2" t="str">
        <f t="shared" si="35"/>
        <v>UTA</v>
      </c>
      <c r="M426" s="2" t="s">
        <v>718</v>
      </c>
      <c r="N426" s="2">
        <f>IF(ISBLANK(Table2[[#This Row],[ActualResult]]), 0, 1)</f>
        <v>1</v>
      </c>
      <c r="O426" s="2" t="str">
        <f>IF(ISBLANK(Table2[[#This Row],[ActualResult]]), "_", IF(Table2[[#This Row],[ActualWinner]]=Table2[[#This Row],[PredictedWinner]], "Y", "N"))</f>
        <v>N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6" s="2">
        <v>0</v>
      </c>
      <c r="S426" s="2" t="str">
        <f t="shared" si="36"/>
        <v>ANA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1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4</v>
      </c>
      <c r="AG426" s="2">
        <f>Table2[[#This Row],[ActualHomeScore]]-Table2[[#This Row],[PredictedHomeScore]]</f>
        <v>-4</v>
      </c>
      <c r="AH426" s="2">
        <f t="shared" si="37"/>
        <v>7</v>
      </c>
      <c r="AI426" s="2">
        <f t="shared" si="38"/>
        <v>-7</v>
      </c>
      <c r="AJ426" s="2"/>
      <c r="AK426" s="2"/>
      <c r="AL426" s="2">
        <f>IF(Table2[[#This Row],[GameIsOver]]=0,0,IF(Table2[[#This Row],[ActualWinner]]=Table2[[#This Row],[AwayTeam]], 1, 0))</f>
        <v>1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1-0-1</v>
      </c>
      <c r="AP426" s="2" t="str">
        <f>INDEX(Sheet5!$B$2:$AG$33, MATCH(Table2[[#This Row],[HomeTeam]],Sheet5!$A$2:$A$33, 0), MATCH(Table2[[#This Row],[AwayTeam]],Sheet5!$A$2:$A$33, 0))</f>
        <v>1-1-0</v>
      </c>
      <c r="AQ426" s="2">
        <f>IF(Table2[[#This Row],[GameHasShutOut]], 1, 0)</f>
        <v>1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1</v>
      </c>
      <c r="AT426" s="2">
        <f>IF(Table2[[#This Row],[ActualAwayScore]] + Table2[[#This Row],[ActualHomeScore]] &lt;= 3, 1, 0)</f>
        <v>0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141">
        <v>45994</v>
      </c>
      <c r="B427" s="141">
        <v>45994</v>
      </c>
      <c r="C427" s="142">
        <v>2025020425</v>
      </c>
      <c r="D427" s="143" t="s">
        <v>43</v>
      </c>
      <c r="E427" s="143" t="s">
        <v>37</v>
      </c>
      <c r="F427" s="143">
        <v>3</v>
      </c>
      <c r="G427" s="143">
        <v>4</v>
      </c>
      <c r="H427" s="143" t="str">
        <f t="shared" si="34"/>
        <v>SJS</v>
      </c>
      <c r="I427" s="143" t="s">
        <v>719</v>
      </c>
      <c r="J427" s="143">
        <v>7</v>
      </c>
      <c r="K427" s="143">
        <v>1</v>
      </c>
      <c r="L427" s="143" t="str">
        <f t="shared" si="35"/>
        <v>WSH</v>
      </c>
      <c r="M427" s="143" t="s">
        <v>718</v>
      </c>
      <c r="N427" s="143">
        <f>IF(ISBLANK(Table2[[#This Row],[ActualResult]]), 0, 1)</f>
        <v>1</v>
      </c>
      <c r="O427" s="143" t="str">
        <f>IF(ISBLANK(Table2[[#This Row],[ActualResult]]), "_", IF(Table2[[#This Row],[ActualWinner]]=Table2[[#This Row],[PredictedWinner]], "Y", "N"))</f>
        <v>N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7" s="143">
        <v>0</v>
      </c>
      <c r="S427" s="143" t="str">
        <f t="shared" si="36"/>
        <v>SJS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4</v>
      </c>
      <c r="AG427" s="143">
        <f>Table2[[#This Row],[ActualHomeScore]]-Table2[[#This Row],[PredictedHomeScore]]</f>
        <v>-3</v>
      </c>
      <c r="AH427" s="143">
        <f t="shared" si="37"/>
        <v>7</v>
      </c>
      <c r="AI427" s="143">
        <f t="shared" si="38"/>
        <v>-7</v>
      </c>
      <c r="AJ427" s="143"/>
      <c r="AK427" s="143"/>
      <c r="AL427" s="143">
        <f>IF(Table2[[#This Row],[GameIsOver]]=0,0,IF(Table2[[#This Row],[ActualWinner]]=Table2[[#This Row],[AwayTeam]], 1, 0))</f>
        <v>1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143" t="str">
        <f>INDEX(Sheet5!$B$2:$AG$33, MATCH(Table2[[#This Row],[AwayTeam]],Sheet5!$A$2:$A$33, 0), MATCH(Table2[[#This Row],[HomeTeam]],Sheet5!$A$2:$A$33, 0))</f>
        <v>1-0-0</v>
      </c>
      <c r="AP427" s="143" t="str">
        <f>INDEX(Sheet5!$B$2:$AG$33, MATCH(Table2[[#This Row],[HomeTeam]],Sheet5!$A$2:$A$33, 0), MATCH(Table2[[#This Row],[AwayTeam]],Sheet5!$A$2:$A$33, 0))</f>
        <v>0-1-0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1</v>
      </c>
      <c r="AT427" s="143">
        <f>IF(Table2[[#This Row],[ActualAwayScore]] + Table2[[#This Row],[ActualHomeScore]] &lt;= 3, 1, 0)</f>
        <v>0</v>
      </c>
      <c r="AU42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>
        <v>45995</v>
      </c>
      <c r="B428" s="3">
        <v>45995</v>
      </c>
      <c r="C428" s="5">
        <v>2025020426</v>
      </c>
      <c r="D428" s="2" t="s">
        <v>12</v>
      </c>
      <c r="E428" s="2" t="s">
        <v>15</v>
      </c>
      <c r="F428" s="2">
        <v>3</v>
      </c>
      <c r="G428" s="2">
        <v>2</v>
      </c>
      <c r="H428" s="2" t="str">
        <f t="shared" si="34"/>
        <v>STL</v>
      </c>
      <c r="I428" s="2" t="s">
        <v>719</v>
      </c>
      <c r="J428" s="2">
        <v>2</v>
      </c>
      <c r="K428" s="2">
        <v>5</v>
      </c>
      <c r="L428" s="2" t="str">
        <f t="shared" si="35"/>
        <v>BOS</v>
      </c>
      <c r="M428" s="2" t="s">
        <v>718</v>
      </c>
      <c r="N428" s="2">
        <f>IF(ISBLANK(Table2[[#This Row],[ActualResult]]), 0, 1)</f>
        <v>1</v>
      </c>
      <c r="O428" s="2" t="str">
        <f>IF(ISBLANK(Table2[[#This Row],[ActualResult]]), "_", IF(Table2[[#This Row],[ActualWinner]]=Table2[[#This Row],[PredictedWinner]], "Y", "N"))</f>
        <v>N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8" s="2">
        <v>1</v>
      </c>
      <c r="S428" s="2" t="str">
        <f t="shared" si="36"/>
        <v>STL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-1</v>
      </c>
      <c r="AG428" s="2">
        <f>Table2[[#This Row],[ActualHomeScore]]-Table2[[#This Row],[PredictedHomeScore]]</f>
        <v>3</v>
      </c>
      <c r="AH428" s="2">
        <f t="shared" si="37"/>
        <v>0</v>
      </c>
      <c r="AI428" s="2">
        <f t="shared" si="38"/>
        <v>6</v>
      </c>
      <c r="AJ428" s="2">
        <v>4</v>
      </c>
      <c r="AK428" s="3">
        <v>45995</v>
      </c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1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0-1-0</v>
      </c>
      <c r="AP428" s="2" t="str">
        <f>INDEX(Sheet5!$B$2:$AG$33, MATCH(Table2[[#This Row],[HomeTeam]],Sheet5!$A$2:$A$33, 0), MATCH(Table2[[#This Row],[AwayTeam]],Sheet5!$A$2:$A$33, 0))</f>
        <v>1-0-0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0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>
        <v>45995</v>
      </c>
      <c r="B429" s="3">
        <v>45995</v>
      </c>
      <c r="C429" s="5">
        <v>2025020427</v>
      </c>
      <c r="D429" s="2" t="s">
        <v>19</v>
      </c>
      <c r="E429" s="2" t="s">
        <v>29</v>
      </c>
      <c r="F429" s="2">
        <v>4</v>
      </c>
      <c r="G429" s="2">
        <v>2</v>
      </c>
      <c r="H429" s="2" t="str">
        <f t="shared" si="34"/>
        <v>NYR</v>
      </c>
      <c r="I429" s="2" t="s">
        <v>718</v>
      </c>
      <c r="J429" s="2">
        <v>4</v>
      </c>
      <c r="K429" s="2">
        <v>2</v>
      </c>
      <c r="L429" s="2" t="str">
        <f t="shared" si="35"/>
        <v>NYR</v>
      </c>
      <c r="M429" s="2" t="s">
        <v>718</v>
      </c>
      <c r="N429" s="2">
        <f>IF(ISBLANK(Table2[[#This Row],[ActualResult]]), 0, 1)</f>
        <v>1</v>
      </c>
      <c r="O429" s="2" t="str">
        <f>IF(ISBLANK(Table2[[#This Row],[ActualResult]]), "_", IF(Table2[[#This Row],[ActualWinner]]=Table2[[#This Row],[PredictedWinner]], "Y", "N"))</f>
        <v>Y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29" s="2">
        <v>1</v>
      </c>
      <c r="S429" s="2" t="str">
        <f t="shared" si="36"/>
        <v>OTT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6</v>
      </c>
      <c r="AJ429" s="2">
        <v>2</v>
      </c>
      <c r="AK429" s="3">
        <v>45995</v>
      </c>
      <c r="AL429" s="2">
        <f>IF(Table2[[#This Row],[GameIsOver]]=0,0,IF(Table2[[#This Row],[ActualWinner]]=Table2[[#This Row],[AwayTeam]], 1, 0))</f>
        <v>1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1-0-0</v>
      </c>
      <c r="AP429" s="2" t="str">
        <f>INDEX(Sheet5!$B$2:$AG$33, MATCH(Table2[[#This Row],[HomeTeam]],Sheet5!$A$2:$A$33, 0), MATCH(Table2[[#This Row],[AwayTeam]],Sheet5!$A$2:$A$33, 0))</f>
        <v>0-1-0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0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>
        <v>45995</v>
      </c>
      <c r="B430" s="3">
        <v>45995</v>
      </c>
      <c r="C430" s="5">
        <v>2025020428</v>
      </c>
      <c r="D430" s="2" t="s">
        <v>20</v>
      </c>
      <c r="E430" s="2" t="s">
        <v>40</v>
      </c>
      <c r="F430" s="2">
        <v>4</v>
      </c>
      <c r="G430" s="2">
        <v>3</v>
      </c>
      <c r="H430" s="2" t="str">
        <f t="shared" si="34"/>
        <v>PIT</v>
      </c>
      <c r="I430" s="2" t="s">
        <v>718</v>
      </c>
      <c r="J430" s="2">
        <v>4</v>
      </c>
      <c r="K430" s="2">
        <v>3</v>
      </c>
      <c r="L430" s="2" t="str">
        <f t="shared" si="35"/>
        <v>PIT</v>
      </c>
      <c r="M430" s="2" t="s">
        <v>718</v>
      </c>
      <c r="N430" s="2">
        <f>IF(ISBLANK(Table2[[#This Row],[ActualResult]]), 0, 1)</f>
        <v>1</v>
      </c>
      <c r="O430" s="2" t="str">
        <f>IF(ISBLANK(Table2[[#This Row],[ActualResult]]), "_", IF(Table2[[#This Row],[ActualWinner]]=Table2[[#This Row],[PredictedWinner]], "Y", "N"))</f>
        <v>Y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0" s="2">
        <v>1</v>
      </c>
      <c r="S430" s="2" t="str">
        <f t="shared" si="36"/>
        <v>TBL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6</v>
      </c>
      <c r="AJ430" s="2">
        <v>1</v>
      </c>
      <c r="AK430" s="3">
        <v>45995</v>
      </c>
      <c r="AL430" s="2">
        <f>IF(Table2[[#This Row],[GameIsOver]]=0,0,IF(Table2[[#This Row],[ActualWinner]]=Table2[[#This Row],[AwayTeam]], 1, 0))</f>
        <v>1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1-0-0</v>
      </c>
      <c r="AP430" s="2" t="str">
        <f>INDEX(Sheet5!$B$2:$AG$33, MATCH(Table2[[#This Row],[HomeTeam]],Sheet5!$A$2:$A$33, 0), MATCH(Table2[[#This Row],[AwayTeam]],Sheet5!$A$2:$A$33, 0))</f>
        <v>0-1-0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0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>
        <v>45995</v>
      </c>
      <c r="B431" s="3">
        <v>45995</v>
      </c>
      <c r="C431" s="5">
        <v>2025020429</v>
      </c>
      <c r="D431" s="2" t="s">
        <v>34</v>
      </c>
      <c r="E431" s="2" t="s">
        <v>13</v>
      </c>
      <c r="F431" s="2">
        <v>3</v>
      </c>
      <c r="G431" s="2">
        <v>5</v>
      </c>
      <c r="H431" s="2" t="str">
        <f t="shared" si="34"/>
        <v>FLA</v>
      </c>
      <c r="I431" s="2" t="s">
        <v>718</v>
      </c>
      <c r="J431" s="2">
        <v>2</v>
      </c>
      <c r="K431" s="2">
        <v>1</v>
      </c>
      <c r="L431" s="2" t="str">
        <f t="shared" si="35"/>
        <v>NSH</v>
      </c>
      <c r="M431" s="2" t="s">
        <v>720</v>
      </c>
      <c r="N431" s="2">
        <f>IF(ISBLANK(Table2[[#This Row],[ActualResult]]), 0, 1)</f>
        <v>1</v>
      </c>
      <c r="O431" s="2" t="str">
        <f>IF(ISBLANK(Table2[[#This Row],[ActualResult]]), "_", IF(Table2[[#This Row],[ActualWinner]]=Table2[[#This Row],[PredictedWinner]], "Y", "N"))</f>
        <v>N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1" s="2">
        <v>1</v>
      </c>
      <c r="S431" s="2" t="str">
        <f t="shared" si="36"/>
        <v>FLA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-1</v>
      </c>
      <c r="AG431" s="2">
        <f>Table2[[#This Row],[ActualHomeScore]]-Table2[[#This Row],[PredictedHomeScore]]</f>
        <v>-4</v>
      </c>
      <c r="AH431" s="2">
        <f t="shared" si="37"/>
        <v>0</v>
      </c>
      <c r="AI431" s="2">
        <f t="shared" si="38"/>
        <v>6</v>
      </c>
      <c r="AJ431" s="2">
        <v>5</v>
      </c>
      <c r="AK431" s="3">
        <v>45995</v>
      </c>
      <c r="AL431" s="2">
        <f>IF(Table2[[#This Row],[GameIsOver]]=0,0,IF(Table2[[#This Row],[ActualWinner]]=Table2[[#This Row],[AwayTeam]], 1, 0))</f>
        <v>1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1-1-0</v>
      </c>
      <c r="AP431" s="2" t="str">
        <f>INDEX(Sheet5!$B$2:$AG$33, MATCH(Table2[[#This Row],[HomeTeam]],Sheet5!$A$2:$A$33, 0), MATCH(Table2[[#This Row],[AwayTeam]],Sheet5!$A$2:$A$33, 0))</f>
        <v>1-0-1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>
        <v>45995</v>
      </c>
      <c r="B432" s="3">
        <v>45995</v>
      </c>
      <c r="C432" s="5">
        <v>2025020430</v>
      </c>
      <c r="D432" s="2" t="s">
        <v>25</v>
      </c>
      <c r="E432" s="2" t="s">
        <v>32</v>
      </c>
      <c r="F432" s="2">
        <v>5</v>
      </c>
      <c r="G432" s="2">
        <v>2</v>
      </c>
      <c r="H432" s="2" t="str">
        <f t="shared" si="34"/>
        <v>COL</v>
      </c>
      <c r="I432" s="2" t="s">
        <v>718</v>
      </c>
      <c r="J432" s="2">
        <v>3</v>
      </c>
      <c r="K432" s="2">
        <v>6</v>
      </c>
      <c r="L432" s="2" t="str">
        <f t="shared" si="35"/>
        <v>NYI</v>
      </c>
      <c r="M432" s="2" t="s">
        <v>718</v>
      </c>
      <c r="N432" s="2">
        <f>IF(ISBLANK(Table2[[#This Row],[ActualResult]]), 0, 1)</f>
        <v>1</v>
      </c>
      <c r="O432" s="2" t="str">
        <f>IF(ISBLANK(Table2[[#This Row],[ActualResult]]), "_", IF(Table2[[#This Row],[ActualWinner]]=Table2[[#This Row],[PredictedWinner]], "Y", "N"))</f>
        <v>N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2" s="2">
        <v>1</v>
      </c>
      <c r="S432" s="2" t="str">
        <f t="shared" si="36"/>
        <v>COL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-2</v>
      </c>
      <c r="AG432" s="2">
        <f>Table2[[#This Row],[ActualHomeScore]]-Table2[[#This Row],[PredictedHomeScore]]</f>
        <v>4</v>
      </c>
      <c r="AH432" s="2">
        <f t="shared" si="37"/>
        <v>0</v>
      </c>
      <c r="AI432" s="2">
        <f t="shared" si="38"/>
        <v>6</v>
      </c>
      <c r="AJ432" s="2">
        <v>6</v>
      </c>
      <c r="AK432" s="3">
        <v>45995</v>
      </c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1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1-1-0</v>
      </c>
      <c r="AP432" s="2" t="str">
        <f>INDEX(Sheet5!$B$2:$AG$33, MATCH(Table2[[#This Row],[HomeTeam]],Sheet5!$A$2:$A$33, 0), MATCH(Table2[[#This Row],[AwayTeam]],Sheet5!$A$2:$A$33, 0))</f>
        <v>1-1-0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0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>
        <v>45995</v>
      </c>
      <c r="B433" s="3">
        <v>45995</v>
      </c>
      <c r="C433" s="5">
        <v>2025020431</v>
      </c>
      <c r="D433" s="2" t="s">
        <v>17</v>
      </c>
      <c r="E433" s="2" t="s">
        <v>41</v>
      </c>
      <c r="F433" s="2">
        <v>2</v>
      </c>
      <c r="G433" s="2">
        <v>3</v>
      </c>
      <c r="H433" s="2" t="str">
        <f t="shared" si="34"/>
        <v>CAR</v>
      </c>
      <c r="I433" s="2" t="s">
        <v>720</v>
      </c>
      <c r="J433" s="2">
        <v>5</v>
      </c>
      <c r="K433" s="2">
        <v>1</v>
      </c>
      <c r="L433" s="2" t="str">
        <f t="shared" si="35"/>
        <v>TOR</v>
      </c>
      <c r="M433" s="2" t="s">
        <v>718</v>
      </c>
      <c r="N433" s="2">
        <f>IF(ISBLANK(Table2[[#This Row],[ActualResult]]), 0, 1)</f>
        <v>1</v>
      </c>
      <c r="O433" s="2" t="str">
        <f>IF(ISBLANK(Table2[[#This Row],[ActualResult]]), "_", IF(Table2[[#This Row],[ActualWinner]]=Table2[[#This Row],[PredictedWinner]], "Y", "N"))</f>
        <v>N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3" s="2">
        <v>1</v>
      </c>
      <c r="S433" s="2" t="str">
        <f t="shared" si="36"/>
        <v>CAR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3</v>
      </c>
      <c r="AG433" s="2">
        <f>Table2[[#This Row],[ActualHomeScore]]-Table2[[#This Row],[PredictedHomeScore]]</f>
        <v>-2</v>
      </c>
      <c r="AH433" s="2">
        <f t="shared" si="37"/>
        <v>0</v>
      </c>
      <c r="AI433" s="2">
        <f t="shared" si="38"/>
        <v>6</v>
      </c>
      <c r="AJ433" s="2">
        <v>7</v>
      </c>
      <c r="AK433" s="3">
        <v>45995</v>
      </c>
      <c r="AL433" s="2">
        <f>IF(Table2[[#This Row],[GameIsOver]]=0,0,IF(Table2[[#This Row],[ActualWinner]]=Table2[[#This Row],[AwayTeam]], 1, 0))</f>
        <v>1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1-1-0</v>
      </c>
      <c r="AP433" s="2" t="str">
        <f>INDEX(Sheet5!$B$2:$AG$33, MATCH(Table2[[#This Row],[HomeTeam]],Sheet5!$A$2:$A$33, 0), MATCH(Table2[[#This Row],[AwayTeam]],Sheet5!$A$2:$A$33, 0))</f>
        <v>1-1-0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0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>
        <v>45995</v>
      </c>
      <c r="B434" s="3">
        <v>45995</v>
      </c>
      <c r="C434" s="5">
        <v>2025020432</v>
      </c>
      <c r="D434" s="2" t="s">
        <v>30</v>
      </c>
      <c r="E434" s="2" t="s">
        <v>35</v>
      </c>
      <c r="F434" s="2">
        <v>2</v>
      </c>
      <c r="G434" s="2">
        <v>4</v>
      </c>
      <c r="H434" s="2" t="str">
        <f t="shared" si="34"/>
        <v>CBJ</v>
      </c>
      <c r="I434" s="2" t="s">
        <v>718</v>
      </c>
      <c r="J434" s="2">
        <v>5</v>
      </c>
      <c r="K434" s="2">
        <v>6</v>
      </c>
      <c r="L434" s="2" t="str">
        <f t="shared" si="35"/>
        <v>CBJ</v>
      </c>
      <c r="M434" s="2" t="s">
        <v>719</v>
      </c>
      <c r="N434" s="2">
        <f>IF(ISBLANK(Table2[[#This Row],[ActualResult]]), 0, 1)</f>
        <v>1</v>
      </c>
      <c r="O434" s="2" t="str">
        <f>IF(ISBLANK(Table2[[#This Row],[ActualResult]]), "_", IF(Table2[[#This Row],[ActualWinner]]=Table2[[#This Row],[PredictedWinner]], "Y", "N"))</f>
        <v>Y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4" s="2">
        <v>1</v>
      </c>
      <c r="S434" s="2" t="str">
        <f t="shared" si="36"/>
        <v>DET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3</v>
      </c>
      <c r="AG434" s="2">
        <f>Table2[[#This Row],[ActualHomeScore]]-Table2[[#This Row],[PredictedHomeScore]]</f>
        <v>2</v>
      </c>
      <c r="AH434" s="2">
        <f t="shared" si="37"/>
        <v>0</v>
      </c>
      <c r="AI434" s="2">
        <f t="shared" si="38"/>
        <v>6</v>
      </c>
      <c r="AJ434" s="2">
        <v>3</v>
      </c>
      <c r="AK434" s="3">
        <v>45995</v>
      </c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1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1-0-1</v>
      </c>
      <c r="AP434" s="2" t="str">
        <f>INDEX(Sheet5!$B$2:$AG$33, MATCH(Table2[[#This Row],[HomeTeam]],Sheet5!$A$2:$A$33, 0), MATCH(Table2[[#This Row],[AwayTeam]],Sheet5!$A$2:$A$33, 0))</f>
        <v>1-0-1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1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0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>
        <v>45995</v>
      </c>
      <c r="B435" s="3">
        <v>45995</v>
      </c>
      <c r="C435" s="5">
        <v>2025020433</v>
      </c>
      <c r="D435" s="2" t="s">
        <v>36</v>
      </c>
      <c r="E435" s="2" t="s">
        <v>23</v>
      </c>
      <c r="F435" s="2">
        <v>3</v>
      </c>
      <c r="G435" s="2">
        <v>4</v>
      </c>
      <c r="H435" s="2" t="str">
        <f t="shared" si="34"/>
        <v>CGY</v>
      </c>
      <c r="I435" s="2" t="s">
        <v>720</v>
      </c>
      <c r="J435" s="2">
        <v>1</v>
      </c>
      <c r="K435" s="2">
        <v>4</v>
      </c>
      <c r="L435" s="2" t="str">
        <f t="shared" si="35"/>
        <v>CGY</v>
      </c>
      <c r="M435" s="2" t="s">
        <v>718</v>
      </c>
      <c r="N435" s="2">
        <f>IF(ISBLANK(Table2[[#This Row],[ActualResult]]), 0, 1)</f>
        <v>1</v>
      </c>
      <c r="O435" s="2" t="str">
        <f>IF(ISBLANK(Table2[[#This Row],[ActualResult]]), "_", IF(Table2[[#This Row],[ActualWinner]]=Table2[[#This Row],[PredictedWinner]], "Y", "N"))</f>
        <v>Y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5" s="2">
        <v>1</v>
      </c>
      <c r="S435" s="2" t="str">
        <f t="shared" si="36"/>
        <v>MIN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-2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6</v>
      </c>
      <c r="AJ435" s="2">
        <v>8</v>
      </c>
      <c r="AK435" s="3">
        <v>45995</v>
      </c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1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1-1-0</v>
      </c>
      <c r="AP435" s="2" t="str">
        <f>INDEX(Sheet5!$B$2:$AG$33, MATCH(Table2[[#This Row],[HomeTeam]],Sheet5!$A$2:$A$33, 0), MATCH(Table2[[#This Row],[AwayTeam]],Sheet5!$A$2:$A$33, 0))</f>
        <v>1-1-0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0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>
        <v>45995</v>
      </c>
      <c r="B436" s="3">
        <v>45995</v>
      </c>
      <c r="C436" s="5">
        <v>2025020434</v>
      </c>
      <c r="D436" s="2" t="s">
        <v>11</v>
      </c>
      <c r="E436" s="2" t="s">
        <v>22</v>
      </c>
      <c r="F436" s="2">
        <v>3</v>
      </c>
      <c r="G436" s="2">
        <v>5</v>
      </c>
      <c r="H436" s="2" t="str">
        <f t="shared" si="34"/>
        <v>EDM</v>
      </c>
      <c r="I436" s="2" t="s">
        <v>718</v>
      </c>
      <c r="J436" s="2">
        <v>4</v>
      </c>
      <c r="K436" s="2">
        <v>9</v>
      </c>
      <c r="L436" s="2" t="str">
        <f t="shared" si="35"/>
        <v>EDM</v>
      </c>
      <c r="M436" s="2" t="s">
        <v>718</v>
      </c>
      <c r="N436" s="2">
        <f>IF(ISBLANK(Table2[[#This Row],[ActualResult]]), 0, 1)</f>
        <v>1</v>
      </c>
      <c r="O436" s="2" t="str">
        <f>IF(ISBLANK(Table2[[#This Row],[ActualResult]]), "_", IF(Table2[[#This Row],[ActualWinner]]=Table2[[#This Row],[PredictedWinner]], "Y", "N"))</f>
        <v>Y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6" s="2">
        <v>1</v>
      </c>
      <c r="S436" s="2" t="str">
        <f t="shared" si="36"/>
        <v>SEA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1</v>
      </c>
      <c r="AG436" s="2">
        <f>Table2[[#This Row],[ActualHomeScore]]-Table2[[#This Row],[PredictedHomeScore]]</f>
        <v>4</v>
      </c>
      <c r="AH436" s="2">
        <f t="shared" si="37"/>
        <v>0</v>
      </c>
      <c r="AI436" s="2">
        <f t="shared" si="38"/>
        <v>6</v>
      </c>
      <c r="AJ436" s="2">
        <v>9</v>
      </c>
      <c r="AK436" s="3">
        <v>45995</v>
      </c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1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1-2-0</v>
      </c>
      <c r="AP436" s="2" t="str">
        <f>INDEX(Sheet5!$B$2:$AG$33, MATCH(Table2[[#This Row],[HomeTeam]],Sheet5!$A$2:$A$33, 0), MATCH(Table2[[#This Row],[AwayTeam]],Sheet5!$A$2:$A$33, 0))</f>
        <v>2-1-0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1</v>
      </c>
      <c r="AS436" s="2">
        <f>IF(ABS(Table2[[#This Row],[ActualAwayScore]]-Table2[[#This Row],[ActualHomeScore]])&gt;=5, 1, 0)</f>
        <v>1</v>
      </c>
      <c r="AT436" s="2">
        <f>IF(Table2[[#This Row],[ActualAwayScore]] + Table2[[#This Row],[ActualHomeScore]] &lt;= 3, 1, 0)</f>
        <v>0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141">
        <v>45995</v>
      </c>
      <c r="B437" s="141">
        <v>45995</v>
      </c>
      <c r="C437" s="142">
        <v>2025020435</v>
      </c>
      <c r="D437" s="143" t="s">
        <v>16</v>
      </c>
      <c r="E437" s="143" t="s">
        <v>27</v>
      </c>
      <c r="F437" s="143">
        <v>3</v>
      </c>
      <c r="G437" s="143">
        <v>2</v>
      </c>
      <c r="H437" s="143" t="str">
        <f t="shared" si="34"/>
        <v>CHI</v>
      </c>
      <c r="I437" s="143" t="s">
        <v>719</v>
      </c>
      <c r="J437" s="143">
        <v>2</v>
      </c>
      <c r="K437" s="143">
        <v>1</v>
      </c>
      <c r="L437" s="143" t="str">
        <f t="shared" si="35"/>
        <v>CHI</v>
      </c>
      <c r="M437" s="143" t="s">
        <v>718</v>
      </c>
      <c r="N437" s="143">
        <f>IF(ISBLANK(Table2[[#This Row],[ActualResult]]), 0, 1)</f>
        <v>1</v>
      </c>
      <c r="O437" s="143" t="str">
        <f>IF(ISBLANK(Table2[[#This Row],[ActualResult]]), "_", IF(Table2[[#This Row],[ActualWinner]]=Table2[[#This Row],[PredictedWinner]], "Y", "N"))</f>
        <v>Y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7" s="143">
        <v>1</v>
      </c>
      <c r="S437" s="143" t="str">
        <f t="shared" si="36"/>
        <v>LAK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-1</v>
      </c>
      <c r="AG437" s="143">
        <f>Table2[[#This Row],[ActualHomeScore]]-Table2[[#This Row],[PredictedHomeScore]]</f>
        <v>-1</v>
      </c>
      <c r="AH437" s="143">
        <f t="shared" si="37"/>
        <v>0</v>
      </c>
      <c r="AI437" s="143">
        <f t="shared" si="38"/>
        <v>6</v>
      </c>
      <c r="AJ437" s="143">
        <v>10</v>
      </c>
      <c r="AK437" s="141">
        <v>45995</v>
      </c>
      <c r="AL437" s="143">
        <f>IF(Table2[[#This Row],[GameIsOver]]=0,0,IF(Table2[[#This Row],[ActualWinner]]=Table2[[#This Row],[AwayTeam]], 1, 0))</f>
        <v>1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143" t="str">
        <f>INDEX(Sheet5!$B$2:$AG$33, MATCH(Table2[[#This Row],[AwayTeam]],Sheet5!$A$2:$A$33, 0), MATCH(Table2[[#This Row],[HomeTeam]],Sheet5!$A$2:$A$33, 0))</f>
        <v>1-2-0</v>
      </c>
      <c r="AP437" s="143" t="str">
        <f>INDEX(Sheet5!$B$2:$AG$33, MATCH(Table2[[#This Row],[HomeTeam]],Sheet5!$A$2:$A$33, 0), MATCH(Table2[[#This Row],[AwayTeam]],Sheet5!$A$2:$A$33, 0))</f>
        <v>2-1-0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>
        <v>45996</v>
      </c>
      <c r="B438" s="3">
        <v>45996</v>
      </c>
      <c r="C438" s="5">
        <v>2025020436</v>
      </c>
      <c r="D438" s="2" t="s">
        <v>26</v>
      </c>
      <c r="E438" s="2" t="s">
        <v>31</v>
      </c>
      <c r="F438" s="2">
        <v>2</v>
      </c>
      <c r="G438" s="2">
        <v>3</v>
      </c>
      <c r="H438" s="2" t="str">
        <f t="shared" si="34"/>
        <v>NJD</v>
      </c>
      <c r="I438" s="2" t="s">
        <v>720</v>
      </c>
      <c r="J438" s="2">
        <v>3</v>
      </c>
      <c r="K438" s="2">
        <v>0</v>
      </c>
      <c r="L438" s="2" t="str">
        <f t="shared" si="35"/>
        <v>VGK</v>
      </c>
      <c r="M438" s="2" t="s">
        <v>718</v>
      </c>
      <c r="N438" s="2">
        <f>IF(ISBLANK(Table2[[#This Row],[ActualResult]]), 0, 1)</f>
        <v>1</v>
      </c>
      <c r="O438" s="2" t="str">
        <f>IF(ISBLANK(Table2[[#This Row],[ActualResult]]), "_", IF(Table2[[#This Row],[ActualWinner]]=Table2[[#This Row],[PredictedWinner]], "Y", "N"))</f>
        <v>N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8" s="2">
        <v>1</v>
      </c>
      <c r="S438" s="2" t="str">
        <f t="shared" si="36"/>
        <v>NJD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1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1</v>
      </c>
      <c r="AG438" s="2">
        <f>Table2[[#This Row],[ActualHomeScore]]-Table2[[#This Row],[PredictedHomeScore]]</f>
        <v>-3</v>
      </c>
      <c r="AH438" s="2">
        <f t="shared" si="37"/>
        <v>-2</v>
      </c>
      <c r="AI438" s="2">
        <f t="shared" si="38"/>
        <v>-6</v>
      </c>
      <c r="AJ438" s="2">
        <v>3</v>
      </c>
      <c r="AK438" s="3">
        <v>45996</v>
      </c>
      <c r="AL438" s="2">
        <f>IF(Table2[[#This Row],[GameIsOver]]=0,0,IF(Table2[[#This Row],[ActualWinner]]=Table2[[#This Row],[AwayTeam]], 1, 0))</f>
        <v>1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1-0-0</v>
      </c>
      <c r="AP438" s="2" t="str">
        <f>INDEX(Sheet5!$B$2:$AG$33, MATCH(Table2[[#This Row],[HomeTeam]],Sheet5!$A$2:$A$33, 0), MATCH(Table2[[#This Row],[AwayTeam]],Sheet5!$A$2:$A$33, 0))</f>
        <v>0-1-0</v>
      </c>
      <c r="AQ438" s="2">
        <f>IF(Table2[[#This Row],[GameHasShutOut]], 1, 0)</f>
        <v>1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>
        <v>45996</v>
      </c>
      <c r="B439" s="3">
        <v>45996</v>
      </c>
      <c r="C439" s="5">
        <v>2025020437</v>
      </c>
      <c r="D439" s="2" t="s">
        <v>28</v>
      </c>
      <c r="E439" s="2" t="s">
        <v>21</v>
      </c>
      <c r="F439" s="2">
        <v>1</v>
      </c>
      <c r="G439" s="2">
        <v>4</v>
      </c>
      <c r="H439" s="2" t="str">
        <f t="shared" si="34"/>
        <v>WPG</v>
      </c>
      <c r="I439" s="2" t="s">
        <v>718</v>
      </c>
      <c r="J439" s="2">
        <v>1</v>
      </c>
      <c r="K439" s="2">
        <v>4</v>
      </c>
      <c r="L439" s="2" t="str">
        <f t="shared" si="35"/>
        <v>WPG</v>
      </c>
      <c r="M439" s="2" t="s">
        <v>718</v>
      </c>
      <c r="N439" s="2">
        <f>IF(ISBLANK(Table2[[#This Row],[ActualResult]]), 0, 1)</f>
        <v>1</v>
      </c>
      <c r="O439" s="2" t="str">
        <f>IF(ISBLANK(Table2[[#This Row],[ActualResult]]), "_", IF(Table2[[#This Row],[ActualWinner]]=Table2[[#This Row],[PredictedWinner]], "Y", "N"))</f>
        <v>Y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9" s="2">
        <v>1</v>
      </c>
      <c r="S439" s="2" t="str">
        <f t="shared" si="36"/>
        <v>BUF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-2</v>
      </c>
      <c r="AI439" s="2">
        <f t="shared" si="38"/>
        <v>-6</v>
      </c>
      <c r="AJ439" s="2">
        <v>1</v>
      </c>
      <c r="AK439" s="3">
        <v>45996</v>
      </c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1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1-1-0</v>
      </c>
      <c r="AP439" s="2" t="str">
        <f>INDEX(Sheet5!$B$2:$AG$33, MATCH(Table2[[#This Row],[HomeTeam]],Sheet5!$A$2:$A$33, 0), MATCH(Table2[[#This Row],[AwayTeam]],Sheet5!$A$2:$A$33, 0))</f>
        <v>1-1-0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0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>
        <v>45996</v>
      </c>
      <c r="B440" s="3">
        <v>45996</v>
      </c>
      <c r="C440" s="5">
        <v>2025020438</v>
      </c>
      <c r="D440" s="2" t="s">
        <v>37</v>
      </c>
      <c r="E440" s="2" t="s">
        <v>33</v>
      </c>
      <c r="F440" s="2">
        <v>3</v>
      </c>
      <c r="G440" s="2">
        <v>4</v>
      </c>
      <c r="H440" s="2" t="str">
        <f t="shared" si="34"/>
        <v>DAL</v>
      </c>
      <c r="I440" s="2" t="s">
        <v>718</v>
      </c>
      <c r="J440" s="2">
        <v>1</v>
      </c>
      <c r="K440" s="2">
        <v>4</v>
      </c>
      <c r="L440" s="2" t="str">
        <f t="shared" si="35"/>
        <v>DAL</v>
      </c>
      <c r="M440" s="2" t="s">
        <v>718</v>
      </c>
      <c r="N440" s="2">
        <f>IF(ISBLANK(Table2[[#This Row],[ActualResult]]), 0, 1)</f>
        <v>1</v>
      </c>
      <c r="O440" s="2" t="str">
        <f>IF(ISBLANK(Table2[[#This Row],[ActualResult]]), "_", IF(Table2[[#This Row],[ActualWinner]]=Table2[[#This Row],[PredictedWinner]], "Y", "N"))</f>
        <v>Y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0" s="2">
        <v>1</v>
      </c>
      <c r="S440" s="2" t="str">
        <f t="shared" si="36"/>
        <v>SJS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-2</v>
      </c>
      <c r="AG440" s="2">
        <f>Table2[[#This Row],[ActualHomeScore]]-Table2[[#This Row],[PredictedHomeScore]]</f>
        <v>0</v>
      </c>
      <c r="AH440" s="2">
        <f t="shared" si="37"/>
        <v>-2</v>
      </c>
      <c r="AI440" s="2">
        <f t="shared" si="38"/>
        <v>-6</v>
      </c>
      <c r="AJ440" s="2">
        <v>2</v>
      </c>
      <c r="AK440" s="3">
        <v>45996</v>
      </c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1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0-1-0</v>
      </c>
      <c r="AP440" s="2" t="str">
        <f>INDEX(Sheet5!$B$2:$AG$33, MATCH(Table2[[#This Row],[HomeTeam]],Sheet5!$A$2:$A$33, 0), MATCH(Table2[[#This Row],[AwayTeam]],Sheet5!$A$2:$A$33, 0))</f>
        <v>1-0-0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0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>
        <v>45996</v>
      </c>
      <c r="B441" s="3">
        <v>45996</v>
      </c>
      <c r="C441" s="5">
        <v>2025020439</v>
      </c>
      <c r="D441" s="2" t="s">
        <v>14</v>
      </c>
      <c r="E441" s="2" t="s">
        <v>24</v>
      </c>
      <c r="F441" s="2">
        <v>5</v>
      </c>
      <c r="G441" s="2">
        <v>3</v>
      </c>
      <c r="H441" s="2" t="str">
        <f t="shared" si="34"/>
        <v>UTA</v>
      </c>
      <c r="I441" s="2" t="s">
        <v>718</v>
      </c>
      <c r="J441" s="2">
        <v>4</v>
      </c>
      <c r="K441" s="2">
        <v>1</v>
      </c>
      <c r="L441" s="2" t="str">
        <f t="shared" si="35"/>
        <v>UTA</v>
      </c>
      <c r="M441" s="2" t="s">
        <v>718</v>
      </c>
      <c r="N441" s="2">
        <f>IF(ISBLANK(Table2[[#This Row],[ActualResult]]), 0, 1)</f>
        <v>1</v>
      </c>
      <c r="O441" s="2" t="str">
        <f>IF(ISBLANK(Table2[[#This Row],[ActualResult]]), "_", IF(Table2[[#This Row],[ActualWinner]]=Table2[[#This Row],[PredictedWinner]], "Y", "N"))</f>
        <v>Y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1" s="2">
        <v>1</v>
      </c>
      <c r="S441" s="2" t="str">
        <f t="shared" si="36"/>
        <v>VAN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-1</v>
      </c>
      <c r="AG441" s="2">
        <f>Table2[[#This Row],[ActualHomeScore]]-Table2[[#This Row],[PredictedHomeScore]]</f>
        <v>-2</v>
      </c>
      <c r="AH441" s="2">
        <f t="shared" si="37"/>
        <v>-2</v>
      </c>
      <c r="AI441" s="2">
        <f t="shared" si="38"/>
        <v>-6</v>
      </c>
      <c r="AJ441" s="2">
        <v>3</v>
      </c>
      <c r="AK441" s="3">
        <v>45996</v>
      </c>
      <c r="AL441" s="2">
        <f>IF(Table2[[#This Row],[GameIsOver]]=0,0,IF(Table2[[#This Row],[ActualWinner]]=Table2[[#This Row],[AwayTeam]], 1, 0))</f>
        <v>1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1-0-0</v>
      </c>
      <c r="AP441" s="2" t="str">
        <f>INDEX(Sheet5!$B$2:$AG$33, MATCH(Table2[[#This Row],[HomeTeam]],Sheet5!$A$2:$A$33, 0), MATCH(Table2[[#This Row],[AwayTeam]],Sheet5!$A$2:$A$33, 0))</f>
        <v>0-1-0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0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141">
        <v>45996</v>
      </c>
      <c r="B442" s="141">
        <v>45996</v>
      </c>
      <c r="C442" s="142">
        <v>2025020440</v>
      </c>
      <c r="D442" s="143" t="s">
        <v>43</v>
      </c>
      <c r="E442" s="143" t="s">
        <v>44</v>
      </c>
      <c r="F442" s="143">
        <v>3</v>
      </c>
      <c r="G442" s="143">
        <v>5</v>
      </c>
      <c r="H442" s="143" t="str">
        <f t="shared" si="34"/>
        <v>ANA</v>
      </c>
      <c r="I442" s="143" t="s">
        <v>718</v>
      </c>
      <c r="J442" s="143">
        <v>3</v>
      </c>
      <c r="K442" s="143">
        <v>4</v>
      </c>
      <c r="L442" s="143" t="str">
        <f t="shared" si="35"/>
        <v>ANA</v>
      </c>
      <c r="M442" s="143" t="s">
        <v>719</v>
      </c>
      <c r="N442" s="143">
        <f>IF(ISBLANK(Table2[[#This Row],[ActualResult]]), 0, 1)</f>
        <v>1</v>
      </c>
      <c r="O442" s="143" t="str">
        <f>IF(ISBLANK(Table2[[#This Row],[ActualResult]]), "_", IF(Table2[[#This Row],[ActualWinner]]=Table2[[#This Row],[PredictedWinner]], "Y", "N"))</f>
        <v>Y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2" s="143">
        <v>1</v>
      </c>
      <c r="S442" s="143" t="str">
        <f t="shared" si="36"/>
        <v>WSH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4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-1</v>
      </c>
      <c r="AH442" s="143">
        <f t="shared" si="37"/>
        <v>-2</v>
      </c>
      <c r="AI442" s="143">
        <f t="shared" si="38"/>
        <v>-6</v>
      </c>
      <c r="AJ442" s="143">
        <v>4</v>
      </c>
      <c r="AK442" s="141">
        <v>45996</v>
      </c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1</v>
      </c>
      <c r="AN44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143" t="str">
        <f>INDEX(Sheet5!$B$2:$AG$33, MATCH(Table2[[#This Row],[AwayTeam]],Sheet5!$A$2:$A$33, 0), MATCH(Table2[[#This Row],[HomeTeam]],Sheet5!$A$2:$A$33, 0))</f>
        <v>0-0-1</v>
      </c>
      <c r="AP442" s="143" t="str">
        <f>INDEX(Sheet5!$B$2:$AG$33, MATCH(Table2[[#This Row],[HomeTeam]],Sheet5!$A$2:$A$33, 0), MATCH(Table2[[#This Row],[AwayTeam]],Sheet5!$A$2:$A$33, 0))</f>
        <v>1-0-0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0</v>
      </c>
      <c r="AU4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>
        <v>45997</v>
      </c>
      <c r="B443" s="3">
        <v>45997</v>
      </c>
      <c r="C443" s="5">
        <v>2025020441</v>
      </c>
      <c r="D443" s="2" t="s">
        <v>25</v>
      </c>
      <c r="E443" s="2" t="s">
        <v>19</v>
      </c>
      <c r="F443" s="2">
        <v>5</v>
      </c>
      <c r="G443" s="2">
        <v>2</v>
      </c>
      <c r="H443" s="2" t="str">
        <f t="shared" si="34"/>
        <v>COL</v>
      </c>
      <c r="I443" s="2" t="s">
        <v>718</v>
      </c>
      <c r="J443" s="2">
        <v>3</v>
      </c>
      <c r="K443" s="2">
        <v>2</v>
      </c>
      <c r="L443" s="2" t="str">
        <f t="shared" si="35"/>
        <v>COL</v>
      </c>
      <c r="M443" s="2" t="s">
        <v>720</v>
      </c>
      <c r="N443" s="2">
        <f>IF(ISBLANK(Table2[[#This Row],[ActualResult]]), 0, 1)</f>
        <v>1</v>
      </c>
      <c r="O443" s="2" t="str">
        <f>IF(ISBLANK(Table2[[#This Row],[ActualResult]]), "_", IF(Table2[[#This Row],[ActualWinner]]=Table2[[#This Row],[PredictedWinner]], "Y", "N"))</f>
        <v>Y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3" s="2">
        <v>1</v>
      </c>
      <c r="S443" s="2" t="str">
        <f t="shared" si="36"/>
        <v>NYR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-2</v>
      </c>
      <c r="AG443" s="2">
        <f>Table2[[#This Row],[ActualHomeScore]]-Table2[[#This Row],[PredictedHomeScore]]</f>
        <v>0</v>
      </c>
      <c r="AH443" s="2">
        <f t="shared" si="37"/>
        <v>-6</v>
      </c>
      <c r="AI443" s="2">
        <f t="shared" si="38"/>
        <v>3</v>
      </c>
      <c r="AJ443" s="2">
        <v>1</v>
      </c>
      <c r="AK443" s="3">
        <v>45997</v>
      </c>
      <c r="AL443" s="2">
        <f>IF(Table2[[#This Row],[GameIsOver]]=0,0,IF(Table2[[#This Row],[ActualWinner]]=Table2[[#This Row],[AwayTeam]], 1, 0))</f>
        <v>1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2-0-0</v>
      </c>
      <c r="AP443" s="2" t="str">
        <f>INDEX(Sheet5!$B$2:$AG$33, MATCH(Table2[[#This Row],[HomeTeam]],Sheet5!$A$2:$A$33, 0), MATCH(Table2[[#This Row],[AwayTeam]],Sheet5!$A$2:$A$33, 0))</f>
        <v>0-1-1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0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>
        <v>45997</v>
      </c>
      <c r="B444" s="3">
        <v>45997</v>
      </c>
      <c r="C444" s="5">
        <v>2025020442</v>
      </c>
      <c r="D444" s="2" t="s">
        <v>35</v>
      </c>
      <c r="E444" s="2" t="s">
        <v>13</v>
      </c>
      <c r="F444" s="2">
        <v>3</v>
      </c>
      <c r="G444" s="2">
        <v>4</v>
      </c>
      <c r="H444" s="2" t="str">
        <f t="shared" si="34"/>
        <v>FLA</v>
      </c>
      <c r="I444" s="2" t="s">
        <v>718</v>
      </c>
      <c r="J444" s="2">
        <v>6</v>
      </c>
      <c r="K444" s="2">
        <v>7</v>
      </c>
      <c r="L444" s="2" t="str">
        <f t="shared" si="35"/>
        <v>FLA</v>
      </c>
      <c r="M444" s="2" t="s">
        <v>720</v>
      </c>
      <c r="N444" s="2">
        <f>IF(ISBLANK(Table2[[#This Row],[ActualResult]]), 0, 1)</f>
        <v>1</v>
      </c>
      <c r="O444" s="2" t="str">
        <f>IF(ISBLANK(Table2[[#This Row],[ActualResult]]), "_", IF(Table2[[#This Row],[ActualWinner]]=Table2[[#This Row],[PredictedWinner]], "Y", "N"))</f>
        <v>Y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4" s="2">
        <v>1</v>
      </c>
      <c r="S444" s="2" t="str">
        <f t="shared" si="36"/>
        <v>CBJ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3</v>
      </c>
      <c r="AG444" s="2">
        <f>Table2[[#This Row],[ActualHomeScore]]-Table2[[#This Row],[PredictedHomeScore]]</f>
        <v>3</v>
      </c>
      <c r="AH444" s="2">
        <f t="shared" si="37"/>
        <v>-6</v>
      </c>
      <c r="AI444" s="2">
        <f t="shared" si="38"/>
        <v>3</v>
      </c>
      <c r="AJ444" s="2">
        <v>2</v>
      </c>
      <c r="AK444" s="3">
        <v>45997</v>
      </c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1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0-0-1</v>
      </c>
      <c r="AP444" s="2" t="str">
        <f>INDEX(Sheet5!$B$2:$AG$33, MATCH(Table2[[#This Row],[HomeTeam]],Sheet5!$A$2:$A$33, 0), MATCH(Table2[[#This Row],[AwayTeam]],Sheet5!$A$2:$A$33, 0))</f>
        <v>1-0-0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1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0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>
        <v>45997</v>
      </c>
      <c r="B445" s="3">
        <v>45997</v>
      </c>
      <c r="C445" s="5">
        <v>2025020443</v>
      </c>
      <c r="D445" s="2" t="s">
        <v>31</v>
      </c>
      <c r="E445" s="2" t="s">
        <v>15</v>
      </c>
      <c r="F445" s="2">
        <v>3</v>
      </c>
      <c r="G445" s="2">
        <v>2</v>
      </c>
      <c r="H445" s="2" t="str">
        <f t="shared" si="34"/>
        <v>NJD</v>
      </c>
      <c r="I445" s="2" t="s">
        <v>719</v>
      </c>
      <c r="J445" s="2">
        <v>1</v>
      </c>
      <c r="K445" s="2">
        <v>4</v>
      </c>
      <c r="L445" s="2" t="str">
        <f t="shared" si="35"/>
        <v>BOS</v>
      </c>
      <c r="M445" s="2" t="s">
        <v>718</v>
      </c>
      <c r="N445" s="2">
        <f>IF(ISBLANK(Table2[[#This Row],[ActualResult]]), 0, 1)</f>
        <v>1</v>
      </c>
      <c r="O445" s="2" t="str">
        <f>IF(ISBLANK(Table2[[#This Row],[ActualResult]]), "_", IF(Table2[[#This Row],[ActualWinner]]=Table2[[#This Row],[PredictedWinner]], "Y", "N"))</f>
        <v>N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5" s="2">
        <v>0</v>
      </c>
      <c r="S445" s="2" t="str">
        <f t="shared" si="36"/>
        <v>NJD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-2</v>
      </c>
      <c r="AG445" s="2">
        <f>Table2[[#This Row],[ActualHomeScore]]-Table2[[#This Row],[PredictedHomeScore]]</f>
        <v>2</v>
      </c>
      <c r="AH445" s="2">
        <f t="shared" si="37"/>
        <v>-6</v>
      </c>
      <c r="AI445" s="2">
        <f t="shared" si="38"/>
        <v>3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1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0-1-0</v>
      </c>
      <c r="AP445" s="2" t="str">
        <f>INDEX(Sheet5!$B$2:$AG$33, MATCH(Table2[[#This Row],[HomeTeam]],Sheet5!$A$2:$A$33, 0), MATCH(Table2[[#This Row],[AwayTeam]],Sheet5!$A$2:$A$33, 0))</f>
        <v>1-0-0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0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>
        <v>45997</v>
      </c>
      <c r="B446" s="3">
        <v>45997</v>
      </c>
      <c r="C446" s="5">
        <v>2025020444</v>
      </c>
      <c r="D446" s="2" t="s">
        <v>18</v>
      </c>
      <c r="E446" s="2" t="s">
        <v>17</v>
      </c>
      <c r="F446" s="2">
        <v>2</v>
      </c>
      <c r="G446" s="2">
        <v>4</v>
      </c>
      <c r="H446" s="2" t="str">
        <f t="shared" si="34"/>
        <v>TOR</v>
      </c>
      <c r="I446" s="2" t="s">
        <v>718</v>
      </c>
      <c r="J446" s="2">
        <v>2</v>
      </c>
      <c r="K446" s="2">
        <v>1</v>
      </c>
      <c r="L446" s="2" t="str">
        <f t="shared" si="35"/>
        <v>MTL</v>
      </c>
      <c r="M446" s="2" t="s">
        <v>719</v>
      </c>
      <c r="N446" s="2">
        <f>IF(ISBLANK(Table2[[#This Row],[ActualResult]]), 0, 1)</f>
        <v>1</v>
      </c>
      <c r="O446" s="2" t="str">
        <f>IF(ISBLANK(Table2[[#This Row],[ActualResult]]), "_", IF(Table2[[#This Row],[ActualWinner]]=Table2[[#This Row],[PredictedWinner]], "Y", "N"))</f>
        <v>N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6" s="2">
        <v>1</v>
      </c>
      <c r="S446" s="2" t="str">
        <f t="shared" si="36"/>
        <v>TOR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-3</v>
      </c>
      <c r="AH446" s="2">
        <f t="shared" si="37"/>
        <v>-6</v>
      </c>
      <c r="AI446" s="2">
        <f t="shared" si="38"/>
        <v>3</v>
      </c>
      <c r="AJ446" s="2">
        <v>4</v>
      </c>
      <c r="AK446" s="3">
        <v>45997</v>
      </c>
      <c r="AL446" s="2">
        <f>IF(Table2[[#This Row],[GameIsOver]]=0,0,IF(Table2[[#This Row],[ActualWinner]]=Table2[[#This Row],[AwayTeam]], 1, 0))</f>
        <v>1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2-1-0</v>
      </c>
      <c r="AP446" s="2" t="str">
        <f>INDEX(Sheet5!$B$2:$AG$33, MATCH(Table2[[#This Row],[HomeTeam]],Sheet5!$A$2:$A$33, 0), MATCH(Table2[[#This Row],[AwayTeam]],Sheet5!$A$2:$A$33, 0))</f>
        <v>1-1-1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>
        <v>45997</v>
      </c>
      <c r="B447" s="3">
        <v>45997</v>
      </c>
      <c r="C447" s="5">
        <v>2025020445</v>
      </c>
      <c r="D447" s="2" t="s">
        <v>12</v>
      </c>
      <c r="E447" s="2" t="s">
        <v>29</v>
      </c>
      <c r="F447" s="2">
        <v>2</v>
      </c>
      <c r="G447" s="2">
        <v>3</v>
      </c>
      <c r="H447" s="2" t="str">
        <f t="shared" si="34"/>
        <v>OTT</v>
      </c>
      <c r="I447" s="2" t="s">
        <v>718</v>
      </c>
      <c r="J447" s="2">
        <v>2</v>
      </c>
      <c r="K447" s="2">
        <v>1</v>
      </c>
      <c r="L447" s="2" t="str">
        <f t="shared" si="35"/>
        <v>STL</v>
      </c>
      <c r="M447" s="2" t="s">
        <v>718</v>
      </c>
      <c r="N447" s="2">
        <f>IF(ISBLANK(Table2[[#This Row],[ActualResult]]), 0, 1)</f>
        <v>1</v>
      </c>
      <c r="O447" s="2" t="str">
        <f>IF(ISBLANK(Table2[[#This Row],[ActualResult]]), "_", IF(Table2[[#This Row],[ActualWinner]]=Table2[[#This Row],[PredictedWinner]], "Y", "N"))</f>
        <v>N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7" s="2">
        <v>0</v>
      </c>
      <c r="S447" s="2" t="str">
        <f t="shared" si="36"/>
        <v>OTT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-2</v>
      </c>
      <c r="AH447" s="2">
        <f t="shared" si="37"/>
        <v>-6</v>
      </c>
      <c r="AI447" s="2">
        <f t="shared" si="38"/>
        <v>3</v>
      </c>
      <c r="AJ447" s="2"/>
      <c r="AK447" s="2"/>
      <c r="AL447" s="2">
        <f>IF(Table2[[#This Row],[GameIsOver]]=0,0,IF(Table2[[#This Row],[ActualWinner]]=Table2[[#This Row],[AwayTeam]], 1, 0))</f>
        <v>1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2-0-0</v>
      </c>
      <c r="AP447" s="2" t="str">
        <f>INDEX(Sheet5!$B$2:$AG$33, MATCH(Table2[[#This Row],[HomeTeam]],Sheet5!$A$2:$A$33, 0), MATCH(Table2[[#This Row],[AwayTeam]],Sheet5!$A$2:$A$33, 0))</f>
        <v>0-2-0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>
        <v>45997</v>
      </c>
      <c r="B448" s="3">
        <v>45997</v>
      </c>
      <c r="C448" s="5">
        <v>2025020446</v>
      </c>
      <c r="D448" s="2" t="s">
        <v>32</v>
      </c>
      <c r="E448" s="2" t="s">
        <v>40</v>
      </c>
      <c r="F448" s="2">
        <v>3</v>
      </c>
      <c r="G448" s="2">
        <v>2</v>
      </c>
      <c r="H448" s="2" t="str">
        <f t="shared" si="34"/>
        <v>NYI</v>
      </c>
      <c r="I448" s="2" t="s">
        <v>720</v>
      </c>
      <c r="J448" s="2">
        <v>2</v>
      </c>
      <c r="K448" s="2">
        <v>0</v>
      </c>
      <c r="L448" s="2" t="str">
        <f t="shared" si="35"/>
        <v>NYI</v>
      </c>
      <c r="M448" s="2" t="s">
        <v>718</v>
      </c>
      <c r="N448" s="2">
        <f>IF(ISBLANK(Table2[[#This Row],[ActualResult]]), 0, 1)</f>
        <v>1</v>
      </c>
      <c r="O448" s="2" t="str">
        <f>IF(ISBLANK(Table2[[#This Row],[ActualResult]]), "_", IF(Table2[[#This Row],[ActualWinner]]=Table2[[#This Row],[PredictedWinner]], "Y", "N"))</f>
        <v>Y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8" s="2">
        <v>0</v>
      </c>
      <c r="S448" s="2" t="str">
        <f t="shared" si="36"/>
        <v>TBL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1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-1</v>
      </c>
      <c r="AG448" s="2">
        <f>Table2[[#This Row],[ActualHomeScore]]-Table2[[#This Row],[PredictedHomeScore]]</f>
        <v>-2</v>
      </c>
      <c r="AH448" s="2">
        <f t="shared" si="37"/>
        <v>-6</v>
      </c>
      <c r="AI448" s="2">
        <f t="shared" si="38"/>
        <v>3</v>
      </c>
      <c r="AJ448" s="2"/>
      <c r="AK448" s="2"/>
      <c r="AL448" s="2">
        <f>IF(Table2[[#This Row],[GameIsOver]]=0,0,IF(Table2[[#This Row],[ActualWinner]]=Table2[[#This Row],[AwayTeam]], 1, 0))</f>
        <v>1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2-0-0</v>
      </c>
      <c r="AP448" s="2" t="str">
        <f>INDEX(Sheet5!$B$2:$AG$33, MATCH(Table2[[#This Row],[HomeTeam]],Sheet5!$A$2:$A$33, 0), MATCH(Table2[[#This Row],[AwayTeam]],Sheet5!$A$2:$A$33, 0))</f>
        <v>0-2-0</v>
      </c>
      <c r="AQ448" s="2">
        <f>IF(Table2[[#This Row],[GameHasShutOut]], 1, 0)</f>
        <v>1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>
        <v>45997</v>
      </c>
      <c r="B449" s="3">
        <v>45997</v>
      </c>
      <c r="C449" s="5">
        <v>2025020447</v>
      </c>
      <c r="D449" s="2" t="s">
        <v>34</v>
      </c>
      <c r="E449" s="2" t="s">
        <v>41</v>
      </c>
      <c r="F449" s="2">
        <v>1</v>
      </c>
      <c r="G449" s="2">
        <v>4</v>
      </c>
      <c r="H449" s="2" t="str">
        <f t="shared" si="34"/>
        <v>CAR</v>
      </c>
      <c r="I449" s="2" t="s">
        <v>718</v>
      </c>
      <c r="J449" s="2">
        <v>3</v>
      </c>
      <c r="K449" s="2">
        <v>6</v>
      </c>
      <c r="L449" s="2" t="str">
        <f t="shared" si="35"/>
        <v>CAR</v>
      </c>
      <c r="M449" s="2" t="s">
        <v>718</v>
      </c>
      <c r="N449" s="2">
        <f>IF(ISBLANK(Table2[[#This Row],[ActualResult]]), 0, 1)</f>
        <v>1</v>
      </c>
      <c r="O449" s="2" t="str">
        <f>IF(ISBLANK(Table2[[#This Row],[ActualResult]]), "_", IF(Table2[[#This Row],[ActualWinner]]=Table2[[#This Row],[PredictedWinner]], "Y", "N"))</f>
        <v>Y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9" s="2">
        <v>0</v>
      </c>
      <c r="S449" s="2" t="str">
        <f t="shared" si="36"/>
        <v>NSH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2</v>
      </c>
      <c r="AG449" s="2">
        <f>Table2[[#This Row],[ActualHomeScore]]-Table2[[#This Row],[PredictedHomeScore]]</f>
        <v>2</v>
      </c>
      <c r="AH449" s="2">
        <f t="shared" si="37"/>
        <v>-6</v>
      </c>
      <c r="AI449" s="2">
        <f t="shared" si="38"/>
        <v>3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1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0-1-0</v>
      </c>
      <c r="AP449" s="2" t="str">
        <f>INDEX(Sheet5!$B$2:$AG$33, MATCH(Table2[[#This Row],[HomeTeam]],Sheet5!$A$2:$A$33, 0), MATCH(Table2[[#This Row],[AwayTeam]],Sheet5!$A$2:$A$33, 0))</f>
        <v>1-0-0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0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>
        <v>45997</v>
      </c>
      <c r="B450" s="3">
        <v>45997</v>
      </c>
      <c r="C450" s="5">
        <v>2025020448</v>
      </c>
      <c r="D450" s="2" t="s">
        <v>14</v>
      </c>
      <c r="E450" s="2" t="s">
        <v>23</v>
      </c>
      <c r="F450" s="2">
        <v>3</v>
      </c>
      <c r="G450" s="2">
        <v>4</v>
      </c>
      <c r="H450" s="2" t="str">
        <f t="shared" si="34"/>
        <v>CGY</v>
      </c>
      <c r="I450" s="2" t="s">
        <v>720</v>
      </c>
      <c r="J450" s="2">
        <v>0</v>
      </c>
      <c r="K450" s="2">
        <v>2</v>
      </c>
      <c r="L450" s="2" t="str">
        <f t="shared" si="35"/>
        <v>CGY</v>
      </c>
      <c r="M450" s="2" t="s">
        <v>718</v>
      </c>
      <c r="N450" s="2">
        <f>IF(ISBLANK(Table2[[#This Row],[ActualResult]]), 0, 1)</f>
        <v>1</v>
      </c>
      <c r="O450" s="2" t="str">
        <f>IF(ISBLANK(Table2[[#This Row],[ActualResult]]), "_", IF(Table2[[#This Row],[ActualWinner]]=Table2[[#This Row],[PredictedWinner]], "Y", "N"))</f>
        <v>Y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0" s="2">
        <v>1</v>
      </c>
      <c r="S450" s="2" t="str">
        <f t="shared" si="36"/>
        <v>UTA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1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-3</v>
      </c>
      <c r="AG450" s="2">
        <f>Table2[[#This Row],[ActualHomeScore]]-Table2[[#This Row],[PredictedHomeScore]]</f>
        <v>-2</v>
      </c>
      <c r="AH450" s="2">
        <f t="shared" si="37"/>
        <v>-6</v>
      </c>
      <c r="AI450" s="2">
        <f t="shared" si="38"/>
        <v>3</v>
      </c>
      <c r="AJ450" s="2">
        <v>3</v>
      </c>
      <c r="AK450" s="3">
        <v>45997</v>
      </c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1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1-1-0</v>
      </c>
      <c r="AP450" s="2" t="str">
        <f>INDEX(Sheet5!$B$2:$AG$33, MATCH(Table2[[#This Row],[HomeTeam]],Sheet5!$A$2:$A$33, 0), MATCH(Table2[[#This Row],[AwayTeam]],Sheet5!$A$2:$A$33, 0))</f>
        <v>1-1-0</v>
      </c>
      <c r="AQ450" s="2">
        <f>IF(Table2[[#This Row],[GameHasShutOut]], 1, 0)</f>
        <v>1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>
        <v>45997</v>
      </c>
      <c r="B451" s="3">
        <v>45997</v>
      </c>
      <c r="C451" s="5">
        <v>2025020449</v>
      </c>
      <c r="D451" s="2" t="s">
        <v>16</v>
      </c>
      <c r="E451" s="2" t="s">
        <v>27</v>
      </c>
      <c r="F451" s="2">
        <v>2</v>
      </c>
      <c r="G451" s="2">
        <v>3</v>
      </c>
      <c r="H451" s="2" t="str">
        <f t="shared" ref="H451:H514" si="39">IF(AND(ISBLANK($F451),ISBLANK($G451)),"_",IF($F451&gt;$G451,$D451,$E451))</f>
        <v>LAK</v>
      </c>
      <c r="I451" s="2" t="s">
        <v>718</v>
      </c>
      <c r="J451" s="2">
        <v>0</v>
      </c>
      <c r="K451" s="2">
        <v>6</v>
      </c>
      <c r="L451" s="2" t="str">
        <f t="shared" ref="L451:L514" si="40">IF(OR($J451=$K451,AND(ISBLANK($J451),ISBLANK($K451))),"_",IF($J451&gt;$K451,$D451,$E451))</f>
        <v>LAK</v>
      </c>
      <c r="M451" s="2" t="s">
        <v>718</v>
      </c>
      <c r="N451" s="2">
        <f>IF(ISBLANK(Table2[[#This Row],[ActualResult]]), 0, 1)</f>
        <v>1</v>
      </c>
      <c r="O451" s="2" t="str">
        <f>IF(ISBLANK(Table2[[#This Row],[ActualResult]]), "_", IF(Table2[[#This Row],[ActualWinner]]=Table2[[#This Row],[PredictedWinner]], "Y", "N"))</f>
        <v>Y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1" s="2">
        <v>1</v>
      </c>
      <c r="S451" s="2" t="str">
        <f t="shared" ref="S451:S514" si="41">IF($L451="_", "_", IF($L451=$D451,$E451,$D451))</f>
        <v>CHI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1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-2</v>
      </c>
      <c r="AG451" s="2">
        <f>Table2[[#This Row],[ActualHomeScore]]-Table2[[#This Row],[PredictedHomeScore]]</f>
        <v>3</v>
      </c>
      <c r="AH451" s="2">
        <f t="shared" ref="AH451:AH514" si="42">SUMIF($B$3:$B$1315, $B451, $AF$3:$AF$1315)</f>
        <v>-6</v>
      </c>
      <c r="AI451" s="2">
        <f t="shared" ref="AI451:AI514" si="43">SUMIF($B$3:$B$1315, $B451, $AG$3:$AG$1315)</f>
        <v>3</v>
      </c>
      <c r="AJ451" s="2">
        <v>6</v>
      </c>
      <c r="AK451" s="3">
        <v>45997</v>
      </c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1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1-2-0</v>
      </c>
      <c r="AP451" s="2" t="str">
        <f>INDEX(Sheet5!$B$2:$AG$33, MATCH(Table2[[#This Row],[HomeTeam]],Sheet5!$A$2:$A$33, 0), MATCH(Table2[[#This Row],[AwayTeam]],Sheet5!$A$2:$A$33, 0))</f>
        <v>2-1-0</v>
      </c>
      <c r="AQ451" s="2">
        <f>IF(Table2[[#This Row],[GameHasShutOut]], 1, 0)</f>
        <v>1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1</v>
      </c>
      <c r="AT451" s="2">
        <f>IF(Table2[[#This Row],[ActualAwayScore]] + Table2[[#This Row],[ActualHomeScore]] &lt;= 3, 1, 0)</f>
        <v>0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>
        <v>45997</v>
      </c>
      <c r="B452" s="3">
        <v>45997</v>
      </c>
      <c r="C452" s="5">
        <v>2025020450</v>
      </c>
      <c r="D452" s="2" t="s">
        <v>21</v>
      </c>
      <c r="E452" s="2" t="s">
        <v>22</v>
      </c>
      <c r="F452" s="2">
        <v>3</v>
      </c>
      <c r="G452" s="2">
        <v>4</v>
      </c>
      <c r="H452" s="2" t="str">
        <f t="shared" si="39"/>
        <v>EDM</v>
      </c>
      <c r="I452" s="2" t="s">
        <v>718</v>
      </c>
      <c r="J452" s="2">
        <v>2</v>
      </c>
      <c r="K452" s="2">
        <v>6</v>
      </c>
      <c r="L452" s="2" t="str">
        <f t="shared" si="40"/>
        <v>EDM</v>
      </c>
      <c r="M452" s="2" t="s">
        <v>718</v>
      </c>
      <c r="N452" s="2">
        <f>IF(ISBLANK(Table2[[#This Row],[ActualResult]]), 0, 1)</f>
        <v>1</v>
      </c>
      <c r="O452" s="2" t="str">
        <f>IF(ISBLANK(Table2[[#This Row],[ActualResult]]), "_", IF(Table2[[#This Row],[ActualWinner]]=Table2[[#This Row],[PredictedWinner]], "Y", "N"))</f>
        <v>Y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2" s="2">
        <v>1</v>
      </c>
      <c r="S452" s="2" t="str">
        <f t="shared" si="41"/>
        <v>WPG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-1</v>
      </c>
      <c r="AG452" s="2">
        <f>Table2[[#This Row],[ActualHomeScore]]-Table2[[#This Row],[PredictedHomeScore]]</f>
        <v>2</v>
      </c>
      <c r="AH452" s="2">
        <f t="shared" si="42"/>
        <v>-6</v>
      </c>
      <c r="AI452" s="2">
        <f t="shared" si="43"/>
        <v>3</v>
      </c>
      <c r="AJ452" s="2">
        <v>4</v>
      </c>
      <c r="AK452" s="3">
        <v>45997</v>
      </c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1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0-1-0</v>
      </c>
      <c r="AP452" s="2" t="str">
        <f>INDEX(Sheet5!$B$2:$AG$33, MATCH(Table2[[#This Row],[HomeTeam]],Sheet5!$A$2:$A$33, 0), MATCH(Table2[[#This Row],[AwayTeam]],Sheet5!$A$2:$A$33, 0))</f>
        <v>1-0-0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0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>
        <v>45997</v>
      </c>
      <c r="B453" s="3">
        <v>45997</v>
      </c>
      <c r="C453" s="5">
        <v>2025020451</v>
      </c>
      <c r="D453" s="2" t="s">
        <v>36</v>
      </c>
      <c r="E453" s="2" t="s">
        <v>24</v>
      </c>
      <c r="F453" s="2">
        <v>4</v>
      </c>
      <c r="G453" s="2">
        <v>2</v>
      </c>
      <c r="H453" s="2" t="str">
        <f t="shared" si="39"/>
        <v>MIN</v>
      </c>
      <c r="I453" s="2" t="s">
        <v>718</v>
      </c>
      <c r="J453" s="2">
        <v>2</v>
      </c>
      <c r="K453" s="2">
        <v>4</v>
      </c>
      <c r="L453" s="2" t="str">
        <f t="shared" si="40"/>
        <v>VAN</v>
      </c>
      <c r="M453" s="2" t="s">
        <v>718</v>
      </c>
      <c r="N453" s="2">
        <f>IF(ISBLANK(Table2[[#This Row],[ActualResult]]), 0, 1)</f>
        <v>1</v>
      </c>
      <c r="O453" s="2" t="str">
        <f>IF(ISBLANK(Table2[[#This Row],[ActualResult]]), "_", IF(Table2[[#This Row],[ActualWinner]]=Table2[[#This Row],[PredictedWinner]], "Y", "N"))</f>
        <v>N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3" s="2">
        <v>1</v>
      </c>
      <c r="S453" s="2" t="str">
        <f t="shared" si="41"/>
        <v>MIN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-2</v>
      </c>
      <c r="AG453" s="2">
        <f>Table2[[#This Row],[ActualHomeScore]]-Table2[[#This Row],[PredictedHomeScore]]</f>
        <v>2</v>
      </c>
      <c r="AH453" s="2">
        <f t="shared" si="42"/>
        <v>-6</v>
      </c>
      <c r="AI453" s="2">
        <f t="shared" si="43"/>
        <v>3</v>
      </c>
      <c r="AJ453" s="2">
        <v>5</v>
      </c>
      <c r="AK453" s="3">
        <v>45997</v>
      </c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1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1-1-0</v>
      </c>
      <c r="AP453" s="2" t="str">
        <f>INDEX(Sheet5!$B$2:$AG$33, MATCH(Table2[[#This Row],[HomeTeam]],Sheet5!$A$2:$A$33, 0), MATCH(Table2[[#This Row],[AwayTeam]],Sheet5!$A$2:$A$33, 0))</f>
        <v>1-1-0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0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141">
        <v>45997</v>
      </c>
      <c r="B454" s="141">
        <v>45997</v>
      </c>
      <c r="C454" s="142">
        <v>2025020452</v>
      </c>
      <c r="D454" s="143" t="s">
        <v>30</v>
      </c>
      <c r="E454" s="143" t="s">
        <v>11</v>
      </c>
      <c r="F454" s="143">
        <v>2</v>
      </c>
      <c r="G454" s="143">
        <v>5</v>
      </c>
      <c r="H454" s="143" t="str">
        <f t="shared" si="39"/>
        <v>SEA</v>
      </c>
      <c r="I454" s="143" t="s">
        <v>718</v>
      </c>
      <c r="J454" s="143">
        <v>4</v>
      </c>
      <c r="K454" s="143">
        <v>3</v>
      </c>
      <c r="L454" s="143" t="str">
        <f t="shared" si="40"/>
        <v>DET</v>
      </c>
      <c r="M454" s="143" t="s">
        <v>718</v>
      </c>
      <c r="N454" s="143">
        <f>IF(ISBLANK(Table2[[#This Row],[ActualResult]]), 0, 1)</f>
        <v>1</v>
      </c>
      <c r="O454" s="143" t="str">
        <f>IF(ISBLANK(Table2[[#This Row],[ActualResult]]), "_", IF(Table2[[#This Row],[ActualWinner]]=Table2[[#This Row],[PredictedWinner]], "Y", "N"))</f>
        <v>N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4" s="143">
        <v>1</v>
      </c>
      <c r="S454" s="143" t="str">
        <f t="shared" si="41"/>
        <v>SEA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2</v>
      </c>
      <c r="AG454" s="143">
        <f>Table2[[#This Row],[ActualHomeScore]]-Table2[[#This Row],[PredictedHomeScore]]</f>
        <v>-2</v>
      </c>
      <c r="AH454" s="143">
        <f t="shared" si="42"/>
        <v>-6</v>
      </c>
      <c r="AI454" s="143">
        <f t="shared" si="43"/>
        <v>3</v>
      </c>
      <c r="AJ454" s="143">
        <v>7</v>
      </c>
      <c r="AK454" s="141">
        <v>45997</v>
      </c>
      <c r="AL454" s="143">
        <f>IF(Table2[[#This Row],[GameIsOver]]=0,0,IF(Table2[[#This Row],[ActualWinner]]=Table2[[#This Row],[AwayTeam]], 1, 0))</f>
        <v>1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143" t="str">
        <f>INDEX(Sheet5!$B$2:$AG$33, MATCH(Table2[[#This Row],[AwayTeam]],Sheet5!$A$2:$A$33, 0), MATCH(Table2[[#This Row],[HomeTeam]],Sheet5!$A$2:$A$33, 0))</f>
        <v>2-0-0</v>
      </c>
      <c r="AP454" s="143" t="str">
        <f>INDEX(Sheet5!$B$2:$AG$33, MATCH(Table2[[#This Row],[HomeTeam]],Sheet5!$A$2:$A$33, 0), MATCH(Table2[[#This Row],[AwayTeam]],Sheet5!$A$2:$A$33, 0))</f>
        <v>0-2-0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0</v>
      </c>
      <c r="AU45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>
        <v>45998</v>
      </c>
      <c r="B455" s="3">
        <v>45998</v>
      </c>
      <c r="C455" s="5">
        <v>2025020453</v>
      </c>
      <c r="D455" s="2" t="s">
        <v>25</v>
      </c>
      <c r="E455" s="2" t="s">
        <v>42</v>
      </c>
      <c r="F455" s="2">
        <v>2</v>
      </c>
      <c r="G455" s="2">
        <v>3</v>
      </c>
      <c r="H455" s="2" t="str">
        <f t="shared" si="39"/>
        <v>PHI</v>
      </c>
      <c r="I455" s="2" t="s">
        <v>720</v>
      </c>
      <c r="J455" s="2">
        <v>3</v>
      </c>
      <c r="K455" s="2">
        <v>2</v>
      </c>
      <c r="L455" s="2" t="str">
        <f t="shared" si="40"/>
        <v>COL</v>
      </c>
      <c r="M455" s="2" t="s">
        <v>718</v>
      </c>
      <c r="N455" s="2">
        <f>IF(ISBLANK(Table2[[#This Row],[ActualResult]]), 0, 1)</f>
        <v>1</v>
      </c>
      <c r="O455" s="2" t="str">
        <f>IF(ISBLANK(Table2[[#This Row],[ActualResult]]), "_", IF(Table2[[#This Row],[ActualWinner]]=Table2[[#This Row],[PredictedWinner]], "Y", "N"))</f>
        <v>N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5" s="2">
        <v>1</v>
      </c>
      <c r="S455" s="2" t="str">
        <f t="shared" si="41"/>
        <v>PHI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1</v>
      </c>
      <c r="AG455" s="2">
        <f>Table2[[#This Row],[ActualHomeScore]]-Table2[[#This Row],[PredictedHomeScore]]</f>
        <v>-1</v>
      </c>
      <c r="AH455" s="2">
        <f t="shared" si="42"/>
        <v>-2</v>
      </c>
      <c r="AI455" s="2">
        <f t="shared" si="43"/>
        <v>-3</v>
      </c>
      <c r="AJ455" s="2">
        <v>1</v>
      </c>
      <c r="AK455" s="3">
        <v>45998</v>
      </c>
      <c r="AL455" s="2">
        <f>IF(Table2[[#This Row],[GameIsOver]]=0,0,IF(Table2[[#This Row],[ActualWinner]]=Table2[[#This Row],[AwayTeam]], 1, 0))</f>
        <v>1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1-0-0</v>
      </c>
      <c r="AP455" s="2" t="str">
        <f>INDEX(Sheet5!$B$2:$AG$33, MATCH(Table2[[#This Row],[HomeTeam]],Sheet5!$A$2:$A$33, 0), MATCH(Table2[[#This Row],[AwayTeam]],Sheet5!$A$2:$A$33, 0))</f>
        <v>0-1-0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0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>
        <v>45998</v>
      </c>
      <c r="B456" s="3">
        <v>45998</v>
      </c>
      <c r="C456" s="5">
        <v>2025020454</v>
      </c>
      <c r="D456" s="2" t="s">
        <v>32</v>
      </c>
      <c r="E456" s="2" t="s">
        <v>13</v>
      </c>
      <c r="F456" s="2">
        <v>2</v>
      </c>
      <c r="G456" s="2">
        <v>4</v>
      </c>
      <c r="H456" s="2" t="str">
        <f t="shared" si="39"/>
        <v>FLA</v>
      </c>
      <c r="I456" s="2" t="s">
        <v>718</v>
      </c>
      <c r="J456" s="2">
        <v>1</v>
      </c>
      <c r="K456" s="2">
        <v>4</v>
      </c>
      <c r="L456" s="2" t="str">
        <f t="shared" si="40"/>
        <v>FLA</v>
      </c>
      <c r="M456" s="2" t="s">
        <v>718</v>
      </c>
      <c r="N456" s="2">
        <f>IF(ISBLANK(Table2[[#This Row],[ActualResult]]), 0, 1)</f>
        <v>1</v>
      </c>
      <c r="O456" s="2" t="str">
        <f>IF(ISBLANK(Table2[[#This Row],[ActualResult]]), "_", IF(Table2[[#This Row],[ActualWinner]]=Table2[[#This Row],[PredictedWinner]], "Y", "N"))</f>
        <v>Y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56" s="2">
        <v>1</v>
      </c>
      <c r="S456" s="2" t="str">
        <f t="shared" si="41"/>
        <v>NYI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-1</v>
      </c>
      <c r="AG456" s="2">
        <f>Table2[[#This Row],[ActualHomeScore]]-Table2[[#This Row],[PredictedHomeScore]]</f>
        <v>0</v>
      </c>
      <c r="AH456" s="2">
        <f t="shared" si="42"/>
        <v>-2</v>
      </c>
      <c r="AI456" s="2">
        <f t="shared" si="43"/>
        <v>-3</v>
      </c>
      <c r="AJ456" s="2">
        <v>2</v>
      </c>
      <c r="AK456" s="3">
        <v>45998</v>
      </c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1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0-1-0</v>
      </c>
      <c r="AP456" s="2" t="str">
        <f>INDEX(Sheet5!$B$2:$AG$33, MATCH(Table2[[#This Row],[HomeTeam]],Sheet5!$A$2:$A$33, 0), MATCH(Table2[[#This Row],[AwayTeam]],Sheet5!$A$2:$A$33, 0))</f>
        <v>1-0-0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0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>
        <v>45998</v>
      </c>
      <c r="B457" s="3">
        <v>45998</v>
      </c>
      <c r="C457" s="5">
        <v>2025020455</v>
      </c>
      <c r="D457" s="2" t="s">
        <v>37</v>
      </c>
      <c r="E457" s="2" t="s">
        <v>41</v>
      </c>
      <c r="F457" s="2">
        <v>2</v>
      </c>
      <c r="G457" s="2">
        <v>3</v>
      </c>
      <c r="H457" s="2" t="str">
        <f t="shared" si="39"/>
        <v>CAR</v>
      </c>
      <c r="I457" s="2" t="s">
        <v>719</v>
      </c>
      <c r="J457" s="2">
        <v>4</v>
      </c>
      <c r="K457" s="2">
        <v>1</v>
      </c>
      <c r="L457" s="2" t="str">
        <f t="shared" si="40"/>
        <v>SJS</v>
      </c>
      <c r="M457" s="2" t="s">
        <v>718</v>
      </c>
      <c r="N457" s="2">
        <f>IF(ISBLANK(Table2[[#This Row],[ActualResult]]), 0, 1)</f>
        <v>1</v>
      </c>
      <c r="O457" s="2" t="str">
        <f>IF(ISBLANK(Table2[[#This Row],[ActualResult]]), "_", IF(Table2[[#This Row],[ActualWinner]]=Table2[[#This Row],[PredictedWinner]], "Y", "N"))</f>
        <v>N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7" s="2">
        <v>1</v>
      </c>
      <c r="S457" s="2" t="str">
        <f t="shared" si="41"/>
        <v>CAR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2</v>
      </c>
      <c r="AG457" s="2">
        <f>Table2[[#This Row],[ActualHomeScore]]-Table2[[#This Row],[PredictedHomeScore]]</f>
        <v>-2</v>
      </c>
      <c r="AH457" s="2">
        <f t="shared" si="42"/>
        <v>-2</v>
      </c>
      <c r="AI457" s="2">
        <f t="shared" si="43"/>
        <v>-3</v>
      </c>
      <c r="AJ457" s="2">
        <v>3</v>
      </c>
      <c r="AK457" s="3">
        <v>45998</v>
      </c>
      <c r="AL457" s="2">
        <f>IF(Table2[[#This Row],[GameIsOver]]=0,0,IF(Table2[[#This Row],[ActualWinner]]=Table2[[#This Row],[AwayTeam]], 1, 0))</f>
        <v>1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1-1-0</v>
      </c>
      <c r="AP457" s="2" t="str">
        <f>INDEX(Sheet5!$B$2:$AG$33, MATCH(Table2[[#This Row],[HomeTeam]],Sheet5!$A$2:$A$33, 0), MATCH(Table2[[#This Row],[AwayTeam]],Sheet5!$A$2:$A$33, 0))</f>
        <v>1-1-0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0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>
        <v>45998</v>
      </c>
      <c r="B458" s="3">
        <v>45998</v>
      </c>
      <c r="C458" s="5">
        <v>2025020456</v>
      </c>
      <c r="D458" s="2" t="s">
        <v>20</v>
      </c>
      <c r="E458" s="2" t="s">
        <v>33</v>
      </c>
      <c r="F458" s="2">
        <v>3</v>
      </c>
      <c r="G458" s="2">
        <v>2</v>
      </c>
      <c r="H458" s="2" t="str">
        <f t="shared" si="39"/>
        <v>PIT</v>
      </c>
      <c r="I458" s="2" t="s">
        <v>720</v>
      </c>
      <c r="J458" s="2">
        <v>2</v>
      </c>
      <c r="K458" s="2">
        <v>3</v>
      </c>
      <c r="L458" s="2" t="str">
        <f t="shared" si="40"/>
        <v>DAL</v>
      </c>
      <c r="M458" s="2" t="s">
        <v>719</v>
      </c>
      <c r="N458" s="2">
        <f>IF(ISBLANK(Table2[[#This Row],[ActualResult]]), 0, 1)</f>
        <v>1</v>
      </c>
      <c r="O458" s="2" t="str">
        <f>IF(ISBLANK(Table2[[#This Row],[ActualResult]]), "_", IF(Table2[[#This Row],[ActualWinner]]=Table2[[#This Row],[PredictedWinner]], "Y", "N"))</f>
        <v>N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8" s="2">
        <v>1</v>
      </c>
      <c r="S458" s="2" t="str">
        <f t="shared" si="41"/>
        <v>PIT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-1</v>
      </c>
      <c r="AG458" s="2">
        <f>Table2[[#This Row],[ActualHomeScore]]-Table2[[#This Row],[PredictedHomeScore]]</f>
        <v>1</v>
      </c>
      <c r="AH458" s="2">
        <f t="shared" si="42"/>
        <v>-2</v>
      </c>
      <c r="AI458" s="2">
        <f t="shared" si="43"/>
        <v>-3</v>
      </c>
      <c r="AJ458" s="2">
        <v>4</v>
      </c>
      <c r="AK458" s="3">
        <v>45998</v>
      </c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1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0-0-1</v>
      </c>
      <c r="AP458" s="2" t="str">
        <f>INDEX(Sheet5!$B$2:$AG$33, MATCH(Table2[[#This Row],[HomeTeam]],Sheet5!$A$2:$A$33, 0), MATCH(Table2[[#This Row],[AwayTeam]],Sheet5!$A$2:$A$33, 0))</f>
        <v>1-0-0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0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>
        <v>45998</v>
      </c>
      <c r="B459" s="3">
        <v>45998</v>
      </c>
      <c r="C459" s="5">
        <v>2025020457</v>
      </c>
      <c r="D459" s="2" t="s">
        <v>12</v>
      </c>
      <c r="E459" s="2" t="s">
        <v>18</v>
      </c>
      <c r="F459" s="2">
        <v>2</v>
      </c>
      <c r="G459" s="2">
        <v>4</v>
      </c>
      <c r="H459" s="2" t="str">
        <f t="shared" si="39"/>
        <v>MTL</v>
      </c>
      <c r="I459" s="2" t="s">
        <v>718</v>
      </c>
      <c r="J459" s="2">
        <v>4</v>
      </c>
      <c r="K459" s="2">
        <v>3</v>
      </c>
      <c r="L459" s="2" t="str">
        <f t="shared" si="40"/>
        <v>STL</v>
      </c>
      <c r="M459" s="2" t="s">
        <v>718</v>
      </c>
      <c r="N459" s="2">
        <f>IF(ISBLANK(Table2[[#This Row],[ActualResult]]), 0, 1)</f>
        <v>1</v>
      </c>
      <c r="O459" s="2" t="str">
        <f>IF(ISBLANK(Table2[[#This Row],[ActualResult]]), "_", IF(Table2[[#This Row],[ActualWinner]]=Table2[[#This Row],[PredictedWinner]], "Y", "N"))</f>
        <v>N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9" s="2">
        <v>1</v>
      </c>
      <c r="S459" s="2" t="str">
        <f t="shared" si="41"/>
        <v>MTL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9" s="2">
        <f>Table2[[#This Row],[ActualAwayScore]]-Table2[[#This Row],[PredictedAwayScore]]</f>
        <v>2</v>
      </c>
      <c r="AG459" s="2">
        <f>Table2[[#This Row],[ActualHomeScore]]-Table2[[#This Row],[PredictedHomeScore]]</f>
        <v>-1</v>
      </c>
      <c r="AH459" s="2">
        <f t="shared" si="42"/>
        <v>-2</v>
      </c>
      <c r="AI459" s="2">
        <f t="shared" si="43"/>
        <v>-3</v>
      </c>
      <c r="AJ459" s="2">
        <v>5</v>
      </c>
      <c r="AK459" s="3">
        <v>45998</v>
      </c>
      <c r="AL459" s="2">
        <f>IF(Table2[[#This Row],[GameIsOver]]=0,0,IF(Table2[[#This Row],[ActualWinner]]=Table2[[#This Row],[AwayTeam]], 1, 0))</f>
        <v>1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1-0-0</v>
      </c>
      <c r="AP459" s="2" t="str">
        <f>INDEX(Sheet5!$B$2:$AG$33, MATCH(Table2[[#This Row],[HomeTeam]],Sheet5!$A$2:$A$33, 0), MATCH(Table2[[#This Row],[AwayTeam]],Sheet5!$A$2:$A$33, 0))</f>
        <v>0-1-0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0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>
        <v>45998</v>
      </c>
      <c r="B460" s="3">
        <v>45998</v>
      </c>
      <c r="C460" s="5">
        <v>2025020458</v>
      </c>
      <c r="D460" s="2" t="s">
        <v>26</v>
      </c>
      <c r="E460" s="2" t="s">
        <v>19</v>
      </c>
      <c r="F460" s="2">
        <v>3</v>
      </c>
      <c r="G460" s="2">
        <v>4</v>
      </c>
      <c r="H460" s="2" t="str">
        <f t="shared" si="39"/>
        <v>NYR</v>
      </c>
      <c r="I460" s="2" t="s">
        <v>718</v>
      </c>
      <c r="J460" s="2">
        <v>3</v>
      </c>
      <c r="K460" s="2">
        <v>2</v>
      </c>
      <c r="L460" s="2" t="str">
        <f t="shared" si="40"/>
        <v>VGK</v>
      </c>
      <c r="M460" s="2" t="s">
        <v>720</v>
      </c>
      <c r="N460" s="2">
        <f>IF(ISBLANK(Table2[[#This Row],[ActualResult]]), 0, 1)</f>
        <v>1</v>
      </c>
      <c r="O460" s="2" t="str">
        <f>IF(ISBLANK(Table2[[#This Row],[ActualResult]]), "_", IF(Table2[[#This Row],[ActualWinner]]=Table2[[#This Row],[PredictedWinner]], "Y", "N"))</f>
        <v>N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0" s="2">
        <v>1</v>
      </c>
      <c r="S460" s="2" t="str">
        <f t="shared" si="41"/>
        <v>NYR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-2</v>
      </c>
      <c r="AH460" s="2">
        <f t="shared" si="42"/>
        <v>-2</v>
      </c>
      <c r="AI460" s="2">
        <f t="shared" si="43"/>
        <v>-3</v>
      </c>
      <c r="AJ460" s="2">
        <v>6</v>
      </c>
      <c r="AK460" s="3">
        <v>45998</v>
      </c>
      <c r="AL460" s="2">
        <f>IF(Table2[[#This Row],[GameIsOver]]=0,0,IF(Table2[[#This Row],[ActualWinner]]=Table2[[#This Row],[AwayTeam]], 1, 0))</f>
        <v>1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2-0-0</v>
      </c>
      <c r="AP460" s="2" t="str">
        <f>INDEX(Sheet5!$B$2:$AG$33, MATCH(Table2[[#This Row],[HomeTeam]],Sheet5!$A$2:$A$33, 0), MATCH(Table2[[#This Row],[AwayTeam]],Sheet5!$A$2:$A$33, 0))</f>
        <v>0-1-1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0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>
        <v>45998</v>
      </c>
      <c r="B461" s="3">
        <v>45998</v>
      </c>
      <c r="C461" s="5">
        <v>2025020459</v>
      </c>
      <c r="D461" s="2" t="s">
        <v>35</v>
      </c>
      <c r="E461" s="2" t="s">
        <v>43</v>
      </c>
      <c r="F461" s="2">
        <v>2</v>
      </c>
      <c r="G461" s="2">
        <v>4</v>
      </c>
      <c r="H461" s="2" t="str">
        <f t="shared" si="39"/>
        <v>WSH</v>
      </c>
      <c r="I461" s="2" t="s">
        <v>718</v>
      </c>
      <c r="J461" s="2">
        <v>0</v>
      </c>
      <c r="K461" s="2">
        <v>2</v>
      </c>
      <c r="L461" s="2" t="str">
        <f t="shared" si="40"/>
        <v>WSH</v>
      </c>
      <c r="M461" s="2" t="s">
        <v>718</v>
      </c>
      <c r="N461" s="2">
        <f>IF(ISBLANK(Table2[[#This Row],[ActualResult]]), 0, 1)</f>
        <v>1</v>
      </c>
      <c r="O461" s="2" t="str">
        <f>IF(ISBLANK(Table2[[#This Row],[ActualResult]]), "_", IF(Table2[[#This Row],[ActualWinner]]=Table2[[#This Row],[PredictedWinner]], "Y", "N"))</f>
        <v>Y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1" s="2">
        <v>1</v>
      </c>
      <c r="S461" s="2" t="str">
        <f t="shared" si="41"/>
        <v>CBJ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1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1" s="2">
        <f>Table2[[#This Row],[ActualAwayScore]]-Table2[[#This Row],[PredictedAwayScore]]</f>
        <v>-2</v>
      </c>
      <c r="AG461" s="2">
        <f>Table2[[#This Row],[ActualHomeScore]]-Table2[[#This Row],[PredictedHomeScore]]</f>
        <v>-2</v>
      </c>
      <c r="AH461" s="2">
        <f t="shared" si="42"/>
        <v>-2</v>
      </c>
      <c r="AI461" s="2">
        <f t="shared" si="43"/>
        <v>-3</v>
      </c>
      <c r="AJ461" s="2">
        <v>7</v>
      </c>
      <c r="AK461" s="3">
        <v>45998</v>
      </c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1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0-3-0</v>
      </c>
      <c r="AP461" s="2" t="str">
        <f>INDEX(Sheet5!$B$2:$AG$33, MATCH(Table2[[#This Row],[HomeTeam]],Sheet5!$A$2:$A$33, 0), MATCH(Table2[[#This Row],[AwayTeam]],Sheet5!$A$2:$A$33, 0))</f>
        <v>3-0-0</v>
      </c>
      <c r="AQ461" s="2">
        <f>IF(Table2[[#This Row],[GameHasShutOut]], 1, 0)</f>
        <v>1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141">
        <v>45998</v>
      </c>
      <c r="B462" s="141">
        <v>45998</v>
      </c>
      <c r="C462" s="142">
        <v>2025020460</v>
      </c>
      <c r="D462" s="143" t="s">
        <v>16</v>
      </c>
      <c r="E462" s="143" t="s">
        <v>44</v>
      </c>
      <c r="F462" s="143">
        <v>4</v>
      </c>
      <c r="G462" s="143">
        <v>3</v>
      </c>
      <c r="H462" s="143" t="str">
        <f t="shared" si="39"/>
        <v>CHI</v>
      </c>
      <c r="I462" s="143" t="s">
        <v>720</v>
      </c>
      <c r="J462" s="143">
        <v>1</v>
      </c>
      <c r="K462" s="143">
        <v>7</v>
      </c>
      <c r="L462" s="143" t="str">
        <f t="shared" si="40"/>
        <v>ANA</v>
      </c>
      <c r="M462" s="143" t="s">
        <v>718</v>
      </c>
      <c r="N462" s="143">
        <f>IF(ISBLANK(Table2[[#This Row],[ActualResult]]), 0, 1)</f>
        <v>1</v>
      </c>
      <c r="O462" s="143" t="str">
        <f>IF(ISBLANK(Table2[[#This Row],[ActualResult]]), "_", IF(Table2[[#This Row],[ActualWinner]]=Table2[[#This Row],[PredictedWinner]], "Y", "N"))</f>
        <v>N</v>
      </c>
      <c r="P4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2" s="143">
        <v>1</v>
      </c>
      <c r="S462" s="143" t="str">
        <f t="shared" si="41"/>
        <v>CHI</v>
      </c>
      <c r="T4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143">
        <f>IF(Table2[[#This Row],[InterConf]]=1,IF(Table2[[#This Row],[InterDiv]]=0, 1, 0), 0)</f>
        <v>1</v>
      </c>
      <c r="W4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143"/>
      <c r="Y462" s="143"/>
      <c r="Z462" s="149">
        <f>IF(AND(Table2[[#This Row],[GameIsOver]]=1,Table2[[#This Row],[ActualHomeScore]]*Table2[[#This Row],[ActualAwayScore]]=0), 1,0)</f>
        <v>0</v>
      </c>
      <c r="AA4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6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2" s="143">
        <f>Table2[[#This Row],[ActualAwayScore]]-Table2[[#This Row],[PredictedAwayScore]]</f>
        <v>-3</v>
      </c>
      <c r="AG462" s="143">
        <f>Table2[[#This Row],[ActualHomeScore]]-Table2[[#This Row],[PredictedHomeScore]]</f>
        <v>4</v>
      </c>
      <c r="AH462" s="143">
        <f t="shared" si="42"/>
        <v>-2</v>
      </c>
      <c r="AI462" s="143">
        <f t="shared" si="43"/>
        <v>-3</v>
      </c>
      <c r="AJ462" s="143">
        <v>8</v>
      </c>
      <c r="AK462" s="141">
        <v>45998</v>
      </c>
      <c r="AL462" s="143">
        <f>IF(Table2[[#This Row],[GameIsOver]]=0,0,IF(Table2[[#This Row],[ActualWinner]]=Table2[[#This Row],[AwayTeam]], 1, 0))</f>
        <v>0</v>
      </c>
      <c r="AM462" s="143">
        <f>IF(Table2[[#This Row],[GameIsOver]]=0,0,IF(Table2[[#This Row],[ActualWinner]]=Table2[[#This Row],[HomeTeam]], 1, 0))</f>
        <v>1</v>
      </c>
      <c r="AN4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143" t="str">
        <f>INDEX(Sheet5!$B$2:$AG$33, MATCH(Table2[[#This Row],[AwayTeam]],Sheet5!$A$2:$A$33, 0), MATCH(Table2[[#This Row],[HomeTeam]],Sheet5!$A$2:$A$33, 0))</f>
        <v>2-1-0</v>
      </c>
      <c r="AP462" s="143" t="str">
        <f>INDEX(Sheet5!$B$2:$AG$33, MATCH(Table2[[#This Row],[HomeTeam]],Sheet5!$A$2:$A$33, 0), MATCH(Table2[[#This Row],[AwayTeam]],Sheet5!$A$2:$A$33, 0))</f>
        <v>1-1-1</v>
      </c>
      <c r="AQ462" s="143">
        <f>IF(Table2[[#This Row],[GameHasShutOut]], 1, 0)</f>
        <v>0</v>
      </c>
      <c r="AR462" s="143">
        <f>IF(Table2[[#This Row],[ActualAwayScore]] + Table2[[#This Row],[ActualHomeScore]] &gt;= 10, 1, 0)</f>
        <v>0</v>
      </c>
      <c r="AS462" s="143">
        <f>IF(ABS(Table2[[#This Row],[ActualAwayScore]]-Table2[[#This Row],[ActualHomeScore]])&gt;=5, 1, 0)</f>
        <v>1</v>
      </c>
      <c r="AT462" s="143">
        <f>IF(Table2[[#This Row],[ActualAwayScore]] + Table2[[#This Row],[ActualHomeScore]] &lt;= 3, 1, 0)</f>
        <v>0</v>
      </c>
      <c r="AU46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>
        <v>45999</v>
      </c>
      <c r="B463" s="3">
        <v>45999</v>
      </c>
      <c r="C463" s="5">
        <v>2025020461</v>
      </c>
      <c r="D463" s="2" t="s">
        <v>40</v>
      </c>
      <c r="E463" s="2" t="s">
        <v>17</v>
      </c>
      <c r="F463" s="2">
        <v>4</v>
      </c>
      <c r="G463" s="2">
        <v>3</v>
      </c>
      <c r="H463" s="2" t="str">
        <f t="shared" si="39"/>
        <v>TBL</v>
      </c>
      <c r="I463" s="2" t="s">
        <v>718</v>
      </c>
      <c r="J463" s="2">
        <v>0</v>
      </c>
      <c r="K463" s="2">
        <v>2</v>
      </c>
      <c r="L463" s="2" t="str">
        <f t="shared" si="40"/>
        <v>TOR</v>
      </c>
      <c r="M463" s="2" t="s">
        <v>718</v>
      </c>
      <c r="N463" s="2">
        <f>IF(ISBLANK(Table2[[#This Row],[ActualResult]]), 0, 1)</f>
        <v>1</v>
      </c>
      <c r="O463" s="2" t="str">
        <f>IF(ISBLANK(Table2[[#This Row],[ActualResult]]), "_", IF(Table2[[#This Row],[ActualWinner]]=Table2[[#This Row],[PredictedWinner]], "Y", "N"))</f>
        <v>N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3" s="2">
        <v>1</v>
      </c>
      <c r="S463" s="2" t="str">
        <f t="shared" si="41"/>
        <v>TBL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1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3" s="2">
        <f>Table2[[#This Row],[ActualAwayScore]]-Table2[[#This Row],[PredictedAwayScore]]</f>
        <v>-4</v>
      </c>
      <c r="AG463" s="2">
        <f>Table2[[#This Row],[ActualHomeScore]]-Table2[[#This Row],[PredictedHomeScore]]</f>
        <v>-1</v>
      </c>
      <c r="AH463" s="2">
        <f t="shared" si="42"/>
        <v>0</v>
      </c>
      <c r="AI463" s="2">
        <f t="shared" si="43"/>
        <v>-3</v>
      </c>
      <c r="AJ463" s="2">
        <v>1</v>
      </c>
      <c r="AK463" s="3">
        <v>45999</v>
      </c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1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0-1-0</v>
      </c>
      <c r="AP463" s="2" t="str">
        <f>INDEX(Sheet5!$B$2:$AG$33, MATCH(Table2[[#This Row],[HomeTeam]],Sheet5!$A$2:$A$33, 0), MATCH(Table2[[#This Row],[AwayTeam]],Sheet5!$A$2:$A$33, 0))</f>
        <v>1-0-0</v>
      </c>
      <c r="AQ463" s="2">
        <f>IF(Table2[[#This Row],[GameHasShutOut]], 1, 0)</f>
        <v>1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>
        <v>45999</v>
      </c>
      <c r="B464" s="3">
        <v>45999</v>
      </c>
      <c r="C464" s="5">
        <v>2025020462</v>
      </c>
      <c r="D464" s="2" t="s">
        <v>27</v>
      </c>
      <c r="E464" s="2" t="s">
        <v>14</v>
      </c>
      <c r="F464" s="2">
        <v>3</v>
      </c>
      <c r="G464" s="2">
        <v>2</v>
      </c>
      <c r="H464" s="2" t="str">
        <f t="shared" si="39"/>
        <v>LAK</v>
      </c>
      <c r="I464" s="2" t="s">
        <v>718</v>
      </c>
      <c r="J464" s="2">
        <v>4</v>
      </c>
      <c r="K464" s="2">
        <v>2</v>
      </c>
      <c r="L464" s="2" t="str">
        <f t="shared" si="40"/>
        <v>LAK</v>
      </c>
      <c r="M464" s="2" t="s">
        <v>718</v>
      </c>
      <c r="N464" s="2">
        <f>IF(ISBLANK(Table2[[#This Row],[ActualResult]]), 0, 1)</f>
        <v>1</v>
      </c>
      <c r="O464" s="2" t="str">
        <f>IF(ISBLANK(Table2[[#This Row],[ActualResult]]), "_", IF(Table2[[#This Row],[ActualWinner]]=Table2[[#This Row],[PredictedWinner]], "Y", "N"))</f>
        <v>Y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4" s="2">
        <v>1</v>
      </c>
      <c r="S464" s="2" t="str">
        <f t="shared" si="41"/>
        <v>UTA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4" s="2">
        <f>Table2[[#This Row],[ActualAwayScore]]-Table2[[#This Row],[PredictedAwayScore]]</f>
        <v>1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-3</v>
      </c>
      <c r="AJ464" s="2">
        <v>3</v>
      </c>
      <c r="AK464" s="3">
        <v>45999</v>
      </c>
      <c r="AL464" s="2">
        <f>IF(Table2[[#This Row],[GameIsOver]]=0,0,IF(Table2[[#This Row],[ActualWinner]]=Table2[[#This Row],[AwayTeam]], 1, 0))</f>
        <v>1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1-0-0</v>
      </c>
      <c r="AP464" s="2" t="str">
        <f>INDEX(Sheet5!$B$2:$AG$33, MATCH(Table2[[#This Row],[HomeTeam]],Sheet5!$A$2:$A$33, 0), MATCH(Table2[[#This Row],[AwayTeam]],Sheet5!$A$2:$A$33, 0))</f>
        <v>0-1-0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0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>
        <v>45999</v>
      </c>
      <c r="B465" s="3">
        <v>45999</v>
      </c>
      <c r="C465" s="5">
        <v>2025020463</v>
      </c>
      <c r="D465" s="2" t="s">
        <v>28</v>
      </c>
      <c r="E465" s="2" t="s">
        <v>23</v>
      </c>
      <c r="F465" s="2">
        <v>3</v>
      </c>
      <c r="G465" s="2">
        <v>4</v>
      </c>
      <c r="H465" s="2" t="str">
        <f t="shared" si="39"/>
        <v>CGY</v>
      </c>
      <c r="I465" s="2" t="s">
        <v>720</v>
      </c>
      <c r="J465" s="2">
        <v>4</v>
      </c>
      <c r="K465" s="2">
        <v>7</v>
      </c>
      <c r="L465" s="2" t="str">
        <f t="shared" si="40"/>
        <v>CGY</v>
      </c>
      <c r="M465" s="2" t="s">
        <v>718</v>
      </c>
      <c r="N465" s="2">
        <f>IF(ISBLANK(Table2[[#This Row],[ActualResult]]), 0, 1)</f>
        <v>1</v>
      </c>
      <c r="O465" s="2" t="str">
        <f>IF(ISBLANK(Table2[[#This Row],[ActualResult]]), "_", IF(Table2[[#This Row],[ActualWinner]]=Table2[[#This Row],[PredictedWinner]], "Y", "N"))</f>
        <v>Y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5" s="2">
        <v>1</v>
      </c>
      <c r="S465" s="2" t="str">
        <f t="shared" si="41"/>
        <v>BUF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5" s="2">
        <f>Table2[[#This Row],[ActualAwayScore]]-Table2[[#This Row],[PredictedAwayScore]]</f>
        <v>1</v>
      </c>
      <c r="AG465" s="2">
        <f>Table2[[#This Row],[ActualHomeScore]]-Table2[[#This Row],[PredictedHomeScore]]</f>
        <v>3</v>
      </c>
      <c r="AH465" s="2">
        <f t="shared" si="42"/>
        <v>0</v>
      </c>
      <c r="AI465" s="2">
        <f t="shared" si="43"/>
        <v>-3</v>
      </c>
      <c r="AJ465" s="2">
        <v>2</v>
      </c>
      <c r="AK465" s="3">
        <v>45999</v>
      </c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1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0-2-0</v>
      </c>
      <c r="AP465" s="2" t="str">
        <f>INDEX(Sheet5!$B$2:$AG$33, MATCH(Table2[[#This Row],[HomeTeam]],Sheet5!$A$2:$A$33, 0), MATCH(Table2[[#This Row],[AwayTeam]],Sheet5!$A$2:$A$33, 0))</f>
        <v>2-0-0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1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0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>
        <v>45999</v>
      </c>
      <c r="B466" s="3">
        <v>45999</v>
      </c>
      <c r="C466" s="5">
        <v>2025020464</v>
      </c>
      <c r="D466" s="2" t="s">
        <v>30</v>
      </c>
      <c r="E466" s="2" t="s">
        <v>24</v>
      </c>
      <c r="F466" s="2">
        <v>3</v>
      </c>
      <c r="G466" s="2">
        <v>2</v>
      </c>
      <c r="H466" s="2" t="str">
        <f t="shared" si="39"/>
        <v>DET</v>
      </c>
      <c r="I466" s="2" t="s">
        <v>719</v>
      </c>
      <c r="J466" s="2">
        <v>4</v>
      </c>
      <c r="K466" s="2">
        <v>0</v>
      </c>
      <c r="L466" s="2" t="str">
        <f t="shared" si="40"/>
        <v>DET</v>
      </c>
      <c r="M466" s="2" t="s">
        <v>718</v>
      </c>
      <c r="N466" s="2">
        <f>IF(ISBLANK(Table2[[#This Row],[ActualResult]]), 0, 1)</f>
        <v>1</v>
      </c>
      <c r="O466" s="2" t="str">
        <f>IF(ISBLANK(Table2[[#This Row],[ActualResult]]), "_", IF(Table2[[#This Row],[ActualWinner]]=Table2[[#This Row],[PredictedWinner]], "Y", "N"))</f>
        <v>Y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6" s="2">
        <v>1</v>
      </c>
      <c r="S466" s="2" t="str">
        <f t="shared" si="41"/>
        <v>VAN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1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6" s="2">
        <f>Table2[[#This Row],[ActualAwayScore]]-Table2[[#This Row],[PredictedAwayScore]]</f>
        <v>1</v>
      </c>
      <c r="AG466" s="2">
        <f>Table2[[#This Row],[ActualHomeScore]]-Table2[[#This Row],[PredictedHomeScore]]</f>
        <v>-2</v>
      </c>
      <c r="AH466" s="2">
        <f t="shared" si="42"/>
        <v>0</v>
      </c>
      <c r="AI466" s="2">
        <f t="shared" si="43"/>
        <v>-3</v>
      </c>
      <c r="AJ466" s="2">
        <v>4</v>
      </c>
      <c r="AK466" s="3">
        <v>45999</v>
      </c>
      <c r="AL466" s="2">
        <f>IF(Table2[[#This Row],[GameIsOver]]=0,0,IF(Table2[[#This Row],[ActualWinner]]=Table2[[#This Row],[AwayTeam]], 1, 0))</f>
        <v>1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1-0-0</v>
      </c>
      <c r="AP466" s="2" t="str">
        <f>INDEX(Sheet5!$B$2:$AG$33, MATCH(Table2[[#This Row],[HomeTeam]],Sheet5!$A$2:$A$33, 0), MATCH(Table2[[#This Row],[AwayTeam]],Sheet5!$A$2:$A$33, 0))</f>
        <v>0-1-0</v>
      </c>
      <c r="AQ466" s="2">
        <f>IF(Table2[[#This Row],[GameHasShutOut]], 1, 0)</f>
        <v>1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0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141">
        <v>45999</v>
      </c>
      <c r="B467" s="141">
        <v>45999</v>
      </c>
      <c r="C467" s="142">
        <v>2025020465</v>
      </c>
      <c r="D467" s="143" t="s">
        <v>36</v>
      </c>
      <c r="E467" s="143" t="s">
        <v>11</v>
      </c>
      <c r="F467" s="143">
        <v>3</v>
      </c>
      <c r="G467" s="143">
        <v>4</v>
      </c>
      <c r="H467" s="143" t="str">
        <f t="shared" si="39"/>
        <v>SEA</v>
      </c>
      <c r="I467" s="143" t="s">
        <v>720</v>
      </c>
      <c r="J467" s="143">
        <v>4</v>
      </c>
      <c r="K467" s="143">
        <v>1</v>
      </c>
      <c r="L467" s="143" t="str">
        <f t="shared" si="40"/>
        <v>MIN</v>
      </c>
      <c r="M467" s="143" t="s">
        <v>718</v>
      </c>
      <c r="N467" s="143">
        <f>IF(ISBLANK(Table2[[#This Row],[ActualResult]]), 0, 1)</f>
        <v>1</v>
      </c>
      <c r="O467" s="143" t="str">
        <f>IF(ISBLANK(Table2[[#This Row],[ActualResult]]), "_", IF(Table2[[#This Row],[ActualWinner]]=Table2[[#This Row],[PredictedWinner]], "Y", "N"))</f>
        <v>N</v>
      </c>
      <c r="P4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7" s="143">
        <v>1</v>
      </c>
      <c r="S467" s="143" t="str">
        <f t="shared" si="41"/>
        <v>SEA</v>
      </c>
      <c r="T4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143">
        <f>IF(Table2[[#This Row],[InterConf]]=1,IF(Table2[[#This Row],[InterDiv]]=0, 1, 0), 0)</f>
        <v>1</v>
      </c>
      <c r="W4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143"/>
      <c r="Y467" s="143"/>
      <c r="Z467" s="149">
        <f>IF(AND(Table2[[#This Row],[GameIsOver]]=1,Table2[[#This Row],[ActualHomeScore]]*Table2[[#This Row],[ActualAwayScore]]=0), 1,0)</f>
        <v>0</v>
      </c>
      <c r="AA4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7" s="143">
        <f>Table2[[#This Row],[ActualAwayScore]]-Table2[[#This Row],[PredictedAwayScore]]</f>
        <v>1</v>
      </c>
      <c r="AG467" s="143">
        <f>Table2[[#This Row],[ActualHomeScore]]-Table2[[#This Row],[PredictedHomeScore]]</f>
        <v>-3</v>
      </c>
      <c r="AH467" s="143">
        <f t="shared" si="42"/>
        <v>0</v>
      </c>
      <c r="AI467" s="143">
        <f t="shared" si="43"/>
        <v>-3</v>
      </c>
      <c r="AJ467" s="143">
        <v>5</v>
      </c>
      <c r="AK467" s="141">
        <v>46000</v>
      </c>
      <c r="AL467" s="143">
        <f>IF(Table2[[#This Row],[GameIsOver]]=0,0,IF(Table2[[#This Row],[ActualWinner]]=Table2[[#This Row],[AwayTeam]], 1, 0))</f>
        <v>1</v>
      </c>
      <c r="AM467" s="143">
        <f>IF(Table2[[#This Row],[GameIsOver]]=0,0,IF(Table2[[#This Row],[ActualWinner]]=Table2[[#This Row],[HomeTeam]], 1, 0))</f>
        <v>0</v>
      </c>
      <c r="AN4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143" t="str">
        <f>INDEX(Sheet5!$B$2:$AG$33, MATCH(Table2[[#This Row],[AwayTeam]],Sheet5!$A$2:$A$33, 0), MATCH(Table2[[#This Row],[HomeTeam]],Sheet5!$A$2:$A$33, 0))</f>
        <v>1-0-0</v>
      </c>
      <c r="AP467" s="143" t="str">
        <f>INDEX(Sheet5!$B$2:$AG$33, MATCH(Table2[[#This Row],[HomeTeam]],Sheet5!$A$2:$A$33, 0), MATCH(Table2[[#This Row],[AwayTeam]],Sheet5!$A$2:$A$33, 0))</f>
        <v>0-1-0</v>
      </c>
      <c r="AQ467" s="143">
        <f>IF(Table2[[#This Row],[GameHasShutOut]], 1, 0)</f>
        <v>0</v>
      </c>
      <c r="AR467" s="143">
        <f>IF(Table2[[#This Row],[ActualAwayScore]] + Table2[[#This Row],[ActualHomeScore]] &gt;= 10, 1, 0)</f>
        <v>0</v>
      </c>
      <c r="AS467" s="143">
        <f>IF(ABS(Table2[[#This Row],[ActualAwayScore]]-Table2[[#This Row],[ActualHomeScore]])&gt;=5, 1, 0)</f>
        <v>0</v>
      </c>
      <c r="AT467" s="143">
        <f>IF(Table2[[#This Row],[ActualAwayScore]] + Table2[[#This Row],[ActualHomeScore]] &lt;= 3, 1, 0)</f>
        <v>0</v>
      </c>
      <c r="AU4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>
        <v>46000</v>
      </c>
      <c r="B468" s="3">
        <v>46000</v>
      </c>
      <c r="C468" s="5">
        <v>2025020466</v>
      </c>
      <c r="D468" s="2" t="s">
        <v>40</v>
      </c>
      <c r="E468" s="2" t="s">
        <v>18</v>
      </c>
      <c r="F468" s="2">
        <v>3</v>
      </c>
      <c r="G468" s="2">
        <v>2</v>
      </c>
      <c r="H468" s="2" t="str">
        <f t="shared" si="39"/>
        <v>TBL</v>
      </c>
      <c r="I468" s="2" t="s">
        <v>720</v>
      </c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8" s="2">
        <f>Table2[[#This Row],[ActualAwayScore]]-Table2[[#This Row],[PredictedAwayScore]]</f>
        <v>-3</v>
      </c>
      <c r="AG468" s="2">
        <f>Table2[[#This Row],[ActualHomeScore]]-Table2[[#This Row],[PredictedHomeScore]]</f>
        <v>-2</v>
      </c>
      <c r="AH468" s="2">
        <f t="shared" si="42"/>
        <v>-27</v>
      </c>
      <c r="AI468" s="2">
        <f t="shared" si="43"/>
        <v>-28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>
        <v>46000</v>
      </c>
      <c r="B469" s="3">
        <v>46000</v>
      </c>
      <c r="C469" s="5">
        <v>2025020467</v>
      </c>
      <c r="D469" s="2" t="s">
        <v>31</v>
      </c>
      <c r="E469" s="2" t="s">
        <v>29</v>
      </c>
      <c r="F469" s="2">
        <v>2</v>
      </c>
      <c r="G469" s="2">
        <v>3</v>
      </c>
      <c r="H469" s="2" t="str">
        <f t="shared" si="39"/>
        <v>OTT</v>
      </c>
      <c r="I469" s="2" t="s">
        <v>718</v>
      </c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9" s="2">
        <f>Table2[[#This Row],[ActualAwayScore]]-Table2[[#This Row],[PredictedAwayScore]]</f>
        <v>-2</v>
      </c>
      <c r="AG469" s="2">
        <f>Table2[[#This Row],[ActualHomeScore]]-Table2[[#This Row],[PredictedHomeScore]]</f>
        <v>-3</v>
      </c>
      <c r="AH469" s="2">
        <f t="shared" si="42"/>
        <v>-27</v>
      </c>
      <c r="AI469" s="2">
        <f t="shared" si="43"/>
        <v>-28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>
        <v>46000</v>
      </c>
      <c r="B470" s="3">
        <v>46000</v>
      </c>
      <c r="C470" s="5">
        <v>2025020468</v>
      </c>
      <c r="D470" s="2" t="s">
        <v>26</v>
      </c>
      <c r="E470" s="2" t="s">
        <v>32</v>
      </c>
      <c r="F470" s="2">
        <v>1</v>
      </c>
      <c r="G470" s="2">
        <v>2</v>
      </c>
      <c r="H470" s="2" t="str">
        <f t="shared" si="39"/>
        <v>NYI</v>
      </c>
      <c r="I470" s="2" t="s">
        <v>719</v>
      </c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0" s="2">
        <f>Table2[[#This Row],[ActualAwayScore]]-Table2[[#This Row],[PredictedAwayScore]]</f>
        <v>-1</v>
      </c>
      <c r="AG470" s="2">
        <f>Table2[[#This Row],[ActualHomeScore]]-Table2[[#This Row],[PredictedHomeScore]]</f>
        <v>-2</v>
      </c>
      <c r="AH470" s="2">
        <f t="shared" si="42"/>
        <v>-27</v>
      </c>
      <c r="AI470" s="2">
        <f t="shared" si="43"/>
        <v>-28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>
        <v>46000</v>
      </c>
      <c r="B471" s="3">
        <v>46000</v>
      </c>
      <c r="C471" s="5">
        <v>2025020469</v>
      </c>
      <c r="D471" s="2" t="s">
        <v>37</v>
      </c>
      <c r="E471" s="2" t="s">
        <v>42</v>
      </c>
      <c r="F471" s="2">
        <v>3</v>
      </c>
      <c r="G471" s="2">
        <v>2</v>
      </c>
      <c r="H471" s="2" t="str">
        <f t="shared" si="39"/>
        <v>SJS</v>
      </c>
      <c r="I471" s="2" t="s">
        <v>718</v>
      </c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1" s="2">
        <f>Table2[[#This Row],[ActualAwayScore]]-Table2[[#This Row],[PredictedAwayScore]]</f>
        <v>-3</v>
      </c>
      <c r="AG471" s="2">
        <f>Table2[[#This Row],[ActualHomeScore]]-Table2[[#This Row],[PredictedHomeScore]]</f>
        <v>-2</v>
      </c>
      <c r="AH471" s="2">
        <f t="shared" si="42"/>
        <v>-27</v>
      </c>
      <c r="AI471" s="2">
        <f t="shared" si="43"/>
        <v>-28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>
        <v>46000</v>
      </c>
      <c r="B472" s="3">
        <v>46000</v>
      </c>
      <c r="C472" s="5">
        <v>2025020470</v>
      </c>
      <c r="D472" s="2" t="s">
        <v>44</v>
      </c>
      <c r="E472" s="2" t="s">
        <v>20</v>
      </c>
      <c r="F472" s="2">
        <v>2</v>
      </c>
      <c r="G472" s="2">
        <v>4</v>
      </c>
      <c r="H472" s="2" t="str">
        <f t="shared" si="39"/>
        <v>PIT</v>
      </c>
      <c r="I472" s="2" t="s">
        <v>718</v>
      </c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2" s="2">
        <f>Table2[[#This Row],[ActualAwayScore]]-Table2[[#This Row],[PredictedAwayScore]]</f>
        <v>-2</v>
      </c>
      <c r="AG472" s="2">
        <f>Table2[[#This Row],[ActualHomeScore]]-Table2[[#This Row],[PredictedHomeScore]]</f>
        <v>-4</v>
      </c>
      <c r="AH472" s="2">
        <f t="shared" si="42"/>
        <v>-27</v>
      </c>
      <c r="AI472" s="2">
        <f t="shared" si="43"/>
        <v>-28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>
        <v>46000</v>
      </c>
      <c r="B473" s="3">
        <v>46000</v>
      </c>
      <c r="C473" s="5">
        <v>2025020471</v>
      </c>
      <c r="D473" s="2" t="s">
        <v>35</v>
      </c>
      <c r="E473" s="2" t="s">
        <v>41</v>
      </c>
      <c r="F473" s="2">
        <v>2</v>
      </c>
      <c r="G473" s="2">
        <v>4</v>
      </c>
      <c r="H473" s="2" t="str">
        <f t="shared" si="39"/>
        <v>CAR</v>
      </c>
      <c r="I473" s="2" t="s">
        <v>718</v>
      </c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3" s="2">
        <f>Table2[[#This Row],[ActualAwayScore]]-Table2[[#This Row],[PredictedAwayScore]]</f>
        <v>-2</v>
      </c>
      <c r="AG473" s="2">
        <f>Table2[[#This Row],[ActualHomeScore]]-Table2[[#This Row],[PredictedHomeScore]]</f>
        <v>-4</v>
      </c>
      <c r="AH473" s="2">
        <f t="shared" si="42"/>
        <v>-27</v>
      </c>
      <c r="AI473" s="2">
        <f t="shared" si="43"/>
        <v>-28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>
        <v>46000</v>
      </c>
      <c r="B474" s="3">
        <v>46000</v>
      </c>
      <c r="C474" s="5">
        <v>2025020472</v>
      </c>
      <c r="D474" s="2" t="s">
        <v>15</v>
      </c>
      <c r="E474" s="2" t="s">
        <v>12</v>
      </c>
      <c r="F474" s="2">
        <v>4</v>
      </c>
      <c r="G474" s="2">
        <v>2</v>
      </c>
      <c r="H474" s="2" t="str">
        <f t="shared" si="39"/>
        <v>BOS</v>
      </c>
      <c r="I474" s="2" t="s">
        <v>718</v>
      </c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4" s="2">
        <f>Table2[[#This Row],[ActualAwayScore]]-Table2[[#This Row],[PredictedAwayScore]]</f>
        <v>-4</v>
      </c>
      <c r="AG474" s="2">
        <f>Table2[[#This Row],[ActualHomeScore]]-Table2[[#This Row],[PredictedHomeScore]]</f>
        <v>-2</v>
      </c>
      <c r="AH474" s="2">
        <f t="shared" si="42"/>
        <v>-27</v>
      </c>
      <c r="AI474" s="2">
        <f t="shared" si="43"/>
        <v>-28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1-0-0</v>
      </c>
      <c r="AP474" s="2" t="str">
        <f>INDEX(Sheet5!$B$2:$AG$33, MATCH(Table2[[#This Row],[HomeTeam]],Sheet5!$A$2:$A$33, 0), MATCH(Table2[[#This Row],[AwayTeam]],Sheet5!$A$2:$A$33, 0))</f>
        <v>0-1-0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>
        <v>46000</v>
      </c>
      <c r="B475" s="3">
        <v>46000</v>
      </c>
      <c r="C475" s="5">
        <v>2025020473</v>
      </c>
      <c r="D475" s="2" t="s">
        <v>33</v>
      </c>
      <c r="E475" s="2" t="s">
        <v>21</v>
      </c>
      <c r="F475" s="2">
        <v>4</v>
      </c>
      <c r="G475" s="2">
        <v>2</v>
      </c>
      <c r="H475" s="2" t="str">
        <f t="shared" si="39"/>
        <v>DAL</v>
      </c>
      <c r="I475" s="2" t="s">
        <v>718</v>
      </c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5" s="2">
        <f>Table2[[#This Row],[ActualAwayScore]]-Table2[[#This Row],[PredictedAwayScore]]</f>
        <v>-4</v>
      </c>
      <c r="AG475" s="2">
        <f>Table2[[#This Row],[ActualHomeScore]]-Table2[[#This Row],[PredictedHomeScore]]</f>
        <v>-2</v>
      </c>
      <c r="AH475" s="2">
        <f t="shared" si="42"/>
        <v>-27</v>
      </c>
      <c r="AI475" s="2">
        <f t="shared" si="43"/>
        <v>-28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>
        <v>46000</v>
      </c>
      <c r="B476" s="3">
        <v>46000</v>
      </c>
      <c r="C476" s="5">
        <v>2025020474</v>
      </c>
      <c r="D476" s="2" t="s">
        <v>28</v>
      </c>
      <c r="E476" s="2" t="s">
        <v>22</v>
      </c>
      <c r="F476" s="2">
        <v>3</v>
      </c>
      <c r="G476" s="2">
        <v>5</v>
      </c>
      <c r="H476" s="2" t="str">
        <f t="shared" si="39"/>
        <v>EDM</v>
      </c>
      <c r="I476" s="2" t="s">
        <v>718</v>
      </c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6" s="2">
        <f>Table2[[#This Row],[ActualAwayScore]]-Table2[[#This Row],[PredictedAwayScore]]</f>
        <v>-3</v>
      </c>
      <c r="AG476" s="2">
        <f>Table2[[#This Row],[ActualHomeScore]]-Table2[[#This Row],[PredictedHomeScore]]</f>
        <v>-5</v>
      </c>
      <c r="AH476" s="2">
        <f t="shared" si="42"/>
        <v>-27</v>
      </c>
      <c r="AI476" s="2">
        <f t="shared" si="43"/>
        <v>-28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141">
        <v>46000</v>
      </c>
      <c r="B477" s="141">
        <v>46000</v>
      </c>
      <c r="C477" s="142">
        <v>2025020475</v>
      </c>
      <c r="D477" s="143" t="s">
        <v>25</v>
      </c>
      <c r="E477" s="143" t="s">
        <v>34</v>
      </c>
      <c r="F477" s="143">
        <v>3</v>
      </c>
      <c r="G477" s="143">
        <v>2</v>
      </c>
      <c r="H477" s="143" t="str">
        <f t="shared" si="39"/>
        <v>COL</v>
      </c>
      <c r="I477" s="143" t="s">
        <v>720</v>
      </c>
      <c r="J477" s="143"/>
      <c r="K477" s="143"/>
      <c r="L477" s="143" t="str">
        <f t="shared" si="40"/>
        <v>_</v>
      </c>
      <c r="M477" s="143"/>
      <c r="N477" s="143">
        <f>IF(ISBLANK(Table2[[#This Row],[ActualResult]]), 0, 1)</f>
        <v>0</v>
      </c>
      <c r="O477" s="143" t="str">
        <f>IF(ISBLANK(Table2[[#This Row],[ActualResult]]), "_", IF(Table2[[#This Row],[ActualWinner]]=Table2[[#This Row],[PredictedWinner]], "Y", "N"))</f>
        <v>_</v>
      </c>
      <c r="P4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143"/>
      <c r="S477" s="143" t="str">
        <f t="shared" si="41"/>
        <v>_</v>
      </c>
      <c r="T4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143">
        <f>IF(Table2[[#This Row],[InterConf]]=1,IF(Table2[[#This Row],[InterDiv]]=0, 1, 0), 0)</f>
        <v>0</v>
      </c>
      <c r="W4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143"/>
      <c r="Y477" s="143"/>
      <c r="Z477" s="149">
        <f>IF(AND(Table2[[#This Row],[GameIsOver]]=1,Table2[[#This Row],[ActualHomeScore]]*Table2[[#This Row],[ActualAwayScore]]=0), 1,0)</f>
        <v>0</v>
      </c>
      <c r="AA4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7" s="143">
        <f>Table2[[#This Row],[ActualAwayScore]]-Table2[[#This Row],[PredictedAwayScore]]</f>
        <v>-3</v>
      </c>
      <c r="AG477" s="143">
        <f>Table2[[#This Row],[ActualHomeScore]]-Table2[[#This Row],[PredictedHomeScore]]</f>
        <v>-2</v>
      </c>
      <c r="AH477" s="143">
        <f t="shared" si="42"/>
        <v>-27</v>
      </c>
      <c r="AI477" s="143">
        <f t="shared" si="43"/>
        <v>-28</v>
      </c>
      <c r="AJ477" s="143"/>
      <c r="AK477" s="143"/>
      <c r="AL477" s="143">
        <f>IF(Table2[[#This Row],[GameIsOver]]=0,0,IF(Table2[[#This Row],[ActualWinner]]=Table2[[#This Row],[AwayTeam]], 1, 0))</f>
        <v>0</v>
      </c>
      <c r="AM477" s="143">
        <f>IF(Table2[[#This Row],[GameIsOver]]=0,0,IF(Table2[[#This Row],[ActualWinner]]=Table2[[#This Row],[HomeTeam]], 1, 0))</f>
        <v>0</v>
      </c>
      <c r="AN477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143" t="str">
        <f>INDEX(Sheet5!$B$2:$AG$33, MATCH(Table2[[#This Row],[AwayTeam]],Sheet5!$A$2:$A$33, 0), MATCH(Table2[[#This Row],[HomeTeam]],Sheet5!$A$2:$A$33, 0))</f>
        <v>1-0-0</v>
      </c>
      <c r="AP477" s="143" t="str">
        <f>INDEX(Sheet5!$B$2:$AG$33, MATCH(Table2[[#This Row],[HomeTeam]],Sheet5!$A$2:$A$33, 0), MATCH(Table2[[#This Row],[AwayTeam]],Sheet5!$A$2:$A$33, 0))</f>
        <v>0-1-0</v>
      </c>
      <c r="AQ477" s="143">
        <f>IF(Table2[[#This Row],[GameHasShutOut]], 1, 0)</f>
        <v>0</v>
      </c>
      <c r="AR477" s="143">
        <f>IF(Table2[[#This Row],[ActualAwayScore]] + Table2[[#This Row],[ActualHomeScore]] &gt;= 10, 1, 0)</f>
        <v>0</v>
      </c>
      <c r="AS477" s="143">
        <f>IF(ABS(Table2[[#This Row],[ActualAwayScore]]-Table2[[#This Row],[ActualHomeScore]])&gt;=5, 1, 0)</f>
        <v>0</v>
      </c>
      <c r="AT477" s="143">
        <f>IF(Table2[[#This Row],[ActualAwayScore]] + Table2[[#This Row],[ActualHomeScore]] &lt;= 3, 1, 0)</f>
        <v>1</v>
      </c>
      <c r="AU4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46001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46001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46001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141"/>
      <c r="B481" s="141">
        <v>46001</v>
      </c>
      <c r="C481" s="142">
        <v>2025020479</v>
      </c>
      <c r="D481" s="143" t="s">
        <v>27</v>
      </c>
      <c r="E481" s="143" t="s">
        <v>11</v>
      </c>
      <c r="F481" s="143"/>
      <c r="G481" s="143"/>
      <c r="H481" s="143" t="str">
        <f t="shared" si="39"/>
        <v>_</v>
      </c>
      <c r="I481" s="143"/>
      <c r="J481" s="143"/>
      <c r="K481" s="143"/>
      <c r="L481" s="143" t="str">
        <f t="shared" si="40"/>
        <v>_</v>
      </c>
      <c r="M481" s="143"/>
      <c r="N481" s="143">
        <f>IF(ISBLANK(Table2[[#This Row],[ActualResult]]), 0, 1)</f>
        <v>0</v>
      </c>
      <c r="O481" s="143" t="str">
        <f>IF(ISBLANK(Table2[[#This Row],[ActualResult]]), "_", IF(Table2[[#This Row],[ActualWinner]]=Table2[[#This Row],[PredictedWinner]], "Y", "N"))</f>
        <v>_</v>
      </c>
      <c r="P4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143"/>
      <c r="S481" s="143" t="str">
        <f t="shared" si="41"/>
        <v>_</v>
      </c>
      <c r="T4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143">
        <f>IF(Table2[[#This Row],[InterConf]]=1,IF(Table2[[#This Row],[InterDiv]]=0, 1, 0), 0)</f>
        <v>0</v>
      </c>
      <c r="W4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143"/>
      <c r="Y481" s="143"/>
      <c r="Z481" s="149">
        <f>IF(AND(Table2[[#This Row],[GameIsOver]]=1,Table2[[#This Row],[ActualHomeScore]]*Table2[[#This Row],[ActualAwayScore]]=0), 1,0)</f>
        <v>0</v>
      </c>
      <c r="AA48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1" s="143">
        <f>Table2[[#This Row],[ActualAwayScore]]-Table2[[#This Row],[PredictedAwayScore]]</f>
        <v>0</v>
      </c>
      <c r="AG481" s="143">
        <f>Table2[[#This Row],[ActualHomeScore]]-Table2[[#This Row],[PredictedHomeScore]]</f>
        <v>0</v>
      </c>
      <c r="AH481" s="143">
        <f t="shared" si="42"/>
        <v>0</v>
      </c>
      <c r="AI481" s="143">
        <f t="shared" si="43"/>
        <v>0</v>
      </c>
      <c r="AJ481" s="143"/>
      <c r="AK481" s="143"/>
      <c r="AL481" s="143">
        <f>IF(Table2[[#This Row],[GameIsOver]]=0,0,IF(Table2[[#This Row],[ActualWinner]]=Table2[[#This Row],[AwayTeam]], 1, 0))</f>
        <v>0</v>
      </c>
      <c r="AM481" s="143">
        <f>IF(Table2[[#This Row],[GameIsOver]]=0,0,IF(Table2[[#This Row],[ActualWinner]]=Table2[[#This Row],[HomeTeam]], 1, 0))</f>
        <v>0</v>
      </c>
      <c r="AN48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143" t="str">
        <f>INDEX(Sheet5!$B$2:$AG$33, MATCH(Table2[[#This Row],[AwayTeam]],Sheet5!$A$2:$A$33, 0), MATCH(Table2[[#This Row],[HomeTeam]],Sheet5!$A$2:$A$33, 0))</f>
        <v>0-0-0</v>
      </c>
      <c r="AP481" s="143" t="str">
        <f>INDEX(Sheet5!$B$2:$AG$33, MATCH(Table2[[#This Row],[HomeTeam]],Sheet5!$A$2:$A$33, 0), MATCH(Table2[[#This Row],[AwayTeam]],Sheet5!$A$2:$A$33, 0))</f>
        <v>0-0-0</v>
      </c>
      <c r="AQ481" s="143">
        <f>IF(Table2[[#This Row],[GameHasShutOut]], 1, 0)</f>
        <v>0</v>
      </c>
      <c r="AR481" s="143">
        <f>IF(Table2[[#This Row],[ActualAwayScore]] + Table2[[#This Row],[ActualHomeScore]] &gt;= 10, 1, 0)</f>
        <v>0</v>
      </c>
      <c r="AS481" s="143">
        <f>IF(ABS(Table2[[#This Row],[ActualAwayScore]]-Table2[[#This Row],[ActualHomeScore]])&gt;=5, 1, 0)</f>
        <v>0</v>
      </c>
      <c r="AT481" s="143">
        <f>IF(Table2[[#This Row],[ActualAwayScore]] + Table2[[#This Row],[ActualHomeScore]] &lt;= 3, 1, 0)</f>
        <v>1</v>
      </c>
      <c r="AU48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46002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46002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46002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46002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46002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46002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46002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46002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46002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46002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46002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46002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141"/>
      <c r="B494" s="141">
        <v>46002</v>
      </c>
      <c r="C494" s="142">
        <v>2025020492</v>
      </c>
      <c r="D494" s="143" t="s">
        <v>28</v>
      </c>
      <c r="E494" s="143" t="s">
        <v>24</v>
      </c>
      <c r="F494" s="143"/>
      <c r="G494" s="143"/>
      <c r="H494" s="143" t="str">
        <f t="shared" si="39"/>
        <v>_</v>
      </c>
      <c r="I494" s="143"/>
      <c r="J494" s="143"/>
      <c r="K494" s="143"/>
      <c r="L494" s="143" t="str">
        <f t="shared" si="40"/>
        <v>_</v>
      </c>
      <c r="M494" s="143"/>
      <c r="N494" s="143">
        <f>IF(ISBLANK(Table2[[#This Row],[ActualResult]]), 0, 1)</f>
        <v>0</v>
      </c>
      <c r="O494" s="143" t="str">
        <f>IF(ISBLANK(Table2[[#This Row],[ActualResult]]), "_", IF(Table2[[#This Row],[ActualWinner]]=Table2[[#This Row],[PredictedWinner]], "Y", "N"))</f>
        <v>_</v>
      </c>
      <c r="P4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143"/>
      <c r="S494" s="143" t="str">
        <f t="shared" si="41"/>
        <v>_</v>
      </c>
      <c r="T4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143">
        <f>IF(Table2[[#This Row],[InterConf]]=1,IF(Table2[[#This Row],[InterDiv]]=0, 1, 0), 0)</f>
        <v>0</v>
      </c>
      <c r="W4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143"/>
      <c r="Y494" s="143"/>
      <c r="Z494" s="149">
        <f>IF(AND(Table2[[#This Row],[GameIsOver]]=1,Table2[[#This Row],[ActualHomeScore]]*Table2[[#This Row],[ActualAwayScore]]=0), 1,0)</f>
        <v>0</v>
      </c>
      <c r="AA4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4" s="143">
        <f>Table2[[#This Row],[ActualAwayScore]]-Table2[[#This Row],[PredictedAwayScore]]</f>
        <v>0</v>
      </c>
      <c r="AG494" s="143">
        <f>Table2[[#This Row],[ActualHomeScore]]-Table2[[#This Row],[PredictedHomeScore]]</f>
        <v>0</v>
      </c>
      <c r="AH494" s="143">
        <f t="shared" si="42"/>
        <v>0</v>
      </c>
      <c r="AI494" s="143">
        <f t="shared" si="43"/>
        <v>0</v>
      </c>
      <c r="AJ494" s="143"/>
      <c r="AK494" s="141"/>
      <c r="AL494" s="143">
        <f>IF(Table2[[#This Row],[GameIsOver]]=0,0,IF(Table2[[#This Row],[ActualWinner]]=Table2[[#This Row],[AwayTeam]], 1, 0))</f>
        <v>0</v>
      </c>
      <c r="AM494" s="143">
        <f>IF(Table2[[#This Row],[GameIsOver]]=0,0,IF(Table2[[#This Row],[ActualWinner]]=Table2[[#This Row],[HomeTeam]], 1, 0))</f>
        <v>0</v>
      </c>
      <c r="AN4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143" t="str">
        <f>INDEX(Sheet5!$B$2:$AG$33, MATCH(Table2[[#This Row],[AwayTeam]],Sheet5!$A$2:$A$33, 0), MATCH(Table2[[#This Row],[HomeTeam]],Sheet5!$A$2:$A$33, 0))</f>
        <v>0-0-0</v>
      </c>
      <c r="AP494" s="143" t="str">
        <f>INDEX(Sheet5!$B$2:$AG$33, MATCH(Table2[[#This Row],[HomeTeam]],Sheet5!$A$2:$A$33, 0), MATCH(Table2[[#This Row],[AwayTeam]],Sheet5!$A$2:$A$33, 0))</f>
        <v>0-0-0</v>
      </c>
      <c r="AQ494" s="143">
        <f>IF(Table2[[#This Row],[GameHasShutOut]], 1, 0)</f>
        <v>0</v>
      </c>
      <c r="AR494" s="143">
        <f>IF(Table2[[#This Row],[ActualAwayScore]] + Table2[[#This Row],[ActualHomeScore]] &gt;= 10, 1, 0)</f>
        <v>0</v>
      </c>
      <c r="AS494" s="143">
        <f>IF(ABS(Table2[[#This Row],[ActualAwayScore]]-Table2[[#This Row],[ActualHomeScore]])&gt;=5, 1, 0)</f>
        <v>0</v>
      </c>
      <c r="AT494" s="143">
        <f>IF(Table2[[#This Row],[ActualAwayScore]] + Table2[[#This Row],[ActualHomeScore]] &lt;= 3, 1, 0)</f>
        <v>1</v>
      </c>
      <c r="AU49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46003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141"/>
      <c r="B496" s="141">
        <v>46003</v>
      </c>
      <c r="C496" s="142">
        <v>2025020494</v>
      </c>
      <c r="D496" s="143" t="s">
        <v>11</v>
      </c>
      <c r="E496" s="143" t="s">
        <v>14</v>
      </c>
      <c r="F496" s="143"/>
      <c r="G496" s="143"/>
      <c r="H496" s="143" t="str">
        <f t="shared" si="39"/>
        <v>_</v>
      </c>
      <c r="I496" s="143"/>
      <c r="J496" s="143"/>
      <c r="K496" s="143"/>
      <c r="L496" s="143" t="str">
        <f t="shared" si="40"/>
        <v>_</v>
      </c>
      <c r="M496" s="143"/>
      <c r="N496" s="143">
        <f>IF(ISBLANK(Table2[[#This Row],[ActualResult]]), 0, 1)</f>
        <v>0</v>
      </c>
      <c r="O496" s="143" t="str">
        <f>IF(ISBLANK(Table2[[#This Row],[ActualResult]]), "_", IF(Table2[[#This Row],[ActualWinner]]=Table2[[#This Row],[PredictedWinner]], "Y", "N"))</f>
        <v>_</v>
      </c>
      <c r="P49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143"/>
      <c r="S496" s="143" t="str">
        <f t="shared" si="41"/>
        <v>_</v>
      </c>
      <c r="T49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143">
        <f>IF(Table2[[#This Row],[InterConf]]=1,IF(Table2[[#This Row],[InterDiv]]=0, 1, 0), 0)</f>
        <v>1</v>
      </c>
      <c r="W49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143"/>
      <c r="Y496" s="143"/>
      <c r="Z496" s="149">
        <f>IF(AND(Table2[[#This Row],[GameIsOver]]=1,Table2[[#This Row],[ActualHomeScore]]*Table2[[#This Row],[ActualAwayScore]]=0), 1,0)</f>
        <v>0</v>
      </c>
      <c r="AA49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6" s="143">
        <f>Table2[[#This Row],[ActualAwayScore]]-Table2[[#This Row],[PredictedAwayScore]]</f>
        <v>0</v>
      </c>
      <c r="AG496" s="143">
        <f>Table2[[#This Row],[ActualHomeScore]]-Table2[[#This Row],[PredictedHomeScore]]</f>
        <v>0</v>
      </c>
      <c r="AH496" s="143">
        <f t="shared" si="42"/>
        <v>0</v>
      </c>
      <c r="AI496" s="143">
        <f t="shared" si="43"/>
        <v>0</v>
      </c>
      <c r="AJ496" s="143"/>
      <c r="AK496" s="141"/>
      <c r="AL496" s="143">
        <f>IF(Table2[[#This Row],[GameIsOver]]=0,0,IF(Table2[[#This Row],[ActualWinner]]=Table2[[#This Row],[AwayTeam]], 1, 0))</f>
        <v>0</v>
      </c>
      <c r="AM496" s="143">
        <f>IF(Table2[[#This Row],[GameIsOver]]=0,0,IF(Table2[[#This Row],[ActualWinner]]=Table2[[#This Row],[HomeTeam]], 1, 0))</f>
        <v>0</v>
      </c>
      <c r="AN49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143" t="str">
        <f>INDEX(Sheet5!$B$2:$AG$33, MATCH(Table2[[#This Row],[AwayTeam]],Sheet5!$A$2:$A$33, 0), MATCH(Table2[[#This Row],[HomeTeam]],Sheet5!$A$2:$A$33, 0))</f>
        <v>0-0-0</v>
      </c>
      <c r="AP496" s="143" t="str">
        <f>INDEX(Sheet5!$B$2:$AG$33, MATCH(Table2[[#This Row],[HomeTeam]],Sheet5!$A$2:$A$33, 0), MATCH(Table2[[#This Row],[AwayTeam]],Sheet5!$A$2:$A$33, 0))</f>
        <v>0-0-0</v>
      </c>
      <c r="AQ496" s="143">
        <f>IF(Table2[[#This Row],[GameHasShutOut]], 1, 0)</f>
        <v>0</v>
      </c>
      <c r="AR496" s="143">
        <f>IF(Table2[[#This Row],[ActualAwayScore]] + Table2[[#This Row],[ActualHomeScore]] &gt;= 10, 1, 0)</f>
        <v>0</v>
      </c>
      <c r="AS496" s="143">
        <f>IF(ABS(Table2[[#This Row],[ActualAwayScore]]-Table2[[#This Row],[ActualHomeScore]])&gt;=5, 1, 0)</f>
        <v>0</v>
      </c>
      <c r="AT496" s="143">
        <f>IF(Table2[[#This Row],[ActualAwayScore]] + Table2[[#This Row],[ActualHomeScore]] &lt;= 3, 1, 0)</f>
        <v>1</v>
      </c>
      <c r="AU49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0-2-0</v>
      </c>
      <c r="AP500" s="2" t="str">
        <f>INDEX(Sheet5!$B$2:$AG$33, MATCH(Table2[[#This Row],[HomeTeam]],Sheet5!$A$2:$A$33, 0), MATCH(Table2[[#This Row],[AwayTeam]],Sheet5!$A$2:$A$33, 0))</f>
        <v>2-0-0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46004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46004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46004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46004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46004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1-0-0</v>
      </c>
      <c r="AP505" s="2" t="str">
        <f>INDEX(Sheet5!$B$2:$AG$33, MATCH(Table2[[#This Row],[HomeTeam]],Sheet5!$A$2:$A$33, 0), MATCH(Table2[[#This Row],[AwayTeam]],Sheet5!$A$2:$A$33, 0))</f>
        <v>0-1-0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46004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46004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46004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0-1-0</v>
      </c>
      <c r="AP508" s="2" t="str">
        <f>INDEX(Sheet5!$B$2:$AG$33, MATCH(Table2[[#This Row],[HomeTeam]],Sheet5!$A$2:$A$33, 0), MATCH(Table2[[#This Row],[AwayTeam]],Sheet5!$A$2:$A$33, 0))</f>
        <v>1-0-0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141"/>
      <c r="B509" s="141">
        <v>46004</v>
      </c>
      <c r="C509" s="142">
        <v>2025020507</v>
      </c>
      <c r="D509" s="143" t="s">
        <v>23</v>
      </c>
      <c r="E509" s="143" t="s">
        <v>27</v>
      </c>
      <c r="F509" s="143"/>
      <c r="G509" s="143"/>
      <c r="H509" s="143" t="str">
        <f t="shared" si="39"/>
        <v>_</v>
      </c>
      <c r="I509" s="143"/>
      <c r="J509" s="143"/>
      <c r="K509" s="143"/>
      <c r="L509" s="143" t="str">
        <f t="shared" si="40"/>
        <v>_</v>
      </c>
      <c r="M509" s="143"/>
      <c r="N509" s="143">
        <f>IF(ISBLANK(Table2[[#This Row],[ActualResult]]), 0, 1)</f>
        <v>0</v>
      </c>
      <c r="O509" s="143" t="str">
        <f>IF(ISBLANK(Table2[[#This Row],[ActualResult]]), "_", IF(Table2[[#This Row],[ActualWinner]]=Table2[[#This Row],[PredictedWinner]], "Y", "N"))</f>
        <v>_</v>
      </c>
      <c r="P5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143"/>
      <c r="S509" s="143" t="str">
        <f t="shared" si="41"/>
        <v>_</v>
      </c>
      <c r="T5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143">
        <f>IF(Table2[[#This Row],[InterConf]]=1,IF(Table2[[#This Row],[InterDiv]]=0, 1, 0), 0)</f>
        <v>0</v>
      </c>
      <c r="W5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143"/>
      <c r="Y509" s="143"/>
      <c r="Z509" s="149">
        <f>IF(AND(Table2[[#This Row],[GameIsOver]]=1,Table2[[#This Row],[ActualHomeScore]]*Table2[[#This Row],[ActualAwayScore]]=0), 1,0)</f>
        <v>0</v>
      </c>
      <c r="AA50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9" s="143">
        <f>Table2[[#This Row],[ActualAwayScore]]-Table2[[#This Row],[PredictedAwayScore]]</f>
        <v>0</v>
      </c>
      <c r="AG509" s="143">
        <f>Table2[[#This Row],[ActualHomeScore]]-Table2[[#This Row],[PredictedHomeScore]]</f>
        <v>0</v>
      </c>
      <c r="AH509" s="143">
        <f t="shared" si="42"/>
        <v>0</v>
      </c>
      <c r="AI509" s="143">
        <f t="shared" si="43"/>
        <v>0</v>
      </c>
      <c r="AJ509" s="143"/>
      <c r="AK509" s="141"/>
      <c r="AL509" s="143">
        <f>IF(Table2[[#This Row],[GameIsOver]]=0,0,IF(Table2[[#This Row],[ActualWinner]]=Table2[[#This Row],[AwayTeam]], 1, 0))</f>
        <v>0</v>
      </c>
      <c r="AM509" s="143">
        <f>IF(Table2[[#This Row],[GameIsOver]]=0,0,IF(Table2[[#This Row],[ActualWinner]]=Table2[[#This Row],[HomeTeam]], 1, 0))</f>
        <v>0</v>
      </c>
      <c r="AN50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143" t="str">
        <f>INDEX(Sheet5!$B$2:$AG$33, MATCH(Table2[[#This Row],[AwayTeam]],Sheet5!$A$2:$A$33, 0), MATCH(Table2[[#This Row],[HomeTeam]],Sheet5!$A$2:$A$33, 0))</f>
        <v>0-0-0</v>
      </c>
      <c r="AP509" s="143" t="str">
        <f>INDEX(Sheet5!$B$2:$AG$33, MATCH(Table2[[#This Row],[HomeTeam]],Sheet5!$A$2:$A$33, 0), MATCH(Table2[[#This Row],[AwayTeam]],Sheet5!$A$2:$A$33, 0))</f>
        <v>0-0-0</v>
      </c>
      <c r="AQ509" s="143">
        <f>IF(Table2[[#This Row],[GameHasShutOut]], 1, 0)</f>
        <v>0</v>
      </c>
      <c r="AR509" s="143">
        <f>IF(Table2[[#This Row],[ActualAwayScore]] + Table2[[#This Row],[ActualHomeScore]] &gt;= 10, 1, 0)</f>
        <v>0</v>
      </c>
      <c r="AS509" s="143">
        <f>IF(ABS(Table2[[#This Row],[ActualAwayScore]]-Table2[[#This Row],[ActualHomeScore]])&gt;=5, 1, 0)</f>
        <v>0</v>
      </c>
      <c r="AT509" s="143">
        <f>IF(Table2[[#This Row],[ActualAwayScore]] + Table2[[#This Row],[ActualHomeScore]] &lt;= 3, 1, 0)</f>
        <v>1</v>
      </c>
      <c r="AU50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1-0-0</v>
      </c>
      <c r="AP534" s="2" t="str">
        <f>INDEX(Sheet5!$B$2:$AG$33, MATCH(Table2[[#This Row],[HomeTeam]],Sheet5!$A$2:$A$33, 0), MATCH(Table2[[#This Row],[AwayTeam]],Sheet5!$A$2:$A$33, 0))</f>
        <v>0-1-0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0-1-0</v>
      </c>
      <c r="AP535" s="2" t="str">
        <f>INDEX(Sheet5!$B$2:$AG$33, MATCH(Table2[[#This Row],[HomeTeam]],Sheet5!$A$2:$A$33, 0), MATCH(Table2[[#This Row],[AwayTeam]],Sheet5!$A$2:$A$33, 0))</f>
        <v>1-0-0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1-0-0</v>
      </c>
      <c r="AP537" s="2" t="str">
        <f>INDEX(Sheet5!$B$2:$AG$33, MATCH(Table2[[#This Row],[HomeTeam]],Sheet5!$A$2:$A$33, 0), MATCH(Table2[[#This Row],[AwayTeam]],Sheet5!$A$2:$A$33, 0))</f>
        <v>0-1-0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1-0-0</v>
      </c>
      <c r="AP545" s="2" t="str">
        <f>INDEX(Sheet5!$B$2:$AG$33, MATCH(Table2[[#This Row],[HomeTeam]],Sheet5!$A$2:$A$33, 0), MATCH(Table2[[#This Row],[AwayTeam]],Sheet5!$A$2:$A$33, 0))</f>
        <v>0-1-0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0-1-0</v>
      </c>
      <c r="AP554" s="2" t="str">
        <f>INDEX(Sheet5!$B$2:$AG$33, MATCH(Table2[[#This Row],[HomeTeam]],Sheet5!$A$2:$A$33, 0), MATCH(Table2[[#This Row],[AwayTeam]],Sheet5!$A$2:$A$33, 0))</f>
        <v>1-0-0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1-0-0</v>
      </c>
      <c r="AP611" s="2" t="str">
        <f>INDEX(Sheet5!$B$2:$AG$33, MATCH(Table2[[#This Row],[HomeTeam]],Sheet5!$A$2:$A$33, 0), MATCH(Table2[[#This Row],[AwayTeam]],Sheet5!$A$2:$A$33, 0))</f>
        <v>0-1-0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0-1-0</v>
      </c>
      <c r="AP650" s="2" t="str">
        <f>INDEX(Sheet5!$B$2:$AG$33, MATCH(Table2[[#This Row],[HomeTeam]],Sheet5!$A$2:$A$33, 0), MATCH(Table2[[#This Row],[AwayTeam]],Sheet5!$A$2:$A$33, 0))</f>
        <v>1-0-0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2-0-0</v>
      </c>
      <c r="AP656" s="2" t="str">
        <f>INDEX(Sheet5!$B$2:$AG$33, MATCH(Table2[[#This Row],[HomeTeam]],Sheet5!$A$2:$A$33, 0), MATCH(Table2[[#This Row],[AwayTeam]],Sheet5!$A$2:$A$33, 0))</f>
        <v>0-2-0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1-0-0</v>
      </c>
      <c r="AP663" s="2" t="str">
        <f>INDEX(Sheet5!$B$2:$AG$33, MATCH(Table2[[#This Row],[HomeTeam]],Sheet5!$A$2:$A$33, 0), MATCH(Table2[[#This Row],[AwayTeam]],Sheet5!$A$2:$A$33, 0))</f>
        <v>0-0-1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1-0-0</v>
      </c>
      <c r="AP665" s="2" t="str">
        <f>INDEX(Sheet5!$B$2:$AG$33, MATCH(Table2[[#This Row],[HomeTeam]],Sheet5!$A$2:$A$33, 0), MATCH(Table2[[#This Row],[AwayTeam]],Sheet5!$A$2:$A$33, 0))</f>
        <v>0-0-1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0-1-0</v>
      </c>
      <c r="AP674" s="2" t="str">
        <f>INDEX(Sheet5!$B$2:$AG$33, MATCH(Table2[[#This Row],[HomeTeam]],Sheet5!$A$2:$A$33, 0), MATCH(Table2[[#This Row],[AwayTeam]],Sheet5!$A$2:$A$33, 0))</f>
        <v>1-0-0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0-1-0</v>
      </c>
      <c r="AP686" s="2" t="str">
        <f>INDEX(Sheet5!$B$2:$AG$33, MATCH(Table2[[#This Row],[HomeTeam]],Sheet5!$A$2:$A$33, 0), MATCH(Table2[[#This Row],[AwayTeam]],Sheet5!$A$2:$A$33, 0))</f>
        <v>1-0-0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1-0-0</v>
      </c>
      <c r="AP692" s="2" t="str">
        <f>INDEX(Sheet5!$B$2:$AG$33, MATCH(Table2[[#This Row],[HomeTeam]],Sheet5!$A$2:$A$33, 0), MATCH(Table2[[#This Row],[AwayTeam]],Sheet5!$A$2:$A$33, 0))</f>
        <v>0-1-0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1-0-0</v>
      </c>
      <c r="AP695" s="2" t="str">
        <f>INDEX(Sheet5!$B$2:$AG$33, MATCH(Table2[[#This Row],[HomeTeam]],Sheet5!$A$2:$A$33, 0), MATCH(Table2[[#This Row],[AwayTeam]],Sheet5!$A$2:$A$33, 0))</f>
        <v>0-1-0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1-1-0</v>
      </c>
      <c r="AP698" s="2" t="str">
        <f>INDEX(Sheet5!$B$2:$AG$33, MATCH(Table2[[#This Row],[HomeTeam]],Sheet5!$A$2:$A$33, 0), MATCH(Table2[[#This Row],[AwayTeam]],Sheet5!$A$2:$A$33, 0))</f>
        <v>1-1-0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1-0-0</v>
      </c>
      <c r="AP702" s="2" t="str">
        <f>INDEX(Sheet5!$B$2:$AG$33, MATCH(Table2[[#This Row],[HomeTeam]],Sheet5!$A$2:$A$33, 0), MATCH(Table2[[#This Row],[AwayTeam]],Sheet5!$A$2:$A$33, 0))</f>
        <v>0-1-0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2-0-0</v>
      </c>
      <c r="AP717" s="2" t="str">
        <f>INDEX(Sheet5!$B$2:$AG$33, MATCH(Table2[[#This Row],[HomeTeam]],Sheet5!$A$2:$A$33, 0), MATCH(Table2[[#This Row],[AwayTeam]],Sheet5!$A$2:$A$33, 0))</f>
        <v>0-1-1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0-1-0</v>
      </c>
      <c r="AP728" s="2" t="str">
        <f>INDEX(Sheet5!$B$2:$AG$33, MATCH(Table2[[#This Row],[HomeTeam]],Sheet5!$A$2:$A$33, 0), MATCH(Table2[[#This Row],[AwayTeam]],Sheet5!$A$2:$A$33, 0))</f>
        <v>1-0-0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1-0-1</v>
      </c>
      <c r="AP731" s="2" t="str">
        <f>INDEX(Sheet5!$B$2:$AG$33, MATCH(Table2[[#This Row],[HomeTeam]],Sheet5!$A$2:$A$33, 0), MATCH(Table2[[#This Row],[AwayTeam]],Sheet5!$A$2:$A$33, 0))</f>
        <v>1-1-0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1-0-0</v>
      </c>
      <c r="AP738" s="2" t="str">
        <f>INDEX(Sheet5!$B$2:$AG$33, MATCH(Table2[[#This Row],[HomeTeam]],Sheet5!$A$2:$A$33, 0), MATCH(Table2[[#This Row],[AwayTeam]],Sheet5!$A$2:$A$33, 0))</f>
        <v>0-1-0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0-1-0</v>
      </c>
      <c r="AP739" s="2" t="str">
        <f>INDEX(Sheet5!$B$2:$AG$33, MATCH(Table2[[#This Row],[HomeTeam]],Sheet5!$A$2:$A$33, 0), MATCH(Table2[[#This Row],[AwayTeam]],Sheet5!$A$2:$A$33, 0))</f>
        <v>1-0-0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0-1-0</v>
      </c>
      <c r="AP744" s="2" t="str">
        <f>INDEX(Sheet5!$B$2:$AG$33, MATCH(Table2[[#This Row],[HomeTeam]],Sheet5!$A$2:$A$33, 0), MATCH(Table2[[#This Row],[AwayTeam]],Sheet5!$A$2:$A$33, 0))</f>
        <v>1-0-0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0-1-0</v>
      </c>
      <c r="AP754" s="2" t="str">
        <f>INDEX(Sheet5!$B$2:$AG$33, MATCH(Table2[[#This Row],[HomeTeam]],Sheet5!$A$2:$A$33, 0), MATCH(Table2[[#This Row],[AwayTeam]],Sheet5!$A$2:$A$33, 0))</f>
        <v>1-0-0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1-0-0</v>
      </c>
      <c r="AP755" s="2" t="str">
        <f>INDEX(Sheet5!$B$2:$AG$33, MATCH(Table2[[#This Row],[HomeTeam]],Sheet5!$A$2:$A$33, 0), MATCH(Table2[[#This Row],[AwayTeam]],Sheet5!$A$2:$A$33, 0))</f>
        <v>0-0-1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1-1-0</v>
      </c>
      <c r="AP760" s="2" t="str">
        <f>INDEX(Sheet5!$B$2:$AG$33, MATCH(Table2[[#This Row],[HomeTeam]],Sheet5!$A$2:$A$33, 0), MATCH(Table2[[#This Row],[AwayTeam]],Sheet5!$A$2:$A$33, 0))</f>
        <v>1-0-1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0-0-1</v>
      </c>
      <c r="AP768" s="2" t="str">
        <f>INDEX(Sheet5!$B$2:$AG$33, MATCH(Table2[[#This Row],[HomeTeam]],Sheet5!$A$2:$A$33, 0), MATCH(Table2[[#This Row],[AwayTeam]],Sheet5!$A$2:$A$33, 0))</f>
        <v>1-0-0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0-1-0</v>
      </c>
      <c r="AP807" s="2" t="str">
        <f>INDEX(Sheet5!$B$2:$AG$33, MATCH(Table2[[#This Row],[HomeTeam]],Sheet5!$A$2:$A$33, 0), MATCH(Table2[[#This Row],[AwayTeam]],Sheet5!$A$2:$A$33, 0))</f>
        <v>1-0-0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1-1-0</v>
      </c>
      <c r="AP855" s="2" t="str">
        <f>INDEX(Sheet5!$B$2:$AG$33, MATCH(Table2[[#This Row],[HomeTeam]],Sheet5!$A$2:$A$33, 0), MATCH(Table2[[#This Row],[AwayTeam]],Sheet5!$A$2:$A$33, 0))</f>
        <v>1-1-0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1-0-0</v>
      </c>
      <c r="AP873" s="2" t="str">
        <f>INDEX(Sheet5!$B$2:$AG$33, MATCH(Table2[[#This Row],[HomeTeam]],Sheet5!$A$2:$A$33, 0), MATCH(Table2[[#This Row],[AwayTeam]],Sheet5!$A$2:$A$33, 0))</f>
        <v>0-1-0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0-1-0</v>
      </c>
      <c r="AP886" s="2" t="str">
        <f>INDEX(Sheet5!$B$2:$AG$33, MATCH(Table2[[#This Row],[HomeTeam]],Sheet5!$A$2:$A$33, 0), MATCH(Table2[[#This Row],[AwayTeam]],Sheet5!$A$2:$A$33, 0))</f>
        <v>1-0-0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1-0-0</v>
      </c>
      <c r="AP897" s="2" t="str">
        <f>INDEX(Sheet5!$B$2:$AG$33, MATCH(Table2[[#This Row],[HomeTeam]],Sheet5!$A$2:$A$33, 0), MATCH(Table2[[#This Row],[AwayTeam]],Sheet5!$A$2:$A$33, 0))</f>
        <v>0-0-1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1-0-0</v>
      </c>
      <c r="AP914" s="2" t="str">
        <f>INDEX(Sheet5!$B$2:$AG$33, MATCH(Table2[[#This Row],[HomeTeam]],Sheet5!$A$2:$A$33, 0), MATCH(Table2[[#This Row],[AwayTeam]],Sheet5!$A$2:$A$33, 0))</f>
        <v>0-1-0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1-0-0</v>
      </c>
      <c r="AP923" s="2" t="str">
        <f>INDEX(Sheet5!$B$2:$AG$33, MATCH(Table2[[#This Row],[HomeTeam]],Sheet5!$A$2:$A$33, 0), MATCH(Table2[[#This Row],[AwayTeam]],Sheet5!$A$2:$A$33, 0))</f>
        <v>0-1-0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1-0-0</v>
      </c>
      <c r="AP950" s="2" t="str">
        <f>INDEX(Sheet5!$B$2:$AG$33, MATCH(Table2[[#This Row],[HomeTeam]],Sheet5!$A$2:$A$33, 0), MATCH(Table2[[#This Row],[AwayTeam]],Sheet5!$A$2:$A$33, 0))</f>
        <v>0-1-0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1-0-0</v>
      </c>
      <c r="AP980" s="2" t="str">
        <f>INDEX(Sheet5!$B$2:$AG$33, MATCH(Table2[[#This Row],[HomeTeam]],Sheet5!$A$2:$A$33, 0), MATCH(Table2[[#This Row],[AwayTeam]],Sheet5!$A$2:$A$33, 0))</f>
        <v>0-0-1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0-1-0</v>
      </c>
      <c r="AP996" s="2" t="str">
        <f>INDEX(Sheet5!$B$2:$AG$33, MATCH(Table2[[#This Row],[HomeTeam]],Sheet5!$A$2:$A$33, 0), MATCH(Table2[[#This Row],[AwayTeam]],Sheet5!$A$2:$A$33, 0))</f>
        <v>1-0-0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1-1-1</v>
      </c>
      <c r="AP1016" s="2" t="str">
        <f>INDEX(Sheet5!$B$2:$AG$33, MATCH(Table2[[#This Row],[HomeTeam]],Sheet5!$A$2:$A$33, 0), MATCH(Table2[[#This Row],[AwayTeam]],Sheet5!$A$2:$A$33, 0))</f>
        <v>2-1-0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1-1-0</v>
      </c>
      <c r="AP1027" s="2" t="str">
        <f>INDEX(Sheet5!$B$2:$AG$33, MATCH(Table2[[#This Row],[HomeTeam]],Sheet5!$A$2:$A$33, 0), MATCH(Table2[[#This Row],[AwayTeam]],Sheet5!$A$2:$A$33, 0))</f>
        <v>1-0-1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0-0-1</v>
      </c>
      <c r="AP1033" s="2" t="str">
        <f>INDEX(Sheet5!$B$2:$AG$33, MATCH(Table2[[#This Row],[HomeTeam]],Sheet5!$A$2:$A$33, 0), MATCH(Table2[[#This Row],[AwayTeam]],Sheet5!$A$2:$A$33, 0))</f>
        <v>1-0-0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0-0-1</v>
      </c>
      <c r="AP1058" s="2" t="str">
        <f>INDEX(Sheet5!$B$2:$AG$33, MATCH(Table2[[#This Row],[HomeTeam]],Sheet5!$A$2:$A$33, 0), MATCH(Table2[[#This Row],[AwayTeam]],Sheet5!$A$2:$A$33, 0))</f>
        <v>1-0-0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1-0-0</v>
      </c>
      <c r="AP1066" s="2" t="str">
        <f>INDEX(Sheet5!$B$2:$AG$33, MATCH(Table2[[#This Row],[HomeTeam]],Sheet5!$A$2:$A$33, 0), MATCH(Table2[[#This Row],[AwayTeam]],Sheet5!$A$2:$A$33, 0))</f>
        <v>0-1-0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1-1-0</v>
      </c>
      <c r="AP1096" s="2" t="str">
        <f>INDEX(Sheet5!$B$2:$AG$33, MATCH(Table2[[#This Row],[HomeTeam]],Sheet5!$A$2:$A$33, 0), MATCH(Table2[[#This Row],[AwayTeam]],Sheet5!$A$2:$A$33, 0))</f>
        <v>1-1-0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1-1-0</v>
      </c>
      <c r="AP1100" s="2" t="str">
        <f>INDEX(Sheet5!$B$2:$AG$33, MATCH(Table2[[#This Row],[HomeTeam]],Sheet5!$A$2:$A$33, 0), MATCH(Table2[[#This Row],[AwayTeam]],Sheet5!$A$2:$A$33, 0))</f>
        <v>1-0-1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1-1-0</v>
      </c>
      <c r="AP1110" s="2" t="str">
        <f>INDEX(Sheet5!$B$2:$AG$33, MATCH(Table2[[#This Row],[HomeTeam]],Sheet5!$A$2:$A$33, 0), MATCH(Table2[[#This Row],[AwayTeam]],Sheet5!$A$2:$A$33, 0))</f>
        <v>1-0-1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1-0-0</v>
      </c>
      <c r="AP1120" s="2" t="str">
        <f>INDEX(Sheet5!$B$2:$AG$33, MATCH(Table2[[#This Row],[HomeTeam]],Sheet5!$A$2:$A$33, 0), MATCH(Table2[[#This Row],[AwayTeam]],Sheet5!$A$2:$A$33, 0))</f>
        <v>0-1-0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0-1-0</v>
      </c>
      <c r="AP1121" s="2" t="str">
        <f>INDEX(Sheet5!$B$2:$AG$33, MATCH(Table2[[#This Row],[HomeTeam]],Sheet5!$A$2:$A$33, 0), MATCH(Table2[[#This Row],[AwayTeam]],Sheet5!$A$2:$A$33, 0))</f>
        <v>1-0-0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0-1-0</v>
      </c>
      <c r="AP1132" s="2" t="str">
        <f>INDEX(Sheet5!$B$2:$AG$33, MATCH(Table2[[#This Row],[HomeTeam]],Sheet5!$A$2:$A$33, 0), MATCH(Table2[[#This Row],[AwayTeam]],Sheet5!$A$2:$A$33, 0))</f>
        <v>1-0-0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0-1-0</v>
      </c>
      <c r="AP1136" s="2" t="str">
        <f>INDEX(Sheet5!$B$2:$AG$33, MATCH(Table2[[#This Row],[HomeTeam]],Sheet5!$A$2:$A$33, 0), MATCH(Table2[[#This Row],[AwayTeam]],Sheet5!$A$2:$A$33, 0))</f>
        <v>1-0-0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1-0-0</v>
      </c>
      <c r="AP1151" s="2" t="str">
        <f>INDEX(Sheet5!$B$2:$AG$33, MATCH(Table2[[#This Row],[HomeTeam]],Sheet5!$A$2:$A$33, 0), MATCH(Table2[[#This Row],[AwayTeam]],Sheet5!$A$2:$A$33, 0))</f>
        <v>0-0-1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1-0-0</v>
      </c>
      <c r="AP1155" s="2" t="str">
        <f>INDEX(Sheet5!$B$2:$AG$33, MATCH(Table2[[#This Row],[HomeTeam]],Sheet5!$A$2:$A$33, 0), MATCH(Table2[[#This Row],[AwayTeam]],Sheet5!$A$2:$A$33, 0))</f>
        <v>0-1-0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1-0-0</v>
      </c>
      <c r="AP1158" s="2" t="str">
        <f>INDEX(Sheet5!$B$2:$AG$33, MATCH(Table2[[#This Row],[HomeTeam]],Sheet5!$A$2:$A$33, 0), MATCH(Table2[[#This Row],[AwayTeam]],Sheet5!$A$2:$A$33, 0))</f>
        <v>0-0-1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0-1-0</v>
      </c>
      <c r="AP1166" s="2" t="str">
        <f>INDEX(Sheet5!$B$2:$AG$33, MATCH(Table2[[#This Row],[HomeTeam]],Sheet5!$A$2:$A$33, 0), MATCH(Table2[[#This Row],[AwayTeam]],Sheet5!$A$2:$A$33, 0))</f>
        <v>1-0-0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1-2-0</v>
      </c>
      <c r="AP1189" s="2" t="str">
        <f>INDEX(Sheet5!$B$2:$AG$33, MATCH(Table2[[#This Row],[HomeTeam]],Sheet5!$A$2:$A$33, 0), MATCH(Table2[[#This Row],[AwayTeam]],Sheet5!$A$2:$A$33, 0))</f>
        <v>2-1-0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0-1-1</v>
      </c>
      <c r="AP1190" s="2" t="str">
        <f>INDEX(Sheet5!$B$2:$AG$33, MATCH(Table2[[#This Row],[HomeTeam]],Sheet5!$A$2:$A$33, 0), MATCH(Table2[[#This Row],[AwayTeam]],Sheet5!$A$2:$A$33, 0))</f>
        <v>2-0-0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1-0-0</v>
      </c>
      <c r="AP1194" s="2" t="str">
        <f>INDEX(Sheet5!$B$2:$AG$33, MATCH(Table2[[#This Row],[HomeTeam]],Sheet5!$A$2:$A$33, 0), MATCH(Table2[[#This Row],[AwayTeam]],Sheet5!$A$2:$A$33, 0))</f>
        <v>0-1-0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1-1-0</v>
      </c>
      <c r="AP1201" s="2" t="str">
        <f>INDEX(Sheet5!$B$2:$AG$33, MATCH(Table2[[#This Row],[HomeTeam]],Sheet5!$A$2:$A$33, 0), MATCH(Table2[[#This Row],[AwayTeam]],Sheet5!$A$2:$A$33, 0))</f>
        <v>1-1-0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0-1-0</v>
      </c>
      <c r="AP1208" s="2" t="str">
        <f>INDEX(Sheet5!$B$2:$AG$33, MATCH(Table2[[#This Row],[HomeTeam]],Sheet5!$A$2:$A$33, 0), MATCH(Table2[[#This Row],[AwayTeam]],Sheet5!$A$2:$A$33, 0))</f>
        <v>1-0-0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1-0-0</v>
      </c>
      <c r="AP1218" s="2" t="str">
        <f>INDEX(Sheet5!$B$2:$AG$33, MATCH(Table2[[#This Row],[HomeTeam]],Sheet5!$A$2:$A$33, 0), MATCH(Table2[[#This Row],[AwayTeam]],Sheet5!$A$2:$A$33, 0))</f>
        <v>0-1-0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1-0-1</v>
      </c>
      <c r="AP1237" s="2" t="str">
        <f>INDEX(Sheet5!$B$2:$AG$33, MATCH(Table2[[#This Row],[HomeTeam]],Sheet5!$A$2:$A$33, 0), MATCH(Table2[[#This Row],[AwayTeam]],Sheet5!$A$2:$A$33, 0))</f>
        <v>1-0-1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0-1-0</v>
      </c>
      <c r="AP1242" s="2" t="str">
        <f>INDEX(Sheet5!$B$2:$AG$33, MATCH(Table2[[#This Row],[HomeTeam]],Sheet5!$A$2:$A$33, 0), MATCH(Table2[[#This Row],[AwayTeam]],Sheet5!$A$2:$A$33, 0))</f>
        <v>1-0-0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0-0-1</v>
      </c>
      <c r="AP1262" s="2" t="str">
        <f>INDEX(Sheet5!$B$2:$AG$33, MATCH(Table2[[#This Row],[HomeTeam]],Sheet5!$A$2:$A$33, 0), MATCH(Table2[[#This Row],[AwayTeam]],Sheet5!$A$2:$A$33, 0))</f>
        <v>1-0-0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1-0-0</v>
      </c>
      <c r="AP1270" s="2" t="str">
        <f>INDEX(Sheet5!$B$2:$AG$33, MATCH(Table2[[#This Row],[HomeTeam]],Sheet5!$A$2:$A$33, 0), MATCH(Table2[[#This Row],[AwayTeam]],Sheet5!$A$2:$A$33, 0))</f>
        <v>0-0-1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0-1-0</v>
      </c>
      <c r="AP1272" s="2" t="str">
        <f>INDEX(Sheet5!$B$2:$AG$33, MATCH(Table2[[#This Row],[HomeTeam]],Sheet5!$A$2:$A$33, 0), MATCH(Table2[[#This Row],[AwayTeam]],Sheet5!$A$2:$A$33, 0))</f>
        <v>1-0-0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0-1-0</v>
      </c>
      <c r="AP1277" s="2" t="str">
        <f>INDEX(Sheet5!$B$2:$AG$33, MATCH(Table2[[#This Row],[HomeTeam]],Sheet5!$A$2:$A$33, 0), MATCH(Table2[[#This Row],[AwayTeam]],Sheet5!$A$2:$A$33, 0))</f>
        <v>1-0-0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1-1-0</v>
      </c>
      <c r="AP1283" s="2" t="str">
        <f>INDEX(Sheet5!$B$2:$AG$33, MATCH(Table2[[#This Row],[HomeTeam]],Sheet5!$A$2:$A$33, 0), MATCH(Table2[[#This Row],[AwayTeam]],Sheet5!$A$2:$A$33, 0))</f>
        <v>1-1-0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0-1-0</v>
      </c>
      <c r="AP1294" s="2" t="str">
        <f>INDEX(Sheet5!$B$2:$AG$33, MATCH(Table2[[#This Row],[HomeTeam]],Sheet5!$A$2:$A$33, 0), MATCH(Table2[[#This Row],[AwayTeam]],Sheet5!$A$2:$A$33, 0))</f>
        <v>1-0-0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3-0-0</v>
      </c>
      <c r="AP1297" s="2" t="str">
        <f>INDEX(Sheet5!$B$2:$AG$33, MATCH(Table2[[#This Row],[HomeTeam]],Sheet5!$A$2:$A$33, 0), MATCH(Table2[[#This Row],[AwayTeam]],Sheet5!$A$2:$A$33, 0))</f>
        <v>0-3-0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1-0-0</v>
      </c>
      <c r="AP1302" s="2" t="str">
        <f>INDEX(Sheet5!$B$2:$AG$33, MATCH(Table2[[#This Row],[HomeTeam]],Sheet5!$A$2:$A$33, 0), MATCH(Table2[[#This Row],[AwayTeam]],Sheet5!$A$2:$A$33, 0))</f>
        <v>0-0-1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D663:AM663 C664:AM949 C950:X950 C951:AM1314 D1315:BH1048576 AF1:BG1 Z950:AM950 AO23:BI1314 AE1:AE1314 BB3:BI5 X4:Y7 BB6:BG11 BI6:BI11 BH6:BH12 BA12:BI16 BA17:BG17 BA18:BI22 BJ45:BJ46 AL311:AM311 C312:AM662 A1:B1048576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7" workbookViewId="0">
      <selection activeCell="CP13" sqref="CP1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28</v>
      </c>
      <c r="I62" s="145">
        <f>SUMIFS(Table2[NewPointsAway],Table2[GameDate], "&lt;=" &amp; $A62, Table2[AwayTeam], I$1)+SUMIFS(Table2[NewPointsHome],Table2[GameDate], "&lt;=" &amp; $A62, Table2[HomeTeam], I$1)</f>
        <v>44</v>
      </c>
      <c r="J62" s="145">
        <f>SUMIFS(Table2[NewPointsAway],Table2[GameDate], "&lt;=" &amp; $A62, Table2[AwayTeam], J$1)+SUMIFS(Table2[NewPointsHome],Table2[GameDate], "&lt;=" &amp; $A62, Table2[HomeTeam], J$1)</f>
        <v>39</v>
      </c>
      <c r="K62" s="145">
        <f>SUMIFS(Table2[NewPointsAway],Table2[GameDate], "&lt;=" &amp; $A62, Table2[AwayTeam], K$1)+SUMIFS(Table2[NewPointsHome],Table2[GameDate], "&lt;=" &amp; $A62, Table2[HomeTeam], K$1)</f>
        <v>30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35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22</v>
      </c>
      <c r="S62" s="145">
        <f>SUMIFS(Table2[NewPointsAway],Table2[GameDate], "&lt;=" &amp; $A62, Table2[AwayTeam], S$1)+SUMIFS(Table2[NewPointsHome],Table2[GameDate], "&lt;=" &amp; $A62, Table2[HomeTeam], S$1)</f>
        <v>31</v>
      </c>
      <c r="T62" s="145">
        <f>SUMIFS(Table2[NewPointsAway],Table2[GameDate], "&lt;=" &amp; $A62, Table2[AwayTeam], T$1)+SUMIFS(Table2[NewPointsHome],Table2[GameDate], "&lt;=" &amp; $A62, Table2[HomeTeam], T$1)</f>
        <v>30</v>
      </c>
      <c r="U62" s="145">
        <f>SUMIFS(Table2[NewPointsAway],Table2[GameDate], "&lt;=" &amp; $A62, Table2[AwayTeam], U$1)+SUMIFS(Table2[NewPointsHome],Table2[GameDate], "&lt;=" &amp; $A62, Table2[HomeTeam], U$1)</f>
        <v>30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27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32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28</v>
      </c>
      <c r="I63" s="145">
        <f>SUMIFS(Table2[NewPointsAway],Table2[GameDate], "&lt;=" &amp; $A63, Table2[AwayTeam], I$1)+SUMIFS(Table2[NewPointsHome],Table2[GameDate], "&lt;=" &amp; $A63, Table2[HomeTeam], I$1)</f>
        <v>44</v>
      </c>
      <c r="J63" s="145">
        <f>SUMIFS(Table2[NewPointsAway],Table2[GameDate], "&lt;=" &amp; $A63, Table2[AwayTeam], J$1)+SUMIFS(Table2[NewPointsHome],Table2[GameDate], "&lt;=" &amp; $A63, Table2[HomeTeam], J$1)</f>
        <v>41</v>
      </c>
      <c r="K63" s="145">
        <f>SUMIFS(Table2[NewPointsAway],Table2[GameDate], "&lt;=" &amp; $A63, Table2[AwayTeam], K$1)+SUMIFS(Table2[NewPointsHome],Table2[GameDate], "&lt;=" &amp; $A63, Table2[HomeTeam], K$1)</f>
        <v>30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35</v>
      </c>
      <c r="P63" s="145">
        <f>SUMIFS(Table2[NewPointsAway],Table2[GameDate], "&lt;=" &amp; $A63, Table2[AwayTeam], P$1)+SUMIFS(Table2[NewPointsHome],Table2[GameDate], "&lt;=" &amp; $A63, Table2[HomeTeam], P$1)</f>
        <v>31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22</v>
      </c>
      <c r="S63" s="145">
        <f>SUMIFS(Table2[NewPointsAway],Table2[GameDate], "&lt;=" &amp; $A63, Table2[AwayTeam], S$1)+SUMIFS(Table2[NewPointsHome],Table2[GameDate], "&lt;=" &amp; $A63, Table2[HomeTeam], S$1)</f>
        <v>31</v>
      </c>
      <c r="T63" s="145">
        <f>SUMIFS(Table2[NewPointsAway],Table2[GameDate], "&lt;=" &amp; $A63, Table2[AwayTeam], T$1)+SUMIFS(Table2[NewPointsHome],Table2[GameDate], "&lt;=" &amp; $A63, Table2[HomeTeam], T$1)</f>
        <v>30</v>
      </c>
      <c r="U63" s="145">
        <f>SUMIFS(Table2[NewPointsAway],Table2[GameDate], "&lt;=" &amp; $A63, Table2[AwayTeam], U$1)+SUMIFS(Table2[NewPointsHome],Table2[GameDate], "&lt;=" &amp; $A63, Table2[HomeTeam], U$1)</f>
        <v>30</v>
      </c>
      <c r="V63" s="145">
        <f>SUMIFS(Table2[NewPointsAway],Table2[GameDate], "&lt;=" &amp; $A63, Table2[AwayTeam], V$1)+SUMIFS(Table2[NewPointsHome],Table2[GameDate], "&lt;=" &amp; $A63, Table2[HomeTeam], V$1)</f>
        <v>32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27</v>
      </c>
      <c r="AC63" s="145">
        <f>SUMIFS(Table2[NewPointsAway],Table2[GameDate], "&lt;=" &amp; $A63, Table2[AwayTeam], AC$1)+SUMIFS(Table2[NewPointsHome],Table2[GameDate], "&lt;=" &amp; $A63, Table2[HomeTeam], AC$1)</f>
        <v>29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32</v>
      </c>
      <c r="AF63" s="145">
        <f>SUMIFS(Table2[NewPointsAway],Table2[GameDate], "&lt;=" &amp; $A63, Table2[AwayTeam], AF$1)+SUMIFS(Table2[NewPointsHome],Table2[GameDate], "&lt;=" &amp; $A63, Table2[HomeTeam], AF$1)</f>
        <v>27</v>
      </c>
      <c r="AG63" s="145">
        <f>SUMIFS(Table2[NewPointsAway],Table2[GameDate], "&lt;=" &amp; $A63, Table2[AwayTeam], AG$1)+SUMIFS(Table2[NewPointsHome],Table2[GameDate], "&lt;=" &amp; $A63, Table2[HomeTeam], AG$1)</f>
        <v>36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32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31</v>
      </c>
      <c r="G64" s="145">
        <f>SUMIFS(Table2[NewPointsAway],Table2[GameDate], "&lt;=" &amp; $A64, Table2[AwayTeam], G$1)+SUMIFS(Table2[NewPointsHome],Table2[GameDate], "&lt;=" &amp; $A64, Table2[HomeTeam], G$1)</f>
        <v>24</v>
      </c>
      <c r="H64" s="145">
        <f>SUMIFS(Table2[NewPointsAway],Table2[GameDate], "&lt;=" &amp; $A64, Table2[AwayTeam], H$1)+SUMIFS(Table2[NewPointsHome],Table2[GameDate], "&lt;=" &amp; $A64, Table2[HomeTeam], H$1)</f>
        <v>30</v>
      </c>
      <c r="I64" s="145">
        <f>SUMIFS(Table2[NewPointsAway],Table2[GameDate], "&lt;=" &amp; $A64, Table2[AwayTeam], I$1)+SUMIFS(Table2[NewPointsHome],Table2[GameDate], "&lt;=" &amp; $A64, Table2[HomeTeam], I$1)</f>
        <v>44</v>
      </c>
      <c r="J64" s="145">
        <f>SUMIFS(Table2[NewPointsAway],Table2[GameDate], "&lt;=" &amp; $A64, Table2[AwayTeam], J$1)+SUMIFS(Table2[NewPointsHome],Table2[GameDate], "&lt;=" &amp; $A64, Table2[HomeTeam], J$1)</f>
        <v>41</v>
      </c>
      <c r="K64" s="145">
        <f>SUMIFS(Table2[NewPointsAway],Table2[GameDate], "&lt;=" &amp; $A64, Table2[AwayTeam], K$1)+SUMIFS(Table2[NewPointsHome],Table2[GameDate], "&lt;=" &amp; $A64, Table2[HomeTeam], K$1)</f>
        <v>31</v>
      </c>
      <c r="L64" s="145">
        <f>SUMIFS(Table2[NewPointsAway],Table2[GameDate], "&lt;=" &amp; $A64, Table2[AwayTeam], L$1)+SUMIFS(Table2[NewPointsHome],Table2[GameDate], "&lt;=" &amp; $A64, Table2[HomeTeam], L$1)</f>
        <v>29</v>
      </c>
      <c r="M64" s="145">
        <f>SUMIFS(Table2[NewPointsAway],Table2[GameDate], "&lt;=" &amp; $A64, Table2[AwayTeam], M$1)+SUMIFS(Table2[NewPointsHome],Table2[GameDate], "&lt;=" &amp; $A64, Table2[HomeTeam], M$1)</f>
        <v>26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35</v>
      </c>
      <c r="P64" s="145">
        <f>SUMIFS(Table2[NewPointsAway],Table2[GameDate], "&lt;=" &amp; $A64, Table2[AwayTeam], P$1)+SUMIFS(Table2[NewPointsHome],Table2[GameDate], "&lt;=" &amp; $A64, Table2[HomeTeam], P$1)</f>
        <v>31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24</v>
      </c>
      <c r="S64" s="145">
        <f>SUMIFS(Table2[NewPointsAway],Table2[GameDate], "&lt;=" &amp; $A64, Table2[AwayTeam], S$1)+SUMIFS(Table2[NewPointsHome],Table2[GameDate], "&lt;=" &amp; $A64, Table2[HomeTeam], S$1)</f>
        <v>33</v>
      </c>
      <c r="T64" s="145">
        <f>SUMIFS(Table2[NewPointsAway],Table2[GameDate], "&lt;=" &amp; $A64, Table2[AwayTeam], T$1)+SUMIFS(Table2[NewPointsHome],Table2[GameDate], "&lt;=" &amp; $A64, Table2[HomeTeam], T$1)</f>
        <v>32</v>
      </c>
      <c r="U64" s="145">
        <f>SUMIFS(Table2[NewPointsAway],Table2[GameDate], "&lt;=" &amp; $A64, Table2[AwayTeam], U$1)+SUMIFS(Table2[NewPointsHome],Table2[GameDate], "&lt;=" &amp; $A64, Table2[HomeTeam], U$1)</f>
        <v>30</v>
      </c>
      <c r="V64" s="145">
        <f>SUMIFS(Table2[NewPointsAway],Table2[GameDate], "&lt;=" &amp; $A64, Table2[AwayTeam], V$1)+SUMIFS(Table2[NewPointsHome],Table2[GameDate], "&lt;=" &amp; $A64, Table2[HomeTeam], V$1)</f>
        <v>32</v>
      </c>
      <c r="W64" s="145">
        <f>SUMIFS(Table2[NewPointsAway],Table2[GameDate], "&lt;=" &amp; $A64, Table2[AwayTeam], W$1)+SUMIFS(Table2[NewPointsHome],Table2[GameDate], "&lt;=" &amp; $A64, Table2[HomeTeam], W$1)</f>
        <v>33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29</v>
      </c>
      <c r="AC64" s="145">
        <f>SUMIFS(Table2[NewPointsAway],Table2[GameDate], "&lt;=" &amp; $A64, Table2[AwayTeam], AC$1)+SUMIFS(Table2[NewPointsHome],Table2[GameDate], "&lt;=" &amp; $A64, Table2[HomeTeam], AC$1)</f>
        <v>29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32</v>
      </c>
      <c r="AF64" s="145">
        <f>SUMIFS(Table2[NewPointsAway],Table2[GameDate], "&lt;=" &amp; $A64, Table2[AwayTeam], AF$1)+SUMIFS(Table2[NewPointsHome],Table2[GameDate], "&lt;=" &amp; $A64, Table2[HomeTeam], AF$1)</f>
        <v>27</v>
      </c>
      <c r="AG64" s="145">
        <f>SUMIFS(Table2[NewPointsAway],Table2[GameDate], "&lt;=" &amp; $A64, Table2[AwayTeam], AG$1)+SUMIFS(Table2[NewPointsHome],Table2[GameDate], "&lt;=" &amp; $A64, Table2[HomeTeam], AG$1)</f>
        <v>36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35</v>
      </c>
      <c r="C65" s="145">
        <f>SUMIFS(Table2[NewPointsAway],Table2[GameDate], "&lt;=" &amp; $A65, Table2[AwayTeam], C$1)+SUMIFS(Table2[NewPointsHome],Table2[GameDate], "&lt;=" &amp; $A65, Table2[HomeTeam], C$1)</f>
        <v>32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31</v>
      </c>
      <c r="G65" s="145">
        <f>SUMIFS(Table2[NewPointsAway],Table2[GameDate], "&lt;=" &amp; $A65, Table2[AwayTeam], G$1)+SUMIFS(Table2[NewPointsHome],Table2[GameDate], "&lt;=" &amp; $A65, Table2[HomeTeam], G$1)</f>
        <v>24</v>
      </c>
      <c r="H65" s="145">
        <f>SUMIFS(Table2[NewPointsAway],Table2[GameDate], "&lt;=" &amp; $A65, Table2[AwayTeam], H$1)+SUMIFS(Table2[NewPointsHome],Table2[GameDate], "&lt;=" &amp; $A65, Table2[HomeTeam], H$1)</f>
        <v>30</v>
      </c>
      <c r="I65" s="145">
        <f>SUMIFS(Table2[NewPointsAway],Table2[GameDate], "&lt;=" &amp; $A65, Table2[AwayTeam], I$1)+SUMIFS(Table2[NewPointsHome],Table2[GameDate], "&lt;=" &amp; $A65, Table2[HomeTeam], I$1)</f>
        <v>44</v>
      </c>
      <c r="J65" s="145">
        <f>SUMIFS(Table2[NewPointsAway],Table2[GameDate], "&lt;=" &amp; $A65, Table2[AwayTeam], J$1)+SUMIFS(Table2[NewPointsHome],Table2[GameDate], "&lt;=" &amp; $A65, Table2[HomeTeam], J$1)</f>
        <v>43</v>
      </c>
      <c r="K65" s="145">
        <f>SUMIFS(Table2[NewPointsAway],Table2[GameDate], "&lt;=" &amp; $A65, Table2[AwayTeam], K$1)+SUMIFS(Table2[NewPointsHome],Table2[GameDate], "&lt;=" &amp; $A65, Table2[HomeTeam], K$1)</f>
        <v>31</v>
      </c>
      <c r="L65" s="145">
        <f>SUMIFS(Table2[NewPointsAway],Table2[GameDate], "&lt;=" &amp; $A65, Table2[AwayTeam], L$1)+SUMIFS(Table2[NewPointsHome],Table2[GameDate], "&lt;=" &amp; $A65, Table2[HomeTeam], L$1)</f>
        <v>29</v>
      </c>
      <c r="M65" s="145">
        <f>SUMIFS(Table2[NewPointsAway],Table2[GameDate], "&lt;=" &amp; $A65, Table2[AwayTeam], M$1)+SUMIFS(Table2[NewPointsHome],Table2[GameDate], "&lt;=" &amp; $A65, Table2[HomeTeam], M$1)</f>
        <v>26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35</v>
      </c>
      <c r="P65" s="145">
        <f>SUMIFS(Table2[NewPointsAway],Table2[GameDate], "&lt;=" &amp; $A65, Table2[AwayTeam], P$1)+SUMIFS(Table2[NewPointsHome],Table2[GameDate], "&lt;=" &amp; $A65, Table2[HomeTeam], P$1)</f>
        <v>31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24</v>
      </c>
      <c r="S65" s="145">
        <f>SUMIFS(Table2[NewPointsAway],Table2[GameDate], "&lt;=" &amp; $A65, Table2[AwayTeam], S$1)+SUMIFS(Table2[NewPointsHome],Table2[GameDate], "&lt;=" &amp; $A65, Table2[HomeTeam], S$1)</f>
        <v>33</v>
      </c>
      <c r="T65" s="145">
        <f>SUMIFS(Table2[NewPointsAway],Table2[GameDate], "&lt;=" &amp; $A65, Table2[AwayTeam], T$1)+SUMIFS(Table2[NewPointsHome],Table2[GameDate], "&lt;=" &amp; $A65, Table2[HomeTeam], T$1)</f>
        <v>32</v>
      </c>
      <c r="U65" s="145">
        <f>SUMIFS(Table2[NewPointsAway],Table2[GameDate], "&lt;=" &amp; $A65, Table2[AwayTeam], U$1)+SUMIFS(Table2[NewPointsHome],Table2[GameDate], "&lt;=" &amp; $A65, Table2[HomeTeam], U$1)</f>
        <v>30</v>
      </c>
      <c r="V65" s="145">
        <f>SUMIFS(Table2[NewPointsAway],Table2[GameDate], "&lt;=" &amp; $A65, Table2[AwayTeam], V$1)+SUMIFS(Table2[NewPointsHome],Table2[GameDate], "&lt;=" &amp; $A65, Table2[HomeTeam], V$1)</f>
        <v>32</v>
      </c>
      <c r="W65" s="145">
        <f>SUMIFS(Table2[NewPointsAway],Table2[GameDate], "&lt;=" &amp; $A65, Table2[AwayTeam], W$1)+SUMIFS(Table2[NewPointsHome],Table2[GameDate], "&lt;=" &amp; $A65, Table2[HomeTeam], W$1)</f>
        <v>33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29</v>
      </c>
      <c r="AC65" s="145">
        <f>SUMIFS(Table2[NewPointsAway],Table2[GameDate], "&lt;=" &amp; $A65, Table2[AwayTeam], AC$1)+SUMIFS(Table2[NewPointsHome],Table2[GameDate], "&lt;=" &amp; $A65, Table2[HomeTeam], AC$1)</f>
        <v>31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34</v>
      </c>
      <c r="AF65" s="145">
        <f>SUMIFS(Table2[NewPointsAway],Table2[GameDate], "&lt;=" &amp; $A65, Table2[AwayTeam], AF$1)+SUMIFS(Table2[NewPointsHome],Table2[GameDate], "&lt;=" &amp; $A65, Table2[HomeTeam], AF$1)</f>
        <v>29</v>
      </c>
      <c r="AG65" s="145">
        <f>SUMIFS(Table2[NewPointsAway],Table2[GameDate], "&lt;=" &amp; $A65, Table2[AwayTeam], AG$1)+SUMIFS(Table2[NewPointsHome],Table2[GameDate], "&lt;=" &amp; $A65, Table2[HomeTeam], AG$1)</f>
        <v>37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35</v>
      </c>
      <c r="C66" s="145">
        <f>SUMIFS(Table2[NewPointsAway],Table2[GameDate], "&lt;=" &amp; $A66, Table2[AwayTeam], C$1)+SUMIFS(Table2[NewPointsHome],Table2[GameDate], "&lt;=" &amp; $A66, Table2[HomeTeam], C$1)</f>
        <v>34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36</v>
      </c>
      <c r="F66" s="145">
        <f>SUMIFS(Table2[NewPointsAway],Table2[GameDate], "&lt;=" &amp; $A66, Table2[AwayTeam], F$1)+SUMIFS(Table2[NewPointsHome],Table2[GameDate], "&lt;=" &amp; $A66, Table2[HomeTeam], F$1)</f>
        <v>32</v>
      </c>
      <c r="G66" s="145">
        <f>SUMIFS(Table2[NewPointsAway],Table2[GameDate], "&lt;=" &amp; $A66, Table2[AwayTeam], G$1)+SUMIFS(Table2[NewPointsHome],Table2[GameDate], "&lt;=" &amp; $A66, Table2[HomeTeam], G$1)</f>
        <v>26</v>
      </c>
      <c r="H66" s="145">
        <f>SUMIFS(Table2[NewPointsAway],Table2[GameDate], "&lt;=" &amp; $A66, Table2[AwayTeam], H$1)+SUMIFS(Table2[NewPointsHome],Table2[GameDate], "&lt;=" &amp; $A66, Table2[HomeTeam], H$1)</f>
        <v>30</v>
      </c>
      <c r="I66" s="145">
        <f>SUMIFS(Table2[NewPointsAway],Table2[GameDate], "&lt;=" &amp; $A66, Table2[AwayTeam], I$1)+SUMIFS(Table2[NewPointsHome],Table2[GameDate], "&lt;=" &amp; $A66, Table2[HomeTeam], I$1)</f>
        <v>46</v>
      </c>
      <c r="J66" s="145">
        <f>SUMIFS(Table2[NewPointsAway],Table2[GameDate], "&lt;=" &amp; $A66, Table2[AwayTeam], J$1)+SUMIFS(Table2[NewPointsHome],Table2[GameDate], "&lt;=" &amp; $A66, Table2[HomeTeam], J$1)</f>
        <v>43</v>
      </c>
      <c r="K66" s="145">
        <f>SUMIFS(Table2[NewPointsAway],Table2[GameDate], "&lt;=" &amp; $A66, Table2[AwayTeam], K$1)+SUMIFS(Table2[NewPointsHome],Table2[GameDate], "&lt;=" &amp; $A66, Table2[HomeTeam], K$1)</f>
        <v>33</v>
      </c>
      <c r="L66" s="145">
        <f>SUMIFS(Table2[NewPointsAway],Table2[GameDate], "&lt;=" &amp; $A66, Table2[AwayTeam], L$1)+SUMIFS(Table2[NewPointsHome],Table2[GameDate], "&lt;=" &amp; $A66, Table2[HomeTeam], L$1)</f>
        <v>31</v>
      </c>
      <c r="M66" s="145">
        <f>SUMIFS(Table2[NewPointsAway],Table2[GameDate], "&lt;=" &amp; $A66, Table2[AwayTeam], M$1)+SUMIFS(Table2[NewPointsHome],Table2[GameDate], "&lt;=" &amp; $A66, Table2[HomeTeam], M$1)</f>
        <v>28</v>
      </c>
      <c r="N66" s="145">
        <f>SUMIFS(Table2[NewPointsAway],Table2[GameDate], "&lt;=" &amp; $A66, Table2[AwayTeam], N$1)+SUMIFS(Table2[NewPointsHome],Table2[GameDate], "&lt;=" &amp; $A66, Table2[HomeTeam], N$1)</f>
        <v>33</v>
      </c>
      <c r="O66" s="145">
        <f>SUMIFS(Table2[NewPointsAway],Table2[GameDate], "&lt;=" &amp; $A66, Table2[AwayTeam], O$1)+SUMIFS(Table2[NewPointsHome],Table2[GameDate], "&lt;=" &amp; $A66, Table2[HomeTeam], O$1)</f>
        <v>35</v>
      </c>
      <c r="P66" s="145">
        <f>SUMIFS(Table2[NewPointsAway],Table2[GameDate], "&lt;=" &amp; $A66, Table2[AwayTeam], P$1)+SUMIFS(Table2[NewPointsHome],Table2[GameDate], "&lt;=" &amp; $A66, Table2[HomeTeam], P$1)</f>
        <v>33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24</v>
      </c>
      <c r="S66" s="145">
        <f>SUMIFS(Table2[NewPointsAway],Table2[GameDate], "&lt;=" &amp; $A66, Table2[AwayTeam], S$1)+SUMIFS(Table2[NewPointsHome],Table2[GameDate], "&lt;=" &amp; $A66, Table2[HomeTeam], S$1)</f>
        <v>35</v>
      </c>
      <c r="T66" s="145">
        <f>SUMIFS(Table2[NewPointsAway],Table2[GameDate], "&lt;=" &amp; $A66, Table2[AwayTeam], T$1)+SUMIFS(Table2[NewPointsHome],Table2[GameDate], "&lt;=" &amp; $A66, Table2[HomeTeam], T$1)</f>
        <v>33</v>
      </c>
      <c r="U66" s="145">
        <f>SUMIFS(Table2[NewPointsAway],Table2[GameDate], "&lt;=" &amp; $A66, Table2[AwayTeam], U$1)+SUMIFS(Table2[NewPointsHome],Table2[GameDate], "&lt;=" &amp; $A66, Table2[HomeTeam], U$1)</f>
        <v>30</v>
      </c>
      <c r="V66" s="145">
        <f>SUMIFS(Table2[NewPointsAway],Table2[GameDate], "&lt;=" &amp; $A66, Table2[AwayTeam], V$1)+SUMIFS(Table2[NewPointsHome],Table2[GameDate], "&lt;=" &amp; $A66, Table2[HomeTeam], V$1)</f>
        <v>32</v>
      </c>
      <c r="W66" s="145">
        <f>SUMIFS(Table2[NewPointsAway],Table2[GameDate], "&lt;=" &amp; $A66, Table2[AwayTeam], W$1)+SUMIFS(Table2[NewPointsHome],Table2[GameDate], "&lt;=" &amp; $A66, Table2[HomeTeam], W$1)</f>
        <v>33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28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30</v>
      </c>
      <c r="AC66" s="145">
        <f>SUMIFS(Table2[NewPointsAway],Table2[GameDate], "&lt;=" &amp; $A66, Table2[AwayTeam], AC$1)+SUMIFS(Table2[NewPointsHome],Table2[GameDate], "&lt;=" &amp; $A66, Table2[HomeTeam], AC$1)</f>
        <v>31</v>
      </c>
      <c r="AD66" s="145">
        <f>SUMIFS(Table2[NewPointsAway],Table2[GameDate], "&lt;=" &amp; $A66, Table2[AwayTeam], AD$1)+SUMIFS(Table2[NewPointsHome],Table2[GameDate], "&lt;=" &amp; $A66, Table2[HomeTeam], AD$1)</f>
        <v>25</v>
      </c>
      <c r="AE66" s="145">
        <f>SUMIFS(Table2[NewPointsAway],Table2[GameDate], "&lt;=" &amp; $A66, Table2[AwayTeam], AE$1)+SUMIFS(Table2[NewPointsHome],Table2[GameDate], "&lt;=" &amp; $A66, Table2[HomeTeam], AE$1)</f>
        <v>34</v>
      </c>
      <c r="AF66" s="145">
        <f>SUMIFS(Table2[NewPointsAway],Table2[GameDate], "&lt;=" &amp; $A66, Table2[AwayTeam], AF$1)+SUMIFS(Table2[NewPointsHome],Table2[GameDate], "&lt;=" &amp; $A66, Table2[HomeTeam], AF$1)</f>
        <v>29</v>
      </c>
      <c r="AG66" s="145">
        <f>SUMIFS(Table2[NewPointsAway],Table2[GameDate], "&lt;=" &amp; $A66, Table2[AwayTeam], AG$1)+SUMIFS(Table2[NewPointsHome],Table2[GameDate], "&lt;=" &amp; $A66, Table2[HomeTeam], AG$1)</f>
        <v>37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37</v>
      </c>
      <c r="C67" s="145">
        <f>SUMIFS(Table2[NewPointsAway],Table2[GameDate], "&lt;=" &amp; $A67, Table2[AwayTeam], C$1)+SUMIFS(Table2[NewPointsHome],Table2[GameDate], "&lt;=" &amp; $A67, Table2[HomeTeam], C$1)</f>
        <v>34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36</v>
      </c>
      <c r="F67" s="145">
        <f>SUMIFS(Table2[NewPointsAway],Table2[GameDate], "&lt;=" &amp; $A67, Table2[AwayTeam], F$1)+SUMIFS(Table2[NewPointsHome],Table2[GameDate], "&lt;=" &amp; $A67, Table2[HomeTeam], F$1)</f>
        <v>32</v>
      </c>
      <c r="G67" s="145">
        <f>SUMIFS(Table2[NewPointsAway],Table2[GameDate], "&lt;=" &amp; $A67, Table2[AwayTeam], G$1)+SUMIFS(Table2[NewPointsHome],Table2[GameDate], "&lt;=" &amp; $A67, Table2[HomeTeam], G$1)</f>
        <v>26</v>
      </c>
      <c r="H67" s="145">
        <f>SUMIFS(Table2[NewPointsAway],Table2[GameDate], "&lt;=" &amp; $A67, Table2[AwayTeam], H$1)+SUMIFS(Table2[NewPointsHome],Table2[GameDate], "&lt;=" &amp; $A67, Table2[HomeTeam], H$1)</f>
        <v>30</v>
      </c>
      <c r="I67" s="145">
        <f>SUMIFS(Table2[NewPointsAway],Table2[GameDate], "&lt;=" &amp; $A67, Table2[AwayTeam], I$1)+SUMIFS(Table2[NewPointsHome],Table2[GameDate], "&lt;=" &amp; $A67, Table2[HomeTeam], I$1)</f>
        <v>48</v>
      </c>
      <c r="J67" s="145">
        <f>SUMIFS(Table2[NewPointsAway],Table2[GameDate], "&lt;=" &amp; $A67, Table2[AwayTeam], J$1)+SUMIFS(Table2[NewPointsHome],Table2[GameDate], "&lt;=" &amp; $A67, Table2[HomeTeam], J$1)</f>
        <v>45</v>
      </c>
      <c r="K67" s="145">
        <f>SUMIFS(Table2[NewPointsAway],Table2[GameDate], "&lt;=" &amp; $A67, Table2[AwayTeam], K$1)+SUMIFS(Table2[NewPointsHome],Table2[GameDate], "&lt;=" &amp; $A67, Table2[HomeTeam], K$1)</f>
        <v>33</v>
      </c>
      <c r="L67" s="145">
        <f>SUMIFS(Table2[NewPointsAway],Table2[GameDate], "&lt;=" &amp; $A67, Table2[AwayTeam], L$1)+SUMIFS(Table2[NewPointsHome],Table2[GameDate], "&lt;=" &amp; $A67, Table2[HomeTeam], L$1)</f>
        <v>31</v>
      </c>
      <c r="M67" s="145">
        <f>SUMIFS(Table2[NewPointsAway],Table2[GameDate], "&lt;=" &amp; $A67, Table2[AwayTeam], M$1)+SUMIFS(Table2[NewPointsHome],Table2[GameDate], "&lt;=" &amp; $A67, Table2[HomeTeam], M$1)</f>
        <v>30</v>
      </c>
      <c r="N67" s="145">
        <f>SUMIFS(Table2[NewPointsAway],Table2[GameDate], "&lt;=" &amp; $A67, Table2[AwayTeam], N$1)+SUMIFS(Table2[NewPointsHome],Table2[GameDate], "&lt;=" &amp; $A67, Table2[HomeTeam], N$1)</f>
        <v>33</v>
      </c>
      <c r="O67" s="145">
        <f>SUMIFS(Table2[NewPointsAway],Table2[GameDate], "&lt;=" &amp; $A67, Table2[AwayTeam], O$1)+SUMIFS(Table2[NewPointsHome],Table2[GameDate], "&lt;=" &amp; $A67, Table2[HomeTeam], O$1)</f>
        <v>35</v>
      </c>
      <c r="P67" s="145">
        <f>SUMIFS(Table2[NewPointsAway],Table2[GameDate], "&lt;=" &amp; $A67, Table2[AwayTeam], P$1)+SUMIFS(Table2[NewPointsHome],Table2[GameDate], "&lt;=" &amp; $A67, Table2[HomeTeam], P$1)</f>
        <v>33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24</v>
      </c>
      <c r="S67" s="145">
        <f>SUMIFS(Table2[NewPointsAway],Table2[GameDate], "&lt;=" &amp; $A67, Table2[AwayTeam], S$1)+SUMIFS(Table2[NewPointsHome],Table2[GameDate], "&lt;=" &amp; $A67, Table2[HomeTeam], S$1)</f>
        <v>35</v>
      </c>
      <c r="T67" s="145">
        <f>SUMIFS(Table2[NewPointsAway],Table2[GameDate], "&lt;=" &amp; $A67, Table2[AwayTeam], T$1)+SUMIFS(Table2[NewPointsHome],Table2[GameDate], "&lt;=" &amp; $A67, Table2[HomeTeam], T$1)</f>
        <v>34</v>
      </c>
      <c r="U67" s="145">
        <f>SUMIFS(Table2[NewPointsAway],Table2[GameDate], "&lt;=" &amp; $A67, Table2[AwayTeam], U$1)+SUMIFS(Table2[NewPointsHome],Table2[GameDate], "&lt;=" &amp; $A67, Table2[HomeTeam], U$1)</f>
        <v>30</v>
      </c>
      <c r="V67" s="145">
        <f>SUMIFS(Table2[NewPointsAway],Table2[GameDate], "&lt;=" &amp; $A67, Table2[AwayTeam], V$1)+SUMIFS(Table2[NewPointsHome],Table2[GameDate], "&lt;=" &amp; $A67, Table2[HomeTeam], V$1)</f>
        <v>32</v>
      </c>
      <c r="W67" s="145">
        <f>SUMIFS(Table2[NewPointsAway],Table2[GameDate], "&lt;=" &amp; $A67, Table2[AwayTeam], W$1)+SUMIFS(Table2[NewPointsHome],Table2[GameDate], "&lt;=" &amp; $A67, Table2[HomeTeam], W$1)</f>
        <v>34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31</v>
      </c>
      <c r="Z67" s="145">
        <f>SUMIFS(Table2[NewPointsAway],Table2[GameDate], "&lt;=" &amp; $A67, Table2[AwayTeam], Z$1)+SUMIFS(Table2[NewPointsHome],Table2[GameDate], "&lt;=" &amp; $A67, Table2[HomeTeam], Z$1)</f>
        <v>30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30</v>
      </c>
      <c r="AC67" s="145">
        <f>SUMIFS(Table2[NewPointsAway],Table2[GameDate], "&lt;=" &amp; $A67, Table2[AwayTeam], AC$1)+SUMIFS(Table2[NewPointsHome],Table2[GameDate], "&lt;=" &amp; $A67, Table2[HomeTeam], AC$1)</f>
        <v>31</v>
      </c>
      <c r="AD67" s="145">
        <f>SUMIFS(Table2[NewPointsAway],Table2[GameDate], "&lt;=" &amp; $A67, Table2[AwayTeam], AD$1)+SUMIFS(Table2[NewPointsHome],Table2[GameDate], "&lt;=" &amp; $A67, Table2[HomeTeam], AD$1)</f>
        <v>25</v>
      </c>
      <c r="AE67" s="145">
        <f>SUMIFS(Table2[NewPointsAway],Table2[GameDate], "&lt;=" &amp; $A67, Table2[AwayTeam], AE$1)+SUMIFS(Table2[NewPointsHome],Table2[GameDate], "&lt;=" &amp; $A67, Table2[HomeTeam], AE$1)</f>
        <v>36</v>
      </c>
      <c r="AF67" s="145">
        <f>SUMIFS(Table2[NewPointsAway],Table2[GameDate], "&lt;=" &amp; $A67, Table2[AwayTeam], AF$1)+SUMIFS(Table2[NewPointsHome],Table2[GameDate], "&lt;=" &amp; $A67, Table2[HomeTeam], AF$1)</f>
        <v>29</v>
      </c>
      <c r="AG67" s="145">
        <f>SUMIFS(Table2[NewPointsAway],Table2[GameDate], "&lt;=" &amp; $A67, Table2[AwayTeam], AG$1)+SUMIFS(Table2[NewPointsHome],Table2[GameDate], "&lt;=" &amp; $A67, Table2[HomeTeam], AG$1)</f>
        <v>39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37</v>
      </c>
      <c r="C68" s="145">
        <f>SUMIFS(Table2[NewPointsAway],Table2[GameDate], "&lt;=" &amp; $A68, Table2[AwayTeam], C$1)+SUMIFS(Table2[NewPointsHome],Table2[GameDate], "&lt;=" &amp; $A68, Table2[HomeTeam], C$1)</f>
        <v>34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36</v>
      </c>
      <c r="F68" s="145">
        <f>SUMIFS(Table2[NewPointsAway],Table2[GameDate], "&lt;=" &amp; $A68, Table2[AwayTeam], F$1)+SUMIFS(Table2[NewPointsHome],Table2[GameDate], "&lt;=" &amp; $A68, Table2[HomeTeam], F$1)</f>
        <v>32</v>
      </c>
      <c r="G68" s="145">
        <f>SUMIFS(Table2[NewPointsAway],Table2[GameDate], "&lt;=" &amp; $A68, Table2[AwayTeam], G$1)+SUMIFS(Table2[NewPointsHome],Table2[GameDate], "&lt;=" &amp; $A68, Table2[HomeTeam], G$1)</f>
        <v>28</v>
      </c>
      <c r="H68" s="145">
        <f>SUMIFS(Table2[NewPointsAway],Table2[GameDate], "&lt;=" &amp; $A68, Table2[AwayTeam], H$1)+SUMIFS(Table2[NewPointsHome],Table2[GameDate], "&lt;=" &amp; $A68, Table2[HomeTeam], H$1)</f>
        <v>30</v>
      </c>
      <c r="I68" s="145">
        <f>SUMIFS(Table2[NewPointsAway],Table2[GameDate], "&lt;=" &amp; $A68, Table2[AwayTeam], I$1)+SUMIFS(Table2[NewPointsHome],Table2[GameDate], "&lt;=" &amp; $A68, Table2[HomeTeam], I$1)</f>
        <v>48</v>
      </c>
      <c r="J68" s="145">
        <f>SUMIFS(Table2[NewPointsAway],Table2[GameDate], "&lt;=" &amp; $A68, Table2[AwayTeam], J$1)+SUMIFS(Table2[NewPointsHome],Table2[GameDate], "&lt;=" &amp; $A68, Table2[HomeTeam], J$1)</f>
        <v>45</v>
      </c>
      <c r="K68" s="145">
        <f>SUMIFS(Table2[NewPointsAway],Table2[GameDate], "&lt;=" &amp; $A68, Table2[AwayTeam], K$1)+SUMIFS(Table2[NewPointsHome],Table2[GameDate], "&lt;=" &amp; $A68, Table2[HomeTeam], K$1)</f>
        <v>35</v>
      </c>
      <c r="L68" s="145">
        <f>SUMIFS(Table2[NewPointsAway],Table2[GameDate], "&lt;=" &amp; $A68, Table2[AwayTeam], L$1)+SUMIFS(Table2[NewPointsHome],Table2[GameDate], "&lt;=" &amp; $A68, Table2[HomeTeam], L$1)</f>
        <v>31</v>
      </c>
      <c r="M68" s="145">
        <f>SUMIFS(Table2[NewPointsAway],Table2[GameDate], "&lt;=" &amp; $A68, Table2[AwayTeam], M$1)+SUMIFS(Table2[NewPointsHome],Table2[GameDate], "&lt;=" &amp; $A68, Table2[HomeTeam], M$1)</f>
        <v>30</v>
      </c>
      <c r="N68" s="145">
        <f>SUMIFS(Table2[NewPointsAway],Table2[GameDate], "&lt;=" &amp; $A68, Table2[AwayTeam], N$1)+SUMIFS(Table2[NewPointsHome],Table2[GameDate], "&lt;=" &amp; $A68, Table2[HomeTeam], N$1)</f>
        <v>35</v>
      </c>
      <c r="O68" s="145">
        <f>SUMIFS(Table2[NewPointsAway],Table2[GameDate], "&lt;=" &amp; $A68, Table2[AwayTeam], O$1)+SUMIFS(Table2[NewPointsHome],Table2[GameDate], "&lt;=" &amp; $A68, Table2[HomeTeam], O$1)</f>
        <v>37</v>
      </c>
      <c r="P68" s="145">
        <f>SUMIFS(Table2[NewPointsAway],Table2[GameDate], "&lt;=" &amp; $A68, Table2[AwayTeam], P$1)+SUMIFS(Table2[NewPointsHome],Table2[GameDate], "&lt;=" &amp; $A68, Table2[HomeTeam], P$1)</f>
        <v>33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24</v>
      </c>
      <c r="S68" s="145">
        <f>SUMIFS(Table2[NewPointsAway],Table2[GameDate], "&lt;=" &amp; $A68, Table2[AwayTeam], S$1)+SUMIFS(Table2[NewPointsHome],Table2[GameDate], "&lt;=" &amp; $A68, Table2[HomeTeam], S$1)</f>
        <v>35</v>
      </c>
      <c r="T68" s="145">
        <f>SUMIFS(Table2[NewPointsAway],Table2[GameDate], "&lt;=" &amp; $A68, Table2[AwayTeam], T$1)+SUMIFS(Table2[NewPointsHome],Table2[GameDate], "&lt;=" &amp; $A68, Table2[HomeTeam], T$1)</f>
        <v>34</v>
      </c>
      <c r="U68" s="145">
        <f>SUMIFS(Table2[NewPointsAway],Table2[GameDate], "&lt;=" &amp; $A68, Table2[AwayTeam], U$1)+SUMIFS(Table2[NewPointsHome],Table2[GameDate], "&lt;=" &amp; $A68, Table2[HomeTeam], U$1)</f>
        <v>30</v>
      </c>
      <c r="V68" s="145">
        <f>SUMIFS(Table2[NewPointsAway],Table2[GameDate], "&lt;=" &amp; $A68, Table2[AwayTeam], V$1)+SUMIFS(Table2[NewPointsHome],Table2[GameDate], "&lt;=" &amp; $A68, Table2[HomeTeam], V$1)</f>
        <v>32</v>
      </c>
      <c r="W68" s="145">
        <f>SUMIFS(Table2[NewPointsAway],Table2[GameDate], "&lt;=" &amp; $A68, Table2[AwayTeam], W$1)+SUMIFS(Table2[NewPointsHome],Table2[GameDate], "&lt;=" &amp; $A68, Table2[HomeTeam], W$1)</f>
        <v>34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31</v>
      </c>
      <c r="Z68" s="145">
        <f>SUMIFS(Table2[NewPointsAway],Table2[GameDate], "&lt;=" &amp; $A68, Table2[AwayTeam], Z$1)+SUMIFS(Table2[NewPointsHome],Table2[GameDate], "&lt;=" &amp; $A68, Table2[HomeTeam], Z$1)</f>
        <v>30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32</v>
      </c>
      <c r="AC68" s="145">
        <f>SUMIFS(Table2[NewPointsAway],Table2[GameDate], "&lt;=" &amp; $A68, Table2[AwayTeam], AC$1)+SUMIFS(Table2[NewPointsHome],Table2[GameDate], "&lt;=" &amp; $A68, Table2[HomeTeam], AC$1)</f>
        <v>31</v>
      </c>
      <c r="AD68" s="145">
        <f>SUMIFS(Table2[NewPointsAway],Table2[GameDate], "&lt;=" &amp; $A68, Table2[AwayTeam], AD$1)+SUMIFS(Table2[NewPointsHome],Table2[GameDate], "&lt;=" &amp; $A68, Table2[HomeTeam], AD$1)</f>
        <v>25</v>
      </c>
      <c r="AE68" s="145">
        <f>SUMIFS(Table2[NewPointsAway],Table2[GameDate], "&lt;=" &amp; $A68, Table2[AwayTeam], AE$1)+SUMIFS(Table2[NewPointsHome],Table2[GameDate], "&lt;=" &amp; $A68, Table2[HomeTeam], AE$1)</f>
        <v>36</v>
      </c>
      <c r="AF68" s="145">
        <f>SUMIFS(Table2[NewPointsAway],Table2[GameDate], "&lt;=" &amp; $A68, Table2[AwayTeam], AF$1)+SUMIFS(Table2[NewPointsHome],Table2[GameDate], "&lt;=" &amp; $A68, Table2[HomeTeam], AF$1)</f>
        <v>29</v>
      </c>
      <c r="AG68" s="145">
        <f>SUMIFS(Table2[NewPointsAway],Table2[GameDate], "&lt;=" &amp; $A68, Table2[AwayTeam], AG$1)+SUMIFS(Table2[NewPointsHome],Table2[GameDate], "&lt;=" &amp; $A68, Table2[HomeTeam], AG$1)</f>
        <v>39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37</v>
      </c>
      <c r="C69" s="145">
        <f>SUMIFS(Table2[NewPointsAway],Table2[GameDate], "&lt;=" &amp; $A69, Table2[AwayTeam], C$1)+SUMIFS(Table2[NewPointsHome],Table2[GameDate], "&lt;=" &amp; $A69, Table2[HomeTeam], C$1)</f>
        <v>34</v>
      </c>
      <c r="D69" s="145">
        <f>SUMIFS(Table2[NewPointsAway],Table2[GameDate], "&lt;=" &amp; $A69, Table2[AwayTeam], D$1)+SUMIFS(Table2[NewPointsHome],Table2[GameDate], "&lt;=" &amp; $A69, Table2[HomeTeam], D$1)</f>
        <v>26</v>
      </c>
      <c r="E69" s="145">
        <f>SUMIFS(Table2[NewPointsAway],Table2[GameDate], "&lt;=" &amp; $A69, Table2[AwayTeam], E$1)+SUMIFS(Table2[NewPointsHome],Table2[GameDate], "&lt;=" &amp; $A69, Table2[HomeTeam], E$1)</f>
        <v>36</v>
      </c>
      <c r="F69" s="145">
        <f>SUMIFS(Table2[NewPointsAway],Table2[GameDate], "&lt;=" &amp; $A69, Table2[AwayTeam], F$1)+SUMIFS(Table2[NewPointsHome],Table2[GameDate], "&lt;=" &amp; $A69, Table2[HomeTeam], F$1)</f>
        <v>32</v>
      </c>
      <c r="G69" s="145">
        <f>SUMIFS(Table2[NewPointsAway],Table2[GameDate], "&lt;=" &amp; $A69, Table2[AwayTeam], G$1)+SUMIFS(Table2[NewPointsHome],Table2[GameDate], "&lt;=" &amp; $A69, Table2[HomeTeam], G$1)</f>
        <v>28</v>
      </c>
      <c r="H69" s="145">
        <f>SUMIFS(Table2[NewPointsAway],Table2[GameDate], "&lt;=" &amp; $A69, Table2[AwayTeam], H$1)+SUMIFS(Table2[NewPointsHome],Table2[GameDate], "&lt;=" &amp; $A69, Table2[HomeTeam], H$1)</f>
        <v>30</v>
      </c>
      <c r="I69" s="145">
        <f>SUMIFS(Table2[NewPointsAway],Table2[GameDate], "&lt;=" &amp; $A69, Table2[AwayTeam], I$1)+SUMIFS(Table2[NewPointsHome],Table2[GameDate], "&lt;=" &amp; $A69, Table2[HomeTeam], I$1)</f>
        <v>48</v>
      </c>
      <c r="J69" s="145">
        <f>SUMIFS(Table2[NewPointsAway],Table2[GameDate], "&lt;=" &amp; $A69, Table2[AwayTeam], J$1)+SUMIFS(Table2[NewPointsHome],Table2[GameDate], "&lt;=" &amp; $A69, Table2[HomeTeam], J$1)</f>
        <v>45</v>
      </c>
      <c r="K69" s="145">
        <f>SUMIFS(Table2[NewPointsAway],Table2[GameDate], "&lt;=" &amp; $A69, Table2[AwayTeam], K$1)+SUMIFS(Table2[NewPointsHome],Table2[GameDate], "&lt;=" &amp; $A69, Table2[HomeTeam], K$1)</f>
        <v>35</v>
      </c>
      <c r="L69" s="145">
        <f>SUMIFS(Table2[NewPointsAway],Table2[GameDate], "&lt;=" &amp; $A69, Table2[AwayTeam], L$1)+SUMIFS(Table2[NewPointsHome],Table2[GameDate], "&lt;=" &amp; $A69, Table2[HomeTeam], L$1)</f>
        <v>31</v>
      </c>
      <c r="M69" s="145">
        <f>SUMIFS(Table2[NewPointsAway],Table2[GameDate], "&lt;=" &amp; $A69, Table2[AwayTeam], M$1)+SUMIFS(Table2[NewPointsHome],Table2[GameDate], "&lt;=" &amp; $A69, Table2[HomeTeam], M$1)</f>
        <v>30</v>
      </c>
      <c r="N69" s="145">
        <f>SUMIFS(Table2[NewPointsAway],Table2[GameDate], "&lt;=" &amp; $A69, Table2[AwayTeam], N$1)+SUMIFS(Table2[NewPointsHome],Table2[GameDate], "&lt;=" &amp; $A69, Table2[HomeTeam], N$1)</f>
        <v>35</v>
      </c>
      <c r="O69" s="145">
        <f>SUMIFS(Table2[NewPointsAway],Table2[GameDate], "&lt;=" &amp; $A69, Table2[AwayTeam], O$1)+SUMIFS(Table2[NewPointsHome],Table2[GameDate], "&lt;=" &amp; $A69, Table2[HomeTeam], O$1)</f>
        <v>37</v>
      </c>
      <c r="P69" s="145">
        <f>SUMIFS(Table2[NewPointsAway],Table2[GameDate], "&lt;=" &amp; $A69, Table2[AwayTeam], P$1)+SUMIFS(Table2[NewPointsHome],Table2[GameDate], "&lt;=" &amp; $A69, Table2[HomeTeam], P$1)</f>
        <v>33</v>
      </c>
      <c r="Q69" s="145">
        <f>SUMIFS(Table2[NewPointsAway],Table2[GameDate], "&lt;=" &amp; $A69, Table2[AwayTeam], Q$1)+SUMIFS(Table2[NewPointsHome],Table2[GameDate], "&lt;=" &amp; $A69, Table2[HomeTeam], Q$1)</f>
        <v>33</v>
      </c>
      <c r="R69" s="145">
        <f>SUMIFS(Table2[NewPointsAway],Table2[GameDate], "&lt;=" &amp; $A69, Table2[AwayTeam], R$1)+SUMIFS(Table2[NewPointsHome],Table2[GameDate], "&lt;=" &amp; $A69, Table2[HomeTeam], R$1)</f>
        <v>24</v>
      </c>
      <c r="S69" s="145">
        <f>SUMIFS(Table2[NewPointsAway],Table2[GameDate], "&lt;=" &amp; $A69, Table2[AwayTeam], S$1)+SUMIFS(Table2[NewPointsHome],Table2[GameDate], "&lt;=" &amp; $A69, Table2[HomeTeam], S$1)</f>
        <v>35</v>
      </c>
      <c r="T69" s="145">
        <f>SUMIFS(Table2[NewPointsAway],Table2[GameDate], "&lt;=" &amp; $A69, Table2[AwayTeam], T$1)+SUMIFS(Table2[NewPointsHome],Table2[GameDate], "&lt;=" &amp; $A69, Table2[HomeTeam], T$1)</f>
        <v>34</v>
      </c>
      <c r="U69" s="145">
        <f>SUMIFS(Table2[NewPointsAway],Table2[GameDate], "&lt;=" &amp; $A69, Table2[AwayTeam], U$1)+SUMIFS(Table2[NewPointsHome],Table2[GameDate], "&lt;=" &amp; $A69, Table2[HomeTeam], U$1)</f>
        <v>30</v>
      </c>
      <c r="V69" s="145">
        <f>SUMIFS(Table2[NewPointsAway],Table2[GameDate], "&lt;=" &amp; $A69, Table2[AwayTeam], V$1)+SUMIFS(Table2[NewPointsHome],Table2[GameDate], "&lt;=" &amp; $A69, Table2[HomeTeam], V$1)</f>
        <v>32</v>
      </c>
      <c r="W69" s="145">
        <f>SUMIFS(Table2[NewPointsAway],Table2[GameDate], "&lt;=" &amp; $A69, Table2[AwayTeam], W$1)+SUMIFS(Table2[NewPointsHome],Table2[GameDate], "&lt;=" &amp; $A69, Table2[HomeTeam], W$1)</f>
        <v>34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31</v>
      </c>
      <c r="Z69" s="145">
        <f>SUMIFS(Table2[NewPointsAway],Table2[GameDate], "&lt;=" &amp; $A69, Table2[AwayTeam], Z$1)+SUMIFS(Table2[NewPointsHome],Table2[GameDate], "&lt;=" &amp; $A69, Table2[HomeTeam], Z$1)</f>
        <v>30</v>
      </c>
      <c r="AA69" s="145">
        <f>SUMIFS(Table2[NewPointsAway],Table2[GameDate], "&lt;=" &amp; $A69, Table2[AwayTeam], AA$1)+SUMIFS(Table2[NewPointsHome],Table2[GameDate], "&lt;=" &amp; $A69, Table2[HomeTeam], AA$1)</f>
        <v>34</v>
      </c>
      <c r="AB69" s="145">
        <f>SUMIFS(Table2[NewPointsAway],Table2[GameDate], "&lt;=" &amp; $A69, Table2[AwayTeam], AB$1)+SUMIFS(Table2[NewPointsHome],Table2[GameDate], "&lt;=" &amp; $A69, Table2[HomeTeam], AB$1)</f>
        <v>32</v>
      </c>
      <c r="AC69" s="145">
        <f>SUMIFS(Table2[NewPointsAway],Table2[GameDate], "&lt;=" &amp; $A69, Table2[AwayTeam], AC$1)+SUMIFS(Table2[NewPointsHome],Table2[GameDate], "&lt;=" &amp; $A69, Table2[HomeTeam], AC$1)</f>
        <v>31</v>
      </c>
      <c r="AD69" s="145">
        <f>SUMIFS(Table2[NewPointsAway],Table2[GameDate], "&lt;=" &amp; $A69, Table2[AwayTeam], AD$1)+SUMIFS(Table2[NewPointsHome],Table2[GameDate], "&lt;=" &amp; $A69, Table2[HomeTeam], AD$1)</f>
        <v>25</v>
      </c>
      <c r="AE69" s="145">
        <f>SUMIFS(Table2[NewPointsAway],Table2[GameDate], "&lt;=" &amp; $A69, Table2[AwayTeam], AE$1)+SUMIFS(Table2[NewPointsHome],Table2[GameDate], "&lt;=" &amp; $A69, Table2[HomeTeam], AE$1)</f>
        <v>36</v>
      </c>
      <c r="AF69" s="145">
        <f>SUMIFS(Table2[NewPointsAway],Table2[GameDate], "&lt;=" &amp; $A69, Table2[AwayTeam], AF$1)+SUMIFS(Table2[NewPointsHome],Table2[GameDate], "&lt;=" &amp; $A69, Table2[HomeTeam], AF$1)</f>
        <v>29</v>
      </c>
      <c r="AG69" s="145">
        <f>SUMIFS(Table2[NewPointsAway],Table2[GameDate], "&lt;=" &amp; $A69, Table2[AwayTeam], AG$1)+SUMIFS(Table2[NewPointsHome],Table2[GameDate], "&lt;=" &amp; $A69, Table2[HomeTeam], AG$1)</f>
        <v>39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37</v>
      </c>
      <c r="C70" s="145">
        <f>SUMIFS(Table2[NewPointsAway],Table2[GameDate], "&lt;=" &amp; $A70, Table2[AwayTeam], C$1)+SUMIFS(Table2[NewPointsHome],Table2[GameDate], "&lt;=" &amp; $A70, Table2[HomeTeam], C$1)</f>
        <v>34</v>
      </c>
      <c r="D70" s="145">
        <f>SUMIFS(Table2[NewPointsAway],Table2[GameDate], "&lt;=" &amp; $A70, Table2[AwayTeam], D$1)+SUMIFS(Table2[NewPointsHome],Table2[GameDate], "&lt;=" &amp; $A70, Table2[HomeTeam], D$1)</f>
        <v>26</v>
      </c>
      <c r="E70" s="145">
        <f>SUMIFS(Table2[NewPointsAway],Table2[GameDate], "&lt;=" &amp; $A70, Table2[AwayTeam], E$1)+SUMIFS(Table2[NewPointsHome],Table2[GameDate], "&lt;=" &amp; $A70, Table2[HomeTeam], E$1)</f>
        <v>36</v>
      </c>
      <c r="F70" s="145">
        <f>SUMIFS(Table2[NewPointsAway],Table2[GameDate], "&lt;=" &amp; $A70, Table2[AwayTeam], F$1)+SUMIFS(Table2[NewPointsHome],Table2[GameDate], "&lt;=" &amp; $A70, Table2[HomeTeam], F$1)</f>
        <v>32</v>
      </c>
      <c r="G70" s="145">
        <f>SUMIFS(Table2[NewPointsAway],Table2[GameDate], "&lt;=" &amp; $A70, Table2[AwayTeam], G$1)+SUMIFS(Table2[NewPointsHome],Table2[GameDate], "&lt;=" &amp; $A70, Table2[HomeTeam], G$1)</f>
        <v>28</v>
      </c>
      <c r="H70" s="145">
        <f>SUMIFS(Table2[NewPointsAway],Table2[GameDate], "&lt;=" &amp; $A70, Table2[AwayTeam], H$1)+SUMIFS(Table2[NewPointsHome],Table2[GameDate], "&lt;=" &amp; $A70, Table2[HomeTeam], H$1)</f>
        <v>30</v>
      </c>
      <c r="I70" s="145">
        <f>SUMIFS(Table2[NewPointsAway],Table2[GameDate], "&lt;=" &amp; $A70, Table2[AwayTeam], I$1)+SUMIFS(Table2[NewPointsHome],Table2[GameDate], "&lt;=" &amp; $A70, Table2[HomeTeam], I$1)</f>
        <v>48</v>
      </c>
      <c r="J70" s="145">
        <f>SUMIFS(Table2[NewPointsAway],Table2[GameDate], "&lt;=" &amp; $A70, Table2[AwayTeam], J$1)+SUMIFS(Table2[NewPointsHome],Table2[GameDate], "&lt;=" &amp; $A70, Table2[HomeTeam], J$1)</f>
        <v>45</v>
      </c>
      <c r="K70" s="145">
        <f>SUMIFS(Table2[NewPointsAway],Table2[GameDate], "&lt;=" &amp; $A70, Table2[AwayTeam], K$1)+SUMIFS(Table2[NewPointsHome],Table2[GameDate], "&lt;=" &amp; $A70, Table2[HomeTeam], K$1)</f>
        <v>35</v>
      </c>
      <c r="L70" s="145">
        <f>SUMIFS(Table2[NewPointsAway],Table2[GameDate], "&lt;=" &amp; $A70, Table2[AwayTeam], L$1)+SUMIFS(Table2[NewPointsHome],Table2[GameDate], "&lt;=" &amp; $A70, Table2[HomeTeam], L$1)</f>
        <v>31</v>
      </c>
      <c r="M70" s="145">
        <f>SUMIFS(Table2[NewPointsAway],Table2[GameDate], "&lt;=" &amp; $A70, Table2[AwayTeam], M$1)+SUMIFS(Table2[NewPointsHome],Table2[GameDate], "&lt;=" &amp; $A70, Table2[HomeTeam], M$1)</f>
        <v>30</v>
      </c>
      <c r="N70" s="145">
        <f>SUMIFS(Table2[NewPointsAway],Table2[GameDate], "&lt;=" &amp; $A70, Table2[AwayTeam], N$1)+SUMIFS(Table2[NewPointsHome],Table2[GameDate], "&lt;=" &amp; $A70, Table2[HomeTeam], N$1)</f>
        <v>35</v>
      </c>
      <c r="O70" s="145">
        <f>SUMIFS(Table2[NewPointsAway],Table2[GameDate], "&lt;=" &amp; $A70, Table2[AwayTeam], O$1)+SUMIFS(Table2[NewPointsHome],Table2[GameDate], "&lt;=" &amp; $A70, Table2[HomeTeam], O$1)</f>
        <v>37</v>
      </c>
      <c r="P70" s="145">
        <f>SUMIFS(Table2[NewPointsAway],Table2[GameDate], "&lt;=" &amp; $A70, Table2[AwayTeam], P$1)+SUMIFS(Table2[NewPointsHome],Table2[GameDate], "&lt;=" &amp; $A70, Table2[HomeTeam], P$1)</f>
        <v>33</v>
      </c>
      <c r="Q70" s="145">
        <f>SUMIFS(Table2[NewPointsAway],Table2[GameDate], "&lt;=" &amp; $A70, Table2[AwayTeam], Q$1)+SUMIFS(Table2[NewPointsHome],Table2[GameDate], "&lt;=" &amp; $A70, Table2[HomeTeam], Q$1)</f>
        <v>33</v>
      </c>
      <c r="R70" s="145">
        <f>SUMIFS(Table2[NewPointsAway],Table2[GameDate], "&lt;=" &amp; $A70, Table2[AwayTeam], R$1)+SUMIFS(Table2[NewPointsHome],Table2[GameDate], "&lt;=" &amp; $A70, Table2[HomeTeam], R$1)</f>
        <v>24</v>
      </c>
      <c r="S70" s="145">
        <f>SUMIFS(Table2[NewPointsAway],Table2[GameDate], "&lt;=" &amp; $A70, Table2[AwayTeam], S$1)+SUMIFS(Table2[NewPointsHome],Table2[GameDate], "&lt;=" &amp; $A70, Table2[HomeTeam], S$1)</f>
        <v>35</v>
      </c>
      <c r="T70" s="145">
        <f>SUMIFS(Table2[NewPointsAway],Table2[GameDate], "&lt;=" &amp; $A70, Table2[AwayTeam], T$1)+SUMIFS(Table2[NewPointsHome],Table2[GameDate], "&lt;=" &amp; $A70, Table2[HomeTeam], T$1)</f>
        <v>34</v>
      </c>
      <c r="U70" s="145">
        <f>SUMIFS(Table2[NewPointsAway],Table2[GameDate], "&lt;=" &amp; $A70, Table2[AwayTeam], U$1)+SUMIFS(Table2[NewPointsHome],Table2[GameDate], "&lt;=" &amp; $A70, Table2[HomeTeam], U$1)</f>
        <v>30</v>
      </c>
      <c r="V70" s="145">
        <f>SUMIFS(Table2[NewPointsAway],Table2[GameDate], "&lt;=" &amp; $A70, Table2[AwayTeam], V$1)+SUMIFS(Table2[NewPointsHome],Table2[GameDate], "&lt;=" &amp; $A70, Table2[HomeTeam], V$1)</f>
        <v>32</v>
      </c>
      <c r="W70" s="145">
        <f>SUMIFS(Table2[NewPointsAway],Table2[GameDate], "&lt;=" &amp; $A70, Table2[AwayTeam], W$1)+SUMIFS(Table2[NewPointsHome],Table2[GameDate], "&lt;=" &amp; $A70, Table2[HomeTeam], W$1)</f>
        <v>34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31</v>
      </c>
      <c r="Z70" s="145">
        <f>SUMIFS(Table2[NewPointsAway],Table2[GameDate], "&lt;=" &amp; $A70, Table2[AwayTeam], Z$1)+SUMIFS(Table2[NewPointsHome],Table2[GameDate], "&lt;=" &amp; $A70, Table2[HomeTeam], Z$1)</f>
        <v>30</v>
      </c>
      <c r="AA70" s="145">
        <f>SUMIFS(Table2[NewPointsAway],Table2[GameDate], "&lt;=" &amp; $A70, Table2[AwayTeam], AA$1)+SUMIFS(Table2[NewPointsHome],Table2[GameDate], "&lt;=" &amp; $A70, Table2[HomeTeam], AA$1)</f>
        <v>34</v>
      </c>
      <c r="AB70" s="145">
        <f>SUMIFS(Table2[NewPointsAway],Table2[GameDate], "&lt;=" &amp; $A70, Table2[AwayTeam], AB$1)+SUMIFS(Table2[NewPointsHome],Table2[GameDate], "&lt;=" &amp; $A70, Table2[HomeTeam], AB$1)</f>
        <v>32</v>
      </c>
      <c r="AC70" s="145">
        <f>SUMIFS(Table2[NewPointsAway],Table2[GameDate], "&lt;=" &amp; $A70, Table2[AwayTeam], AC$1)+SUMIFS(Table2[NewPointsHome],Table2[GameDate], "&lt;=" &amp; $A70, Table2[HomeTeam], AC$1)</f>
        <v>31</v>
      </c>
      <c r="AD70" s="145">
        <f>SUMIFS(Table2[NewPointsAway],Table2[GameDate], "&lt;=" &amp; $A70, Table2[AwayTeam], AD$1)+SUMIFS(Table2[NewPointsHome],Table2[GameDate], "&lt;=" &amp; $A70, Table2[HomeTeam], AD$1)</f>
        <v>25</v>
      </c>
      <c r="AE70" s="145">
        <f>SUMIFS(Table2[NewPointsAway],Table2[GameDate], "&lt;=" &amp; $A70, Table2[AwayTeam], AE$1)+SUMIFS(Table2[NewPointsHome],Table2[GameDate], "&lt;=" &amp; $A70, Table2[HomeTeam], AE$1)</f>
        <v>36</v>
      </c>
      <c r="AF70" s="145">
        <f>SUMIFS(Table2[NewPointsAway],Table2[GameDate], "&lt;=" &amp; $A70, Table2[AwayTeam], AF$1)+SUMIFS(Table2[NewPointsHome],Table2[GameDate], "&lt;=" &amp; $A70, Table2[HomeTeam], AF$1)</f>
        <v>29</v>
      </c>
      <c r="AG70" s="145">
        <f>SUMIFS(Table2[NewPointsAway],Table2[GameDate], "&lt;=" &amp; $A70, Table2[AwayTeam], AG$1)+SUMIFS(Table2[NewPointsHome],Table2[GameDate], "&lt;=" &amp; $A70, Table2[HomeTeam], AG$1)</f>
        <v>39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37</v>
      </c>
      <c r="C71" s="145">
        <f>SUMIFS(Table2[NewPointsAway],Table2[GameDate], "&lt;=" &amp; $A71, Table2[AwayTeam], C$1)+SUMIFS(Table2[NewPointsHome],Table2[GameDate], "&lt;=" &amp; $A71, Table2[HomeTeam], C$1)</f>
        <v>34</v>
      </c>
      <c r="D71" s="145">
        <f>SUMIFS(Table2[NewPointsAway],Table2[GameDate], "&lt;=" &amp; $A71, Table2[AwayTeam], D$1)+SUMIFS(Table2[NewPointsHome],Table2[GameDate], "&lt;=" &amp; $A71, Table2[HomeTeam], D$1)</f>
        <v>26</v>
      </c>
      <c r="E71" s="145">
        <f>SUMIFS(Table2[NewPointsAway],Table2[GameDate], "&lt;=" &amp; $A71, Table2[AwayTeam], E$1)+SUMIFS(Table2[NewPointsHome],Table2[GameDate], "&lt;=" &amp; $A71, Table2[HomeTeam], E$1)</f>
        <v>36</v>
      </c>
      <c r="F71" s="145">
        <f>SUMIFS(Table2[NewPointsAway],Table2[GameDate], "&lt;=" &amp; $A71, Table2[AwayTeam], F$1)+SUMIFS(Table2[NewPointsHome],Table2[GameDate], "&lt;=" &amp; $A71, Table2[HomeTeam], F$1)</f>
        <v>32</v>
      </c>
      <c r="G71" s="145">
        <f>SUMIFS(Table2[NewPointsAway],Table2[GameDate], "&lt;=" &amp; $A71, Table2[AwayTeam], G$1)+SUMIFS(Table2[NewPointsHome],Table2[GameDate], "&lt;=" &amp; $A71, Table2[HomeTeam], G$1)</f>
        <v>28</v>
      </c>
      <c r="H71" s="145">
        <f>SUMIFS(Table2[NewPointsAway],Table2[GameDate], "&lt;=" &amp; $A71, Table2[AwayTeam], H$1)+SUMIFS(Table2[NewPointsHome],Table2[GameDate], "&lt;=" &amp; $A71, Table2[HomeTeam], H$1)</f>
        <v>30</v>
      </c>
      <c r="I71" s="145">
        <f>SUMIFS(Table2[NewPointsAway],Table2[GameDate], "&lt;=" &amp; $A71, Table2[AwayTeam], I$1)+SUMIFS(Table2[NewPointsHome],Table2[GameDate], "&lt;=" &amp; $A71, Table2[HomeTeam], I$1)</f>
        <v>48</v>
      </c>
      <c r="J71" s="145">
        <f>SUMIFS(Table2[NewPointsAway],Table2[GameDate], "&lt;=" &amp; $A71, Table2[AwayTeam], J$1)+SUMIFS(Table2[NewPointsHome],Table2[GameDate], "&lt;=" &amp; $A71, Table2[HomeTeam], J$1)</f>
        <v>45</v>
      </c>
      <c r="K71" s="145">
        <f>SUMIFS(Table2[NewPointsAway],Table2[GameDate], "&lt;=" &amp; $A71, Table2[AwayTeam], K$1)+SUMIFS(Table2[NewPointsHome],Table2[GameDate], "&lt;=" &amp; $A71, Table2[HomeTeam], K$1)</f>
        <v>35</v>
      </c>
      <c r="L71" s="145">
        <f>SUMIFS(Table2[NewPointsAway],Table2[GameDate], "&lt;=" &amp; $A71, Table2[AwayTeam], L$1)+SUMIFS(Table2[NewPointsHome],Table2[GameDate], "&lt;=" &amp; $A71, Table2[HomeTeam], L$1)</f>
        <v>31</v>
      </c>
      <c r="M71" s="145">
        <f>SUMIFS(Table2[NewPointsAway],Table2[GameDate], "&lt;=" &amp; $A71, Table2[AwayTeam], M$1)+SUMIFS(Table2[NewPointsHome],Table2[GameDate], "&lt;=" &amp; $A71, Table2[HomeTeam], M$1)</f>
        <v>30</v>
      </c>
      <c r="N71" s="145">
        <f>SUMIFS(Table2[NewPointsAway],Table2[GameDate], "&lt;=" &amp; $A71, Table2[AwayTeam], N$1)+SUMIFS(Table2[NewPointsHome],Table2[GameDate], "&lt;=" &amp; $A71, Table2[HomeTeam], N$1)</f>
        <v>35</v>
      </c>
      <c r="O71" s="145">
        <f>SUMIFS(Table2[NewPointsAway],Table2[GameDate], "&lt;=" &amp; $A71, Table2[AwayTeam], O$1)+SUMIFS(Table2[NewPointsHome],Table2[GameDate], "&lt;=" &amp; $A71, Table2[HomeTeam], O$1)</f>
        <v>37</v>
      </c>
      <c r="P71" s="145">
        <f>SUMIFS(Table2[NewPointsAway],Table2[GameDate], "&lt;=" &amp; $A71, Table2[AwayTeam], P$1)+SUMIFS(Table2[NewPointsHome],Table2[GameDate], "&lt;=" &amp; $A71, Table2[HomeTeam], P$1)</f>
        <v>33</v>
      </c>
      <c r="Q71" s="145">
        <f>SUMIFS(Table2[NewPointsAway],Table2[GameDate], "&lt;=" &amp; $A71, Table2[AwayTeam], Q$1)+SUMIFS(Table2[NewPointsHome],Table2[GameDate], "&lt;=" &amp; $A71, Table2[HomeTeam], Q$1)</f>
        <v>33</v>
      </c>
      <c r="R71" s="145">
        <f>SUMIFS(Table2[NewPointsAway],Table2[GameDate], "&lt;=" &amp; $A71, Table2[AwayTeam], R$1)+SUMIFS(Table2[NewPointsHome],Table2[GameDate], "&lt;=" &amp; $A71, Table2[HomeTeam], R$1)</f>
        <v>24</v>
      </c>
      <c r="S71" s="145">
        <f>SUMIFS(Table2[NewPointsAway],Table2[GameDate], "&lt;=" &amp; $A71, Table2[AwayTeam], S$1)+SUMIFS(Table2[NewPointsHome],Table2[GameDate], "&lt;=" &amp; $A71, Table2[HomeTeam], S$1)</f>
        <v>35</v>
      </c>
      <c r="T71" s="145">
        <f>SUMIFS(Table2[NewPointsAway],Table2[GameDate], "&lt;=" &amp; $A71, Table2[AwayTeam], T$1)+SUMIFS(Table2[NewPointsHome],Table2[GameDate], "&lt;=" &amp; $A71, Table2[HomeTeam], T$1)</f>
        <v>34</v>
      </c>
      <c r="U71" s="145">
        <f>SUMIFS(Table2[NewPointsAway],Table2[GameDate], "&lt;=" &amp; $A71, Table2[AwayTeam], U$1)+SUMIFS(Table2[NewPointsHome],Table2[GameDate], "&lt;=" &amp; $A71, Table2[HomeTeam], U$1)</f>
        <v>30</v>
      </c>
      <c r="V71" s="145">
        <f>SUMIFS(Table2[NewPointsAway],Table2[GameDate], "&lt;=" &amp; $A71, Table2[AwayTeam], V$1)+SUMIFS(Table2[NewPointsHome],Table2[GameDate], "&lt;=" &amp; $A71, Table2[HomeTeam], V$1)</f>
        <v>32</v>
      </c>
      <c r="W71" s="145">
        <f>SUMIFS(Table2[NewPointsAway],Table2[GameDate], "&lt;=" &amp; $A71, Table2[AwayTeam], W$1)+SUMIFS(Table2[NewPointsHome],Table2[GameDate], "&lt;=" &amp; $A71, Table2[HomeTeam], W$1)</f>
        <v>34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31</v>
      </c>
      <c r="Z71" s="145">
        <f>SUMIFS(Table2[NewPointsAway],Table2[GameDate], "&lt;=" &amp; $A71, Table2[AwayTeam], Z$1)+SUMIFS(Table2[NewPointsHome],Table2[GameDate], "&lt;=" &amp; $A71, Table2[HomeTeam], Z$1)</f>
        <v>30</v>
      </c>
      <c r="AA71" s="145">
        <f>SUMIFS(Table2[NewPointsAway],Table2[GameDate], "&lt;=" &amp; $A71, Table2[AwayTeam], AA$1)+SUMIFS(Table2[NewPointsHome],Table2[GameDate], "&lt;=" &amp; $A71, Table2[HomeTeam], AA$1)</f>
        <v>34</v>
      </c>
      <c r="AB71" s="145">
        <f>SUMIFS(Table2[NewPointsAway],Table2[GameDate], "&lt;=" &amp; $A71, Table2[AwayTeam], AB$1)+SUMIFS(Table2[NewPointsHome],Table2[GameDate], "&lt;=" &amp; $A71, Table2[HomeTeam], AB$1)</f>
        <v>32</v>
      </c>
      <c r="AC71" s="145">
        <f>SUMIFS(Table2[NewPointsAway],Table2[GameDate], "&lt;=" &amp; $A71, Table2[AwayTeam], AC$1)+SUMIFS(Table2[NewPointsHome],Table2[GameDate], "&lt;=" &amp; $A71, Table2[HomeTeam], AC$1)</f>
        <v>31</v>
      </c>
      <c r="AD71" s="145">
        <f>SUMIFS(Table2[NewPointsAway],Table2[GameDate], "&lt;=" &amp; $A71, Table2[AwayTeam], AD$1)+SUMIFS(Table2[NewPointsHome],Table2[GameDate], "&lt;=" &amp; $A71, Table2[HomeTeam], AD$1)</f>
        <v>25</v>
      </c>
      <c r="AE71" s="145">
        <f>SUMIFS(Table2[NewPointsAway],Table2[GameDate], "&lt;=" &amp; $A71, Table2[AwayTeam], AE$1)+SUMIFS(Table2[NewPointsHome],Table2[GameDate], "&lt;=" &amp; $A71, Table2[HomeTeam], AE$1)</f>
        <v>36</v>
      </c>
      <c r="AF71" s="145">
        <f>SUMIFS(Table2[NewPointsAway],Table2[GameDate], "&lt;=" &amp; $A71, Table2[AwayTeam], AF$1)+SUMIFS(Table2[NewPointsHome],Table2[GameDate], "&lt;=" &amp; $A71, Table2[HomeTeam], AF$1)</f>
        <v>29</v>
      </c>
      <c r="AG71" s="145">
        <f>SUMIFS(Table2[NewPointsAway],Table2[GameDate], "&lt;=" &amp; $A71, Table2[AwayTeam], AG$1)+SUMIFS(Table2[NewPointsHome],Table2[GameDate], "&lt;=" &amp; $A71, Table2[HomeTeam], AG$1)</f>
        <v>39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37</v>
      </c>
      <c r="C72" s="145">
        <f>SUMIFS(Table2[NewPointsAway],Table2[GameDate], "&lt;=" &amp; $A72, Table2[AwayTeam], C$1)+SUMIFS(Table2[NewPointsHome],Table2[GameDate], "&lt;=" &amp; $A72, Table2[HomeTeam], C$1)</f>
        <v>34</v>
      </c>
      <c r="D72" s="145">
        <f>SUMIFS(Table2[NewPointsAway],Table2[GameDate], "&lt;=" &amp; $A72, Table2[AwayTeam], D$1)+SUMIFS(Table2[NewPointsHome],Table2[GameDate], "&lt;=" &amp; $A72, Table2[HomeTeam], D$1)</f>
        <v>26</v>
      </c>
      <c r="E72" s="145">
        <f>SUMIFS(Table2[NewPointsAway],Table2[GameDate], "&lt;=" &amp; $A72, Table2[AwayTeam], E$1)+SUMIFS(Table2[NewPointsHome],Table2[GameDate], "&lt;=" &amp; $A72, Table2[HomeTeam], E$1)</f>
        <v>36</v>
      </c>
      <c r="F72" s="145">
        <f>SUMIFS(Table2[NewPointsAway],Table2[GameDate], "&lt;=" &amp; $A72, Table2[AwayTeam], F$1)+SUMIFS(Table2[NewPointsHome],Table2[GameDate], "&lt;=" &amp; $A72, Table2[HomeTeam], F$1)</f>
        <v>32</v>
      </c>
      <c r="G72" s="145">
        <f>SUMIFS(Table2[NewPointsAway],Table2[GameDate], "&lt;=" &amp; $A72, Table2[AwayTeam], G$1)+SUMIFS(Table2[NewPointsHome],Table2[GameDate], "&lt;=" &amp; $A72, Table2[HomeTeam], G$1)</f>
        <v>28</v>
      </c>
      <c r="H72" s="145">
        <f>SUMIFS(Table2[NewPointsAway],Table2[GameDate], "&lt;=" &amp; $A72, Table2[AwayTeam], H$1)+SUMIFS(Table2[NewPointsHome],Table2[GameDate], "&lt;=" &amp; $A72, Table2[HomeTeam], H$1)</f>
        <v>30</v>
      </c>
      <c r="I72" s="145">
        <f>SUMIFS(Table2[NewPointsAway],Table2[GameDate], "&lt;=" &amp; $A72, Table2[AwayTeam], I$1)+SUMIFS(Table2[NewPointsHome],Table2[GameDate], "&lt;=" &amp; $A72, Table2[HomeTeam], I$1)</f>
        <v>48</v>
      </c>
      <c r="J72" s="145">
        <f>SUMIFS(Table2[NewPointsAway],Table2[GameDate], "&lt;=" &amp; $A72, Table2[AwayTeam], J$1)+SUMIFS(Table2[NewPointsHome],Table2[GameDate], "&lt;=" &amp; $A72, Table2[HomeTeam], J$1)</f>
        <v>45</v>
      </c>
      <c r="K72" s="145">
        <f>SUMIFS(Table2[NewPointsAway],Table2[GameDate], "&lt;=" &amp; $A72, Table2[AwayTeam], K$1)+SUMIFS(Table2[NewPointsHome],Table2[GameDate], "&lt;=" &amp; $A72, Table2[HomeTeam], K$1)</f>
        <v>35</v>
      </c>
      <c r="L72" s="145">
        <f>SUMIFS(Table2[NewPointsAway],Table2[GameDate], "&lt;=" &amp; $A72, Table2[AwayTeam], L$1)+SUMIFS(Table2[NewPointsHome],Table2[GameDate], "&lt;=" &amp; $A72, Table2[HomeTeam], L$1)</f>
        <v>31</v>
      </c>
      <c r="M72" s="145">
        <f>SUMIFS(Table2[NewPointsAway],Table2[GameDate], "&lt;=" &amp; $A72, Table2[AwayTeam], M$1)+SUMIFS(Table2[NewPointsHome],Table2[GameDate], "&lt;=" &amp; $A72, Table2[HomeTeam], M$1)</f>
        <v>30</v>
      </c>
      <c r="N72" s="145">
        <f>SUMIFS(Table2[NewPointsAway],Table2[GameDate], "&lt;=" &amp; $A72, Table2[AwayTeam], N$1)+SUMIFS(Table2[NewPointsHome],Table2[GameDate], "&lt;=" &amp; $A72, Table2[HomeTeam], N$1)</f>
        <v>35</v>
      </c>
      <c r="O72" s="145">
        <f>SUMIFS(Table2[NewPointsAway],Table2[GameDate], "&lt;=" &amp; $A72, Table2[AwayTeam], O$1)+SUMIFS(Table2[NewPointsHome],Table2[GameDate], "&lt;=" &amp; $A72, Table2[HomeTeam], O$1)</f>
        <v>37</v>
      </c>
      <c r="P72" s="145">
        <f>SUMIFS(Table2[NewPointsAway],Table2[GameDate], "&lt;=" &amp; $A72, Table2[AwayTeam], P$1)+SUMIFS(Table2[NewPointsHome],Table2[GameDate], "&lt;=" &amp; $A72, Table2[HomeTeam], P$1)</f>
        <v>33</v>
      </c>
      <c r="Q72" s="145">
        <f>SUMIFS(Table2[NewPointsAway],Table2[GameDate], "&lt;=" &amp; $A72, Table2[AwayTeam], Q$1)+SUMIFS(Table2[NewPointsHome],Table2[GameDate], "&lt;=" &amp; $A72, Table2[HomeTeam], Q$1)</f>
        <v>33</v>
      </c>
      <c r="R72" s="145">
        <f>SUMIFS(Table2[NewPointsAway],Table2[GameDate], "&lt;=" &amp; $A72, Table2[AwayTeam], R$1)+SUMIFS(Table2[NewPointsHome],Table2[GameDate], "&lt;=" &amp; $A72, Table2[HomeTeam], R$1)</f>
        <v>24</v>
      </c>
      <c r="S72" s="145">
        <f>SUMIFS(Table2[NewPointsAway],Table2[GameDate], "&lt;=" &amp; $A72, Table2[AwayTeam], S$1)+SUMIFS(Table2[NewPointsHome],Table2[GameDate], "&lt;=" &amp; $A72, Table2[HomeTeam], S$1)</f>
        <v>35</v>
      </c>
      <c r="T72" s="145">
        <f>SUMIFS(Table2[NewPointsAway],Table2[GameDate], "&lt;=" &amp; $A72, Table2[AwayTeam], T$1)+SUMIFS(Table2[NewPointsHome],Table2[GameDate], "&lt;=" &amp; $A72, Table2[HomeTeam], T$1)</f>
        <v>34</v>
      </c>
      <c r="U72" s="145">
        <f>SUMIFS(Table2[NewPointsAway],Table2[GameDate], "&lt;=" &amp; $A72, Table2[AwayTeam], U$1)+SUMIFS(Table2[NewPointsHome],Table2[GameDate], "&lt;=" &amp; $A72, Table2[HomeTeam], U$1)</f>
        <v>30</v>
      </c>
      <c r="V72" s="145">
        <f>SUMIFS(Table2[NewPointsAway],Table2[GameDate], "&lt;=" &amp; $A72, Table2[AwayTeam], V$1)+SUMIFS(Table2[NewPointsHome],Table2[GameDate], "&lt;=" &amp; $A72, Table2[HomeTeam], V$1)</f>
        <v>32</v>
      </c>
      <c r="W72" s="145">
        <f>SUMIFS(Table2[NewPointsAway],Table2[GameDate], "&lt;=" &amp; $A72, Table2[AwayTeam], W$1)+SUMIFS(Table2[NewPointsHome],Table2[GameDate], "&lt;=" &amp; $A72, Table2[HomeTeam], W$1)</f>
        <v>34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31</v>
      </c>
      <c r="Z72" s="145">
        <f>SUMIFS(Table2[NewPointsAway],Table2[GameDate], "&lt;=" &amp; $A72, Table2[AwayTeam], Z$1)+SUMIFS(Table2[NewPointsHome],Table2[GameDate], "&lt;=" &amp; $A72, Table2[HomeTeam], Z$1)</f>
        <v>30</v>
      </c>
      <c r="AA72" s="145">
        <f>SUMIFS(Table2[NewPointsAway],Table2[GameDate], "&lt;=" &amp; $A72, Table2[AwayTeam], AA$1)+SUMIFS(Table2[NewPointsHome],Table2[GameDate], "&lt;=" &amp; $A72, Table2[HomeTeam], AA$1)</f>
        <v>34</v>
      </c>
      <c r="AB72" s="145">
        <f>SUMIFS(Table2[NewPointsAway],Table2[GameDate], "&lt;=" &amp; $A72, Table2[AwayTeam], AB$1)+SUMIFS(Table2[NewPointsHome],Table2[GameDate], "&lt;=" &amp; $A72, Table2[HomeTeam], AB$1)</f>
        <v>32</v>
      </c>
      <c r="AC72" s="145">
        <f>SUMIFS(Table2[NewPointsAway],Table2[GameDate], "&lt;=" &amp; $A72, Table2[AwayTeam], AC$1)+SUMIFS(Table2[NewPointsHome],Table2[GameDate], "&lt;=" &amp; $A72, Table2[HomeTeam], AC$1)</f>
        <v>31</v>
      </c>
      <c r="AD72" s="145">
        <f>SUMIFS(Table2[NewPointsAway],Table2[GameDate], "&lt;=" &amp; $A72, Table2[AwayTeam], AD$1)+SUMIFS(Table2[NewPointsHome],Table2[GameDate], "&lt;=" &amp; $A72, Table2[HomeTeam], AD$1)</f>
        <v>25</v>
      </c>
      <c r="AE72" s="145">
        <f>SUMIFS(Table2[NewPointsAway],Table2[GameDate], "&lt;=" &amp; $A72, Table2[AwayTeam], AE$1)+SUMIFS(Table2[NewPointsHome],Table2[GameDate], "&lt;=" &amp; $A72, Table2[HomeTeam], AE$1)</f>
        <v>36</v>
      </c>
      <c r="AF72" s="145">
        <f>SUMIFS(Table2[NewPointsAway],Table2[GameDate], "&lt;=" &amp; $A72, Table2[AwayTeam], AF$1)+SUMIFS(Table2[NewPointsHome],Table2[GameDate], "&lt;=" &amp; $A72, Table2[HomeTeam], AF$1)</f>
        <v>29</v>
      </c>
      <c r="AG72" s="145">
        <f>SUMIFS(Table2[NewPointsAway],Table2[GameDate], "&lt;=" &amp; $A72, Table2[AwayTeam], AG$1)+SUMIFS(Table2[NewPointsHome],Table2[GameDate], "&lt;=" &amp; $A72, Table2[HomeTeam], AG$1)</f>
        <v>39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37</v>
      </c>
      <c r="C73" s="145">
        <f>SUMIFS(Table2[NewPointsAway],Table2[GameDate], "&lt;=" &amp; $A73, Table2[AwayTeam], C$1)+SUMIFS(Table2[NewPointsHome],Table2[GameDate], "&lt;=" &amp; $A73, Table2[HomeTeam], C$1)</f>
        <v>34</v>
      </c>
      <c r="D73" s="145">
        <f>SUMIFS(Table2[NewPointsAway],Table2[GameDate], "&lt;=" &amp; $A73, Table2[AwayTeam], D$1)+SUMIFS(Table2[NewPointsHome],Table2[GameDate], "&lt;=" &amp; $A73, Table2[HomeTeam], D$1)</f>
        <v>26</v>
      </c>
      <c r="E73" s="145">
        <f>SUMIFS(Table2[NewPointsAway],Table2[GameDate], "&lt;=" &amp; $A73, Table2[AwayTeam], E$1)+SUMIFS(Table2[NewPointsHome],Table2[GameDate], "&lt;=" &amp; $A73, Table2[HomeTeam], E$1)</f>
        <v>36</v>
      </c>
      <c r="F73" s="145">
        <f>SUMIFS(Table2[NewPointsAway],Table2[GameDate], "&lt;=" &amp; $A73, Table2[AwayTeam], F$1)+SUMIFS(Table2[NewPointsHome],Table2[GameDate], "&lt;=" &amp; $A73, Table2[HomeTeam], F$1)</f>
        <v>32</v>
      </c>
      <c r="G73" s="145">
        <f>SUMIFS(Table2[NewPointsAway],Table2[GameDate], "&lt;=" &amp; $A73, Table2[AwayTeam], G$1)+SUMIFS(Table2[NewPointsHome],Table2[GameDate], "&lt;=" &amp; $A73, Table2[HomeTeam], G$1)</f>
        <v>28</v>
      </c>
      <c r="H73" s="145">
        <f>SUMIFS(Table2[NewPointsAway],Table2[GameDate], "&lt;=" &amp; $A73, Table2[AwayTeam], H$1)+SUMIFS(Table2[NewPointsHome],Table2[GameDate], "&lt;=" &amp; $A73, Table2[HomeTeam], H$1)</f>
        <v>30</v>
      </c>
      <c r="I73" s="145">
        <f>SUMIFS(Table2[NewPointsAway],Table2[GameDate], "&lt;=" &amp; $A73, Table2[AwayTeam], I$1)+SUMIFS(Table2[NewPointsHome],Table2[GameDate], "&lt;=" &amp; $A73, Table2[HomeTeam], I$1)</f>
        <v>48</v>
      </c>
      <c r="J73" s="145">
        <f>SUMIFS(Table2[NewPointsAway],Table2[GameDate], "&lt;=" &amp; $A73, Table2[AwayTeam], J$1)+SUMIFS(Table2[NewPointsHome],Table2[GameDate], "&lt;=" &amp; $A73, Table2[HomeTeam], J$1)</f>
        <v>45</v>
      </c>
      <c r="K73" s="145">
        <f>SUMIFS(Table2[NewPointsAway],Table2[GameDate], "&lt;=" &amp; $A73, Table2[AwayTeam], K$1)+SUMIFS(Table2[NewPointsHome],Table2[GameDate], "&lt;=" &amp; $A73, Table2[HomeTeam], K$1)</f>
        <v>35</v>
      </c>
      <c r="L73" s="145">
        <f>SUMIFS(Table2[NewPointsAway],Table2[GameDate], "&lt;=" &amp; $A73, Table2[AwayTeam], L$1)+SUMIFS(Table2[NewPointsHome],Table2[GameDate], "&lt;=" &amp; $A73, Table2[HomeTeam], L$1)</f>
        <v>31</v>
      </c>
      <c r="M73" s="145">
        <f>SUMIFS(Table2[NewPointsAway],Table2[GameDate], "&lt;=" &amp; $A73, Table2[AwayTeam], M$1)+SUMIFS(Table2[NewPointsHome],Table2[GameDate], "&lt;=" &amp; $A73, Table2[HomeTeam], M$1)</f>
        <v>30</v>
      </c>
      <c r="N73" s="145">
        <f>SUMIFS(Table2[NewPointsAway],Table2[GameDate], "&lt;=" &amp; $A73, Table2[AwayTeam], N$1)+SUMIFS(Table2[NewPointsHome],Table2[GameDate], "&lt;=" &amp; $A73, Table2[HomeTeam], N$1)</f>
        <v>35</v>
      </c>
      <c r="O73" s="145">
        <f>SUMIFS(Table2[NewPointsAway],Table2[GameDate], "&lt;=" &amp; $A73, Table2[AwayTeam], O$1)+SUMIFS(Table2[NewPointsHome],Table2[GameDate], "&lt;=" &amp; $A73, Table2[HomeTeam], O$1)</f>
        <v>37</v>
      </c>
      <c r="P73" s="145">
        <f>SUMIFS(Table2[NewPointsAway],Table2[GameDate], "&lt;=" &amp; $A73, Table2[AwayTeam], P$1)+SUMIFS(Table2[NewPointsHome],Table2[GameDate], "&lt;=" &amp; $A73, Table2[HomeTeam], P$1)</f>
        <v>33</v>
      </c>
      <c r="Q73" s="145">
        <f>SUMIFS(Table2[NewPointsAway],Table2[GameDate], "&lt;=" &amp; $A73, Table2[AwayTeam], Q$1)+SUMIFS(Table2[NewPointsHome],Table2[GameDate], "&lt;=" &amp; $A73, Table2[HomeTeam], Q$1)</f>
        <v>33</v>
      </c>
      <c r="R73" s="145">
        <f>SUMIFS(Table2[NewPointsAway],Table2[GameDate], "&lt;=" &amp; $A73, Table2[AwayTeam], R$1)+SUMIFS(Table2[NewPointsHome],Table2[GameDate], "&lt;=" &amp; $A73, Table2[HomeTeam], R$1)</f>
        <v>24</v>
      </c>
      <c r="S73" s="145">
        <f>SUMIFS(Table2[NewPointsAway],Table2[GameDate], "&lt;=" &amp; $A73, Table2[AwayTeam], S$1)+SUMIFS(Table2[NewPointsHome],Table2[GameDate], "&lt;=" &amp; $A73, Table2[HomeTeam], S$1)</f>
        <v>35</v>
      </c>
      <c r="T73" s="145">
        <f>SUMIFS(Table2[NewPointsAway],Table2[GameDate], "&lt;=" &amp; $A73, Table2[AwayTeam], T$1)+SUMIFS(Table2[NewPointsHome],Table2[GameDate], "&lt;=" &amp; $A73, Table2[HomeTeam], T$1)</f>
        <v>34</v>
      </c>
      <c r="U73" s="145">
        <f>SUMIFS(Table2[NewPointsAway],Table2[GameDate], "&lt;=" &amp; $A73, Table2[AwayTeam], U$1)+SUMIFS(Table2[NewPointsHome],Table2[GameDate], "&lt;=" &amp; $A73, Table2[HomeTeam], U$1)</f>
        <v>30</v>
      </c>
      <c r="V73" s="145">
        <f>SUMIFS(Table2[NewPointsAway],Table2[GameDate], "&lt;=" &amp; $A73, Table2[AwayTeam], V$1)+SUMIFS(Table2[NewPointsHome],Table2[GameDate], "&lt;=" &amp; $A73, Table2[HomeTeam], V$1)</f>
        <v>32</v>
      </c>
      <c r="W73" s="145">
        <f>SUMIFS(Table2[NewPointsAway],Table2[GameDate], "&lt;=" &amp; $A73, Table2[AwayTeam], W$1)+SUMIFS(Table2[NewPointsHome],Table2[GameDate], "&lt;=" &amp; $A73, Table2[HomeTeam], W$1)</f>
        <v>34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31</v>
      </c>
      <c r="Z73" s="145">
        <f>SUMIFS(Table2[NewPointsAway],Table2[GameDate], "&lt;=" &amp; $A73, Table2[AwayTeam], Z$1)+SUMIFS(Table2[NewPointsHome],Table2[GameDate], "&lt;=" &amp; $A73, Table2[HomeTeam], Z$1)</f>
        <v>30</v>
      </c>
      <c r="AA73" s="145">
        <f>SUMIFS(Table2[NewPointsAway],Table2[GameDate], "&lt;=" &amp; $A73, Table2[AwayTeam], AA$1)+SUMIFS(Table2[NewPointsHome],Table2[GameDate], "&lt;=" &amp; $A73, Table2[HomeTeam], AA$1)</f>
        <v>34</v>
      </c>
      <c r="AB73" s="145">
        <f>SUMIFS(Table2[NewPointsAway],Table2[GameDate], "&lt;=" &amp; $A73, Table2[AwayTeam], AB$1)+SUMIFS(Table2[NewPointsHome],Table2[GameDate], "&lt;=" &amp; $A73, Table2[HomeTeam], AB$1)</f>
        <v>32</v>
      </c>
      <c r="AC73" s="145">
        <f>SUMIFS(Table2[NewPointsAway],Table2[GameDate], "&lt;=" &amp; $A73, Table2[AwayTeam], AC$1)+SUMIFS(Table2[NewPointsHome],Table2[GameDate], "&lt;=" &amp; $A73, Table2[HomeTeam], AC$1)</f>
        <v>31</v>
      </c>
      <c r="AD73" s="145">
        <f>SUMIFS(Table2[NewPointsAway],Table2[GameDate], "&lt;=" &amp; $A73, Table2[AwayTeam], AD$1)+SUMIFS(Table2[NewPointsHome],Table2[GameDate], "&lt;=" &amp; $A73, Table2[HomeTeam], AD$1)</f>
        <v>25</v>
      </c>
      <c r="AE73" s="145">
        <f>SUMIFS(Table2[NewPointsAway],Table2[GameDate], "&lt;=" &amp; $A73, Table2[AwayTeam], AE$1)+SUMIFS(Table2[NewPointsHome],Table2[GameDate], "&lt;=" &amp; $A73, Table2[HomeTeam], AE$1)</f>
        <v>36</v>
      </c>
      <c r="AF73" s="145">
        <f>SUMIFS(Table2[NewPointsAway],Table2[GameDate], "&lt;=" &amp; $A73, Table2[AwayTeam], AF$1)+SUMIFS(Table2[NewPointsHome],Table2[GameDate], "&lt;=" &amp; $A73, Table2[HomeTeam], AF$1)</f>
        <v>29</v>
      </c>
      <c r="AG73" s="145">
        <f>SUMIFS(Table2[NewPointsAway],Table2[GameDate], "&lt;=" &amp; $A73, Table2[AwayTeam], AG$1)+SUMIFS(Table2[NewPointsHome],Table2[GameDate], "&lt;=" &amp; $A73, Table2[HomeTeam], AG$1)</f>
        <v>39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37</v>
      </c>
      <c r="C74" s="145">
        <f>SUMIFS(Table2[NewPointsAway],Table2[GameDate], "&lt;=" &amp; $A74, Table2[AwayTeam], C$1)+SUMIFS(Table2[NewPointsHome],Table2[GameDate], "&lt;=" &amp; $A74, Table2[HomeTeam], C$1)</f>
        <v>34</v>
      </c>
      <c r="D74" s="145">
        <f>SUMIFS(Table2[NewPointsAway],Table2[GameDate], "&lt;=" &amp; $A74, Table2[AwayTeam], D$1)+SUMIFS(Table2[NewPointsHome],Table2[GameDate], "&lt;=" &amp; $A74, Table2[HomeTeam], D$1)</f>
        <v>26</v>
      </c>
      <c r="E74" s="145">
        <f>SUMIFS(Table2[NewPointsAway],Table2[GameDate], "&lt;=" &amp; $A74, Table2[AwayTeam], E$1)+SUMIFS(Table2[NewPointsHome],Table2[GameDate], "&lt;=" &amp; $A74, Table2[HomeTeam], E$1)</f>
        <v>36</v>
      </c>
      <c r="F74" s="145">
        <f>SUMIFS(Table2[NewPointsAway],Table2[GameDate], "&lt;=" &amp; $A74, Table2[AwayTeam], F$1)+SUMIFS(Table2[NewPointsHome],Table2[GameDate], "&lt;=" &amp; $A74, Table2[HomeTeam], F$1)</f>
        <v>32</v>
      </c>
      <c r="G74" s="145">
        <f>SUMIFS(Table2[NewPointsAway],Table2[GameDate], "&lt;=" &amp; $A74, Table2[AwayTeam], G$1)+SUMIFS(Table2[NewPointsHome],Table2[GameDate], "&lt;=" &amp; $A74, Table2[HomeTeam], G$1)</f>
        <v>28</v>
      </c>
      <c r="H74" s="145">
        <f>SUMIFS(Table2[NewPointsAway],Table2[GameDate], "&lt;=" &amp; $A74, Table2[AwayTeam], H$1)+SUMIFS(Table2[NewPointsHome],Table2[GameDate], "&lt;=" &amp; $A74, Table2[HomeTeam], H$1)</f>
        <v>30</v>
      </c>
      <c r="I74" s="145">
        <f>SUMIFS(Table2[NewPointsAway],Table2[GameDate], "&lt;=" &amp; $A74, Table2[AwayTeam], I$1)+SUMIFS(Table2[NewPointsHome],Table2[GameDate], "&lt;=" &amp; $A74, Table2[HomeTeam], I$1)</f>
        <v>48</v>
      </c>
      <c r="J74" s="145">
        <f>SUMIFS(Table2[NewPointsAway],Table2[GameDate], "&lt;=" &amp; $A74, Table2[AwayTeam], J$1)+SUMIFS(Table2[NewPointsHome],Table2[GameDate], "&lt;=" &amp; $A74, Table2[HomeTeam], J$1)</f>
        <v>45</v>
      </c>
      <c r="K74" s="145">
        <f>SUMIFS(Table2[NewPointsAway],Table2[GameDate], "&lt;=" &amp; $A74, Table2[AwayTeam], K$1)+SUMIFS(Table2[NewPointsHome],Table2[GameDate], "&lt;=" &amp; $A74, Table2[HomeTeam], K$1)</f>
        <v>35</v>
      </c>
      <c r="L74" s="145">
        <f>SUMIFS(Table2[NewPointsAway],Table2[GameDate], "&lt;=" &amp; $A74, Table2[AwayTeam], L$1)+SUMIFS(Table2[NewPointsHome],Table2[GameDate], "&lt;=" &amp; $A74, Table2[HomeTeam], L$1)</f>
        <v>31</v>
      </c>
      <c r="M74" s="145">
        <f>SUMIFS(Table2[NewPointsAway],Table2[GameDate], "&lt;=" &amp; $A74, Table2[AwayTeam], M$1)+SUMIFS(Table2[NewPointsHome],Table2[GameDate], "&lt;=" &amp; $A74, Table2[HomeTeam], M$1)</f>
        <v>30</v>
      </c>
      <c r="N74" s="145">
        <f>SUMIFS(Table2[NewPointsAway],Table2[GameDate], "&lt;=" &amp; $A74, Table2[AwayTeam], N$1)+SUMIFS(Table2[NewPointsHome],Table2[GameDate], "&lt;=" &amp; $A74, Table2[HomeTeam], N$1)</f>
        <v>35</v>
      </c>
      <c r="O74" s="145">
        <f>SUMIFS(Table2[NewPointsAway],Table2[GameDate], "&lt;=" &amp; $A74, Table2[AwayTeam], O$1)+SUMIFS(Table2[NewPointsHome],Table2[GameDate], "&lt;=" &amp; $A74, Table2[HomeTeam], O$1)</f>
        <v>37</v>
      </c>
      <c r="P74" s="145">
        <f>SUMIFS(Table2[NewPointsAway],Table2[GameDate], "&lt;=" &amp; $A74, Table2[AwayTeam], P$1)+SUMIFS(Table2[NewPointsHome],Table2[GameDate], "&lt;=" &amp; $A74, Table2[HomeTeam], P$1)</f>
        <v>33</v>
      </c>
      <c r="Q74" s="145">
        <f>SUMIFS(Table2[NewPointsAway],Table2[GameDate], "&lt;=" &amp; $A74, Table2[AwayTeam], Q$1)+SUMIFS(Table2[NewPointsHome],Table2[GameDate], "&lt;=" &amp; $A74, Table2[HomeTeam], Q$1)</f>
        <v>33</v>
      </c>
      <c r="R74" s="145">
        <f>SUMIFS(Table2[NewPointsAway],Table2[GameDate], "&lt;=" &amp; $A74, Table2[AwayTeam], R$1)+SUMIFS(Table2[NewPointsHome],Table2[GameDate], "&lt;=" &amp; $A74, Table2[HomeTeam], R$1)</f>
        <v>24</v>
      </c>
      <c r="S74" s="145">
        <f>SUMIFS(Table2[NewPointsAway],Table2[GameDate], "&lt;=" &amp; $A74, Table2[AwayTeam], S$1)+SUMIFS(Table2[NewPointsHome],Table2[GameDate], "&lt;=" &amp; $A74, Table2[HomeTeam], S$1)</f>
        <v>35</v>
      </c>
      <c r="T74" s="145">
        <f>SUMIFS(Table2[NewPointsAway],Table2[GameDate], "&lt;=" &amp; $A74, Table2[AwayTeam], T$1)+SUMIFS(Table2[NewPointsHome],Table2[GameDate], "&lt;=" &amp; $A74, Table2[HomeTeam], T$1)</f>
        <v>34</v>
      </c>
      <c r="U74" s="145">
        <f>SUMIFS(Table2[NewPointsAway],Table2[GameDate], "&lt;=" &amp; $A74, Table2[AwayTeam], U$1)+SUMIFS(Table2[NewPointsHome],Table2[GameDate], "&lt;=" &amp; $A74, Table2[HomeTeam], U$1)</f>
        <v>30</v>
      </c>
      <c r="V74" s="145">
        <f>SUMIFS(Table2[NewPointsAway],Table2[GameDate], "&lt;=" &amp; $A74, Table2[AwayTeam], V$1)+SUMIFS(Table2[NewPointsHome],Table2[GameDate], "&lt;=" &amp; $A74, Table2[HomeTeam], V$1)</f>
        <v>32</v>
      </c>
      <c r="W74" s="145">
        <f>SUMIFS(Table2[NewPointsAway],Table2[GameDate], "&lt;=" &amp; $A74, Table2[AwayTeam], W$1)+SUMIFS(Table2[NewPointsHome],Table2[GameDate], "&lt;=" &amp; $A74, Table2[HomeTeam], W$1)</f>
        <v>34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31</v>
      </c>
      <c r="Z74" s="145">
        <f>SUMIFS(Table2[NewPointsAway],Table2[GameDate], "&lt;=" &amp; $A74, Table2[AwayTeam], Z$1)+SUMIFS(Table2[NewPointsHome],Table2[GameDate], "&lt;=" &amp; $A74, Table2[HomeTeam], Z$1)</f>
        <v>30</v>
      </c>
      <c r="AA74" s="145">
        <f>SUMIFS(Table2[NewPointsAway],Table2[GameDate], "&lt;=" &amp; $A74, Table2[AwayTeam], AA$1)+SUMIFS(Table2[NewPointsHome],Table2[GameDate], "&lt;=" &amp; $A74, Table2[HomeTeam], AA$1)</f>
        <v>34</v>
      </c>
      <c r="AB74" s="145">
        <f>SUMIFS(Table2[NewPointsAway],Table2[GameDate], "&lt;=" &amp; $A74, Table2[AwayTeam], AB$1)+SUMIFS(Table2[NewPointsHome],Table2[GameDate], "&lt;=" &amp; $A74, Table2[HomeTeam], AB$1)</f>
        <v>32</v>
      </c>
      <c r="AC74" s="145">
        <f>SUMIFS(Table2[NewPointsAway],Table2[GameDate], "&lt;=" &amp; $A74, Table2[AwayTeam], AC$1)+SUMIFS(Table2[NewPointsHome],Table2[GameDate], "&lt;=" &amp; $A74, Table2[HomeTeam], AC$1)</f>
        <v>31</v>
      </c>
      <c r="AD74" s="145">
        <f>SUMIFS(Table2[NewPointsAway],Table2[GameDate], "&lt;=" &amp; $A74, Table2[AwayTeam], AD$1)+SUMIFS(Table2[NewPointsHome],Table2[GameDate], "&lt;=" &amp; $A74, Table2[HomeTeam], AD$1)</f>
        <v>25</v>
      </c>
      <c r="AE74" s="145">
        <f>SUMIFS(Table2[NewPointsAway],Table2[GameDate], "&lt;=" &amp; $A74, Table2[AwayTeam], AE$1)+SUMIFS(Table2[NewPointsHome],Table2[GameDate], "&lt;=" &amp; $A74, Table2[HomeTeam], AE$1)</f>
        <v>36</v>
      </c>
      <c r="AF74" s="145">
        <f>SUMIFS(Table2[NewPointsAway],Table2[GameDate], "&lt;=" &amp; $A74, Table2[AwayTeam], AF$1)+SUMIFS(Table2[NewPointsHome],Table2[GameDate], "&lt;=" &amp; $A74, Table2[HomeTeam], AF$1)</f>
        <v>29</v>
      </c>
      <c r="AG74" s="145">
        <f>SUMIFS(Table2[NewPointsAway],Table2[GameDate], "&lt;=" &amp; $A74, Table2[AwayTeam], AG$1)+SUMIFS(Table2[NewPointsHome],Table2[GameDate], "&lt;=" &amp; $A74, Table2[HomeTeam], AG$1)</f>
        <v>39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37</v>
      </c>
      <c r="C75" s="145">
        <f>SUMIFS(Table2[NewPointsAway],Table2[GameDate], "&lt;=" &amp; $A75, Table2[AwayTeam], C$1)+SUMIFS(Table2[NewPointsHome],Table2[GameDate], "&lt;=" &amp; $A75, Table2[HomeTeam], C$1)</f>
        <v>34</v>
      </c>
      <c r="D75" s="145">
        <f>SUMIFS(Table2[NewPointsAway],Table2[GameDate], "&lt;=" &amp; $A75, Table2[AwayTeam], D$1)+SUMIFS(Table2[NewPointsHome],Table2[GameDate], "&lt;=" &amp; $A75, Table2[HomeTeam], D$1)</f>
        <v>26</v>
      </c>
      <c r="E75" s="145">
        <f>SUMIFS(Table2[NewPointsAway],Table2[GameDate], "&lt;=" &amp; $A75, Table2[AwayTeam], E$1)+SUMIFS(Table2[NewPointsHome],Table2[GameDate], "&lt;=" &amp; $A75, Table2[HomeTeam], E$1)</f>
        <v>36</v>
      </c>
      <c r="F75" s="145">
        <f>SUMIFS(Table2[NewPointsAway],Table2[GameDate], "&lt;=" &amp; $A75, Table2[AwayTeam], F$1)+SUMIFS(Table2[NewPointsHome],Table2[GameDate], "&lt;=" &amp; $A75, Table2[HomeTeam], F$1)</f>
        <v>32</v>
      </c>
      <c r="G75" s="145">
        <f>SUMIFS(Table2[NewPointsAway],Table2[GameDate], "&lt;=" &amp; $A75, Table2[AwayTeam], G$1)+SUMIFS(Table2[NewPointsHome],Table2[GameDate], "&lt;=" &amp; $A75, Table2[HomeTeam], G$1)</f>
        <v>28</v>
      </c>
      <c r="H75" s="145">
        <f>SUMIFS(Table2[NewPointsAway],Table2[GameDate], "&lt;=" &amp; $A75, Table2[AwayTeam], H$1)+SUMIFS(Table2[NewPointsHome],Table2[GameDate], "&lt;=" &amp; $A75, Table2[HomeTeam], H$1)</f>
        <v>30</v>
      </c>
      <c r="I75" s="145">
        <f>SUMIFS(Table2[NewPointsAway],Table2[GameDate], "&lt;=" &amp; $A75, Table2[AwayTeam], I$1)+SUMIFS(Table2[NewPointsHome],Table2[GameDate], "&lt;=" &amp; $A75, Table2[HomeTeam], I$1)</f>
        <v>48</v>
      </c>
      <c r="J75" s="145">
        <f>SUMIFS(Table2[NewPointsAway],Table2[GameDate], "&lt;=" &amp; $A75, Table2[AwayTeam], J$1)+SUMIFS(Table2[NewPointsHome],Table2[GameDate], "&lt;=" &amp; $A75, Table2[HomeTeam], J$1)</f>
        <v>45</v>
      </c>
      <c r="K75" s="145">
        <f>SUMIFS(Table2[NewPointsAway],Table2[GameDate], "&lt;=" &amp; $A75, Table2[AwayTeam], K$1)+SUMIFS(Table2[NewPointsHome],Table2[GameDate], "&lt;=" &amp; $A75, Table2[HomeTeam], K$1)</f>
        <v>35</v>
      </c>
      <c r="L75" s="145">
        <f>SUMIFS(Table2[NewPointsAway],Table2[GameDate], "&lt;=" &amp; $A75, Table2[AwayTeam], L$1)+SUMIFS(Table2[NewPointsHome],Table2[GameDate], "&lt;=" &amp; $A75, Table2[HomeTeam], L$1)</f>
        <v>31</v>
      </c>
      <c r="M75" s="145">
        <f>SUMIFS(Table2[NewPointsAway],Table2[GameDate], "&lt;=" &amp; $A75, Table2[AwayTeam], M$1)+SUMIFS(Table2[NewPointsHome],Table2[GameDate], "&lt;=" &amp; $A75, Table2[HomeTeam], M$1)</f>
        <v>30</v>
      </c>
      <c r="N75" s="145">
        <f>SUMIFS(Table2[NewPointsAway],Table2[GameDate], "&lt;=" &amp; $A75, Table2[AwayTeam], N$1)+SUMIFS(Table2[NewPointsHome],Table2[GameDate], "&lt;=" &amp; $A75, Table2[HomeTeam], N$1)</f>
        <v>35</v>
      </c>
      <c r="O75" s="145">
        <f>SUMIFS(Table2[NewPointsAway],Table2[GameDate], "&lt;=" &amp; $A75, Table2[AwayTeam], O$1)+SUMIFS(Table2[NewPointsHome],Table2[GameDate], "&lt;=" &amp; $A75, Table2[HomeTeam], O$1)</f>
        <v>37</v>
      </c>
      <c r="P75" s="145">
        <f>SUMIFS(Table2[NewPointsAway],Table2[GameDate], "&lt;=" &amp; $A75, Table2[AwayTeam], P$1)+SUMIFS(Table2[NewPointsHome],Table2[GameDate], "&lt;=" &amp; $A75, Table2[HomeTeam], P$1)</f>
        <v>33</v>
      </c>
      <c r="Q75" s="145">
        <f>SUMIFS(Table2[NewPointsAway],Table2[GameDate], "&lt;=" &amp; $A75, Table2[AwayTeam], Q$1)+SUMIFS(Table2[NewPointsHome],Table2[GameDate], "&lt;=" &amp; $A75, Table2[HomeTeam], Q$1)</f>
        <v>33</v>
      </c>
      <c r="R75" s="145">
        <f>SUMIFS(Table2[NewPointsAway],Table2[GameDate], "&lt;=" &amp; $A75, Table2[AwayTeam], R$1)+SUMIFS(Table2[NewPointsHome],Table2[GameDate], "&lt;=" &amp; $A75, Table2[HomeTeam], R$1)</f>
        <v>24</v>
      </c>
      <c r="S75" s="145">
        <f>SUMIFS(Table2[NewPointsAway],Table2[GameDate], "&lt;=" &amp; $A75, Table2[AwayTeam], S$1)+SUMIFS(Table2[NewPointsHome],Table2[GameDate], "&lt;=" &amp; $A75, Table2[HomeTeam], S$1)</f>
        <v>35</v>
      </c>
      <c r="T75" s="145">
        <f>SUMIFS(Table2[NewPointsAway],Table2[GameDate], "&lt;=" &amp; $A75, Table2[AwayTeam], T$1)+SUMIFS(Table2[NewPointsHome],Table2[GameDate], "&lt;=" &amp; $A75, Table2[HomeTeam], T$1)</f>
        <v>34</v>
      </c>
      <c r="U75" s="145">
        <f>SUMIFS(Table2[NewPointsAway],Table2[GameDate], "&lt;=" &amp; $A75, Table2[AwayTeam], U$1)+SUMIFS(Table2[NewPointsHome],Table2[GameDate], "&lt;=" &amp; $A75, Table2[HomeTeam], U$1)</f>
        <v>30</v>
      </c>
      <c r="V75" s="145">
        <f>SUMIFS(Table2[NewPointsAway],Table2[GameDate], "&lt;=" &amp; $A75, Table2[AwayTeam], V$1)+SUMIFS(Table2[NewPointsHome],Table2[GameDate], "&lt;=" &amp; $A75, Table2[HomeTeam], V$1)</f>
        <v>32</v>
      </c>
      <c r="W75" s="145">
        <f>SUMIFS(Table2[NewPointsAway],Table2[GameDate], "&lt;=" &amp; $A75, Table2[AwayTeam], W$1)+SUMIFS(Table2[NewPointsHome],Table2[GameDate], "&lt;=" &amp; $A75, Table2[HomeTeam], W$1)</f>
        <v>34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31</v>
      </c>
      <c r="Z75" s="145">
        <f>SUMIFS(Table2[NewPointsAway],Table2[GameDate], "&lt;=" &amp; $A75, Table2[AwayTeam], Z$1)+SUMIFS(Table2[NewPointsHome],Table2[GameDate], "&lt;=" &amp; $A75, Table2[HomeTeam], Z$1)</f>
        <v>30</v>
      </c>
      <c r="AA75" s="145">
        <f>SUMIFS(Table2[NewPointsAway],Table2[GameDate], "&lt;=" &amp; $A75, Table2[AwayTeam], AA$1)+SUMIFS(Table2[NewPointsHome],Table2[GameDate], "&lt;=" &amp; $A75, Table2[HomeTeam], AA$1)</f>
        <v>34</v>
      </c>
      <c r="AB75" s="145">
        <f>SUMIFS(Table2[NewPointsAway],Table2[GameDate], "&lt;=" &amp; $A75, Table2[AwayTeam], AB$1)+SUMIFS(Table2[NewPointsHome],Table2[GameDate], "&lt;=" &amp; $A75, Table2[HomeTeam], AB$1)</f>
        <v>32</v>
      </c>
      <c r="AC75" s="145">
        <f>SUMIFS(Table2[NewPointsAway],Table2[GameDate], "&lt;=" &amp; $A75, Table2[AwayTeam], AC$1)+SUMIFS(Table2[NewPointsHome],Table2[GameDate], "&lt;=" &amp; $A75, Table2[HomeTeam], AC$1)</f>
        <v>31</v>
      </c>
      <c r="AD75" s="145">
        <f>SUMIFS(Table2[NewPointsAway],Table2[GameDate], "&lt;=" &amp; $A75, Table2[AwayTeam], AD$1)+SUMIFS(Table2[NewPointsHome],Table2[GameDate], "&lt;=" &amp; $A75, Table2[HomeTeam], AD$1)</f>
        <v>25</v>
      </c>
      <c r="AE75" s="145">
        <f>SUMIFS(Table2[NewPointsAway],Table2[GameDate], "&lt;=" &amp; $A75, Table2[AwayTeam], AE$1)+SUMIFS(Table2[NewPointsHome],Table2[GameDate], "&lt;=" &amp; $A75, Table2[HomeTeam], AE$1)</f>
        <v>36</v>
      </c>
      <c r="AF75" s="145">
        <f>SUMIFS(Table2[NewPointsAway],Table2[GameDate], "&lt;=" &amp; $A75, Table2[AwayTeam], AF$1)+SUMIFS(Table2[NewPointsHome],Table2[GameDate], "&lt;=" &amp; $A75, Table2[HomeTeam], AF$1)</f>
        <v>29</v>
      </c>
      <c r="AG75" s="145">
        <f>SUMIFS(Table2[NewPointsAway],Table2[GameDate], "&lt;=" &amp; $A75, Table2[AwayTeam], AG$1)+SUMIFS(Table2[NewPointsHome],Table2[GameDate], "&lt;=" &amp; $A75, Table2[HomeTeam], AG$1)</f>
        <v>39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37</v>
      </c>
      <c r="C76" s="145">
        <f>SUMIFS(Table2[NewPointsAway],Table2[GameDate], "&lt;=" &amp; $A76, Table2[AwayTeam], C$1)+SUMIFS(Table2[NewPointsHome],Table2[GameDate], "&lt;=" &amp; $A76, Table2[HomeTeam], C$1)</f>
        <v>34</v>
      </c>
      <c r="D76" s="145">
        <f>SUMIFS(Table2[NewPointsAway],Table2[GameDate], "&lt;=" &amp; $A76, Table2[AwayTeam], D$1)+SUMIFS(Table2[NewPointsHome],Table2[GameDate], "&lt;=" &amp; $A76, Table2[HomeTeam], D$1)</f>
        <v>26</v>
      </c>
      <c r="E76" s="145">
        <f>SUMIFS(Table2[NewPointsAway],Table2[GameDate], "&lt;=" &amp; $A76, Table2[AwayTeam], E$1)+SUMIFS(Table2[NewPointsHome],Table2[GameDate], "&lt;=" &amp; $A76, Table2[HomeTeam], E$1)</f>
        <v>36</v>
      </c>
      <c r="F76" s="145">
        <f>SUMIFS(Table2[NewPointsAway],Table2[GameDate], "&lt;=" &amp; $A76, Table2[AwayTeam], F$1)+SUMIFS(Table2[NewPointsHome],Table2[GameDate], "&lt;=" &amp; $A76, Table2[HomeTeam], F$1)</f>
        <v>32</v>
      </c>
      <c r="G76" s="145">
        <f>SUMIFS(Table2[NewPointsAway],Table2[GameDate], "&lt;=" &amp; $A76, Table2[AwayTeam], G$1)+SUMIFS(Table2[NewPointsHome],Table2[GameDate], "&lt;=" &amp; $A76, Table2[HomeTeam], G$1)</f>
        <v>28</v>
      </c>
      <c r="H76" s="145">
        <f>SUMIFS(Table2[NewPointsAway],Table2[GameDate], "&lt;=" &amp; $A76, Table2[AwayTeam], H$1)+SUMIFS(Table2[NewPointsHome],Table2[GameDate], "&lt;=" &amp; $A76, Table2[HomeTeam], H$1)</f>
        <v>30</v>
      </c>
      <c r="I76" s="145">
        <f>SUMIFS(Table2[NewPointsAway],Table2[GameDate], "&lt;=" &amp; $A76, Table2[AwayTeam], I$1)+SUMIFS(Table2[NewPointsHome],Table2[GameDate], "&lt;=" &amp; $A76, Table2[HomeTeam], I$1)</f>
        <v>48</v>
      </c>
      <c r="J76" s="145">
        <f>SUMIFS(Table2[NewPointsAway],Table2[GameDate], "&lt;=" &amp; $A76, Table2[AwayTeam], J$1)+SUMIFS(Table2[NewPointsHome],Table2[GameDate], "&lt;=" &amp; $A76, Table2[HomeTeam], J$1)</f>
        <v>45</v>
      </c>
      <c r="K76" s="145">
        <f>SUMIFS(Table2[NewPointsAway],Table2[GameDate], "&lt;=" &amp; $A76, Table2[AwayTeam], K$1)+SUMIFS(Table2[NewPointsHome],Table2[GameDate], "&lt;=" &amp; $A76, Table2[HomeTeam], K$1)</f>
        <v>35</v>
      </c>
      <c r="L76" s="145">
        <f>SUMIFS(Table2[NewPointsAway],Table2[GameDate], "&lt;=" &amp; $A76, Table2[AwayTeam], L$1)+SUMIFS(Table2[NewPointsHome],Table2[GameDate], "&lt;=" &amp; $A76, Table2[HomeTeam], L$1)</f>
        <v>31</v>
      </c>
      <c r="M76" s="145">
        <f>SUMIFS(Table2[NewPointsAway],Table2[GameDate], "&lt;=" &amp; $A76, Table2[AwayTeam], M$1)+SUMIFS(Table2[NewPointsHome],Table2[GameDate], "&lt;=" &amp; $A76, Table2[HomeTeam], M$1)</f>
        <v>30</v>
      </c>
      <c r="N76" s="145">
        <f>SUMIFS(Table2[NewPointsAway],Table2[GameDate], "&lt;=" &amp; $A76, Table2[AwayTeam], N$1)+SUMIFS(Table2[NewPointsHome],Table2[GameDate], "&lt;=" &amp; $A76, Table2[HomeTeam], N$1)</f>
        <v>35</v>
      </c>
      <c r="O76" s="145">
        <f>SUMIFS(Table2[NewPointsAway],Table2[GameDate], "&lt;=" &amp; $A76, Table2[AwayTeam], O$1)+SUMIFS(Table2[NewPointsHome],Table2[GameDate], "&lt;=" &amp; $A76, Table2[HomeTeam], O$1)</f>
        <v>37</v>
      </c>
      <c r="P76" s="145">
        <f>SUMIFS(Table2[NewPointsAway],Table2[GameDate], "&lt;=" &amp; $A76, Table2[AwayTeam], P$1)+SUMIFS(Table2[NewPointsHome],Table2[GameDate], "&lt;=" &amp; $A76, Table2[HomeTeam], P$1)</f>
        <v>33</v>
      </c>
      <c r="Q76" s="145">
        <f>SUMIFS(Table2[NewPointsAway],Table2[GameDate], "&lt;=" &amp; $A76, Table2[AwayTeam], Q$1)+SUMIFS(Table2[NewPointsHome],Table2[GameDate], "&lt;=" &amp; $A76, Table2[HomeTeam], Q$1)</f>
        <v>33</v>
      </c>
      <c r="R76" s="145">
        <f>SUMIFS(Table2[NewPointsAway],Table2[GameDate], "&lt;=" &amp; $A76, Table2[AwayTeam], R$1)+SUMIFS(Table2[NewPointsHome],Table2[GameDate], "&lt;=" &amp; $A76, Table2[HomeTeam], R$1)</f>
        <v>24</v>
      </c>
      <c r="S76" s="145">
        <f>SUMIFS(Table2[NewPointsAway],Table2[GameDate], "&lt;=" &amp; $A76, Table2[AwayTeam], S$1)+SUMIFS(Table2[NewPointsHome],Table2[GameDate], "&lt;=" &amp; $A76, Table2[HomeTeam], S$1)</f>
        <v>35</v>
      </c>
      <c r="T76" s="145">
        <f>SUMIFS(Table2[NewPointsAway],Table2[GameDate], "&lt;=" &amp; $A76, Table2[AwayTeam], T$1)+SUMIFS(Table2[NewPointsHome],Table2[GameDate], "&lt;=" &amp; $A76, Table2[HomeTeam], T$1)</f>
        <v>34</v>
      </c>
      <c r="U76" s="145">
        <f>SUMIFS(Table2[NewPointsAway],Table2[GameDate], "&lt;=" &amp; $A76, Table2[AwayTeam], U$1)+SUMIFS(Table2[NewPointsHome],Table2[GameDate], "&lt;=" &amp; $A76, Table2[HomeTeam], U$1)</f>
        <v>30</v>
      </c>
      <c r="V76" s="145">
        <f>SUMIFS(Table2[NewPointsAway],Table2[GameDate], "&lt;=" &amp; $A76, Table2[AwayTeam], V$1)+SUMIFS(Table2[NewPointsHome],Table2[GameDate], "&lt;=" &amp; $A76, Table2[HomeTeam], V$1)</f>
        <v>32</v>
      </c>
      <c r="W76" s="145">
        <f>SUMIFS(Table2[NewPointsAway],Table2[GameDate], "&lt;=" &amp; $A76, Table2[AwayTeam], W$1)+SUMIFS(Table2[NewPointsHome],Table2[GameDate], "&lt;=" &amp; $A76, Table2[HomeTeam], W$1)</f>
        <v>34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31</v>
      </c>
      <c r="Z76" s="145">
        <f>SUMIFS(Table2[NewPointsAway],Table2[GameDate], "&lt;=" &amp; $A76, Table2[AwayTeam], Z$1)+SUMIFS(Table2[NewPointsHome],Table2[GameDate], "&lt;=" &amp; $A76, Table2[HomeTeam], Z$1)</f>
        <v>30</v>
      </c>
      <c r="AA76" s="145">
        <f>SUMIFS(Table2[NewPointsAway],Table2[GameDate], "&lt;=" &amp; $A76, Table2[AwayTeam], AA$1)+SUMIFS(Table2[NewPointsHome],Table2[GameDate], "&lt;=" &amp; $A76, Table2[HomeTeam], AA$1)</f>
        <v>34</v>
      </c>
      <c r="AB76" s="145">
        <f>SUMIFS(Table2[NewPointsAway],Table2[GameDate], "&lt;=" &amp; $A76, Table2[AwayTeam], AB$1)+SUMIFS(Table2[NewPointsHome],Table2[GameDate], "&lt;=" &amp; $A76, Table2[HomeTeam], AB$1)</f>
        <v>32</v>
      </c>
      <c r="AC76" s="145">
        <f>SUMIFS(Table2[NewPointsAway],Table2[GameDate], "&lt;=" &amp; $A76, Table2[AwayTeam], AC$1)+SUMIFS(Table2[NewPointsHome],Table2[GameDate], "&lt;=" &amp; $A76, Table2[HomeTeam], AC$1)</f>
        <v>31</v>
      </c>
      <c r="AD76" s="145">
        <f>SUMIFS(Table2[NewPointsAway],Table2[GameDate], "&lt;=" &amp; $A76, Table2[AwayTeam], AD$1)+SUMIFS(Table2[NewPointsHome],Table2[GameDate], "&lt;=" &amp; $A76, Table2[HomeTeam], AD$1)</f>
        <v>25</v>
      </c>
      <c r="AE76" s="145">
        <f>SUMIFS(Table2[NewPointsAway],Table2[GameDate], "&lt;=" &amp; $A76, Table2[AwayTeam], AE$1)+SUMIFS(Table2[NewPointsHome],Table2[GameDate], "&lt;=" &amp; $A76, Table2[HomeTeam], AE$1)</f>
        <v>36</v>
      </c>
      <c r="AF76" s="145">
        <f>SUMIFS(Table2[NewPointsAway],Table2[GameDate], "&lt;=" &amp; $A76, Table2[AwayTeam], AF$1)+SUMIFS(Table2[NewPointsHome],Table2[GameDate], "&lt;=" &amp; $A76, Table2[HomeTeam], AF$1)</f>
        <v>29</v>
      </c>
      <c r="AG76" s="145">
        <f>SUMIFS(Table2[NewPointsAway],Table2[GameDate], "&lt;=" &amp; $A76, Table2[AwayTeam], AG$1)+SUMIFS(Table2[NewPointsHome],Table2[GameDate], "&lt;=" &amp; $A76, Table2[HomeTeam], AG$1)</f>
        <v>39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37</v>
      </c>
      <c r="C77" s="145">
        <f>SUMIFS(Table2[NewPointsAway],Table2[GameDate], "&lt;=" &amp; $A77, Table2[AwayTeam], C$1)+SUMIFS(Table2[NewPointsHome],Table2[GameDate], "&lt;=" &amp; $A77, Table2[HomeTeam], C$1)</f>
        <v>34</v>
      </c>
      <c r="D77" s="145">
        <f>SUMIFS(Table2[NewPointsAway],Table2[GameDate], "&lt;=" &amp; $A77, Table2[AwayTeam], D$1)+SUMIFS(Table2[NewPointsHome],Table2[GameDate], "&lt;=" &amp; $A77, Table2[HomeTeam], D$1)</f>
        <v>26</v>
      </c>
      <c r="E77" s="145">
        <f>SUMIFS(Table2[NewPointsAway],Table2[GameDate], "&lt;=" &amp; $A77, Table2[AwayTeam], E$1)+SUMIFS(Table2[NewPointsHome],Table2[GameDate], "&lt;=" &amp; $A77, Table2[HomeTeam], E$1)</f>
        <v>36</v>
      </c>
      <c r="F77" s="145">
        <f>SUMIFS(Table2[NewPointsAway],Table2[GameDate], "&lt;=" &amp; $A77, Table2[AwayTeam], F$1)+SUMIFS(Table2[NewPointsHome],Table2[GameDate], "&lt;=" &amp; $A77, Table2[HomeTeam], F$1)</f>
        <v>32</v>
      </c>
      <c r="G77" s="145">
        <f>SUMIFS(Table2[NewPointsAway],Table2[GameDate], "&lt;=" &amp; $A77, Table2[AwayTeam], G$1)+SUMIFS(Table2[NewPointsHome],Table2[GameDate], "&lt;=" &amp; $A77, Table2[HomeTeam], G$1)</f>
        <v>28</v>
      </c>
      <c r="H77" s="145">
        <f>SUMIFS(Table2[NewPointsAway],Table2[GameDate], "&lt;=" &amp; $A77, Table2[AwayTeam], H$1)+SUMIFS(Table2[NewPointsHome],Table2[GameDate], "&lt;=" &amp; $A77, Table2[HomeTeam], H$1)</f>
        <v>30</v>
      </c>
      <c r="I77" s="145">
        <f>SUMIFS(Table2[NewPointsAway],Table2[GameDate], "&lt;=" &amp; $A77, Table2[AwayTeam], I$1)+SUMIFS(Table2[NewPointsHome],Table2[GameDate], "&lt;=" &amp; $A77, Table2[HomeTeam], I$1)</f>
        <v>48</v>
      </c>
      <c r="J77" s="145">
        <f>SUMIFS(Table2[NewPointsAway],Table2[GameDate], "&lt;=" &amp; $A77, Table2[AwayTeam], J$1)+SUMIFS(Table2[NewPointsHome],Table2[GameDate], "&lt;=" &amp; $A77, Table2[HomeTeam], J$1)</f>
        <v>45</v>
      </c>
      <c r="K77" s="145">
        <f>SUMIFS(Table2[NewPointsAway],Table2[GameDate], "&lt;=" &amp; $A77, Table2[AwayTeam], K$1)+SUMIFS(Table2[NewPointsHome],Table2[GameDate], "&lt;=" &amp; $A77, Table2[HomeTeam], K$1)</f>
        <v>35</v>
      </c>
      <c r="L77" s="145">
        <f>SUMIFS(Table2[NewPointsAway],Table2[GameDate], "&lt;=" &amp; $A77, Table2[AwayTeam], L$1)+SUMIFS(Table2[NewPointsHome],Table2[GameDate], "&lt;=" &amp; $A77, Table2[HomeTeam], L$1)</f>
        <v>31</v>
      </c>
      <c r="M77" s="145">
        <f>SUMIFS(Table2[NewPointsAway],Table2[GameDate], "&lt;=" &amp; $A77, Table2[AwayTeam], M$1)+SUMIFS(Table2[NewPointsHome],Table2[GameDate], "&lt;=" &amp; $A77, Table2[HomeTeam], M$1)</f>
        <v>30</v>
      </c>
      <c r="N77" s="145">
        <f>SUMIFS(Table2[NewPointsAway],Table2[GameDate], "&lt;=" &amp; $A77, Table2[AwayTeam], N$1)+SUMIFS(Table2[NewPointsHome],Table2[GameDate], "&lt;=" &amp; $A77, Table2[HomeTeam], N$1)</f>
        <v>35</v>
      </c>
      <c r="O77" s="145">
        <f>SUMIFS(Table2[NewPointsAway],Table2[GameDate], "&lt;=" &amp; $A77, Table2[AwayTeam], O$1)+SUMIFS(Table2[NewPointsHome],Table2[GameDate], "&lt;=" &amp; $A77, Table2[HomeTeam], O$1)</f>
        <v>37</v>
      </c>
      <c r="P77" s="145">
        <f>SUMIFS(Table2[NewPointsAway],Table2[GameDate], "&lt;=" &amp; $A77, Table2[AwayTeam], P$1)+SUMIFS(Table2[NewPointsHome],Table2[GameDate], "&lt;=" &amp; $A77, Table2[HomeTeam], P$1)</f>
        <v>33</v>
      </c>
      <c r="Q77" s="145">
        <f>SUMIFS(Table2[NewPointsAway],Table2[GameDate], "&lt;=" &amp; $A77, Table2[AwayTeam], Q$1)+SUMIFS(Table2[NewPointsHome],Table2[GameDate], "&lt;=" &amp; $A77, Table2[HomeTeam], Q$1)</f>
        <v>33</v>
      </c>
      <c r="R77" s="145">
        <f>SUMIFS(Table2[NewPointsAway],Table2[GameDate], "&lt;=" &amp; $A77, Table2[AwayTeam], R$1)+SUMIFS(Table2[NewPointsHome],Table2[GameDate], "&lt;=" &amp; $A77, Table2[HomeTeam], R$1)</f>
        <v>24</v>
      </c>
      <c r="S77" s="145">
        <f>SUMIFS(Table2[NewPointsAway],Table2[GameDate], "&lt;=" &amp; $A77, Table2[AwayTeam], S$1)+SUMIFS(Table2[NewPointsHome],Table2[GameDate], "&lt;=" &amp; $A77, Table2[HomeTeam], S$1)</f>
        <v>35</v>
      </c>
      <c r="T77" s="145">
        <f>SUMIFS(Table2[NewPointsAway],Table2[GameDate], "&lt;=" &amp; $A77, Table2[AwayTeam], T$1)+SUMIFS(Table2[NewPointsHome],Table2[GameDate], "&lt;=" &amp; $A77, Table2[HomeTeam], T$1)</f>
        <v>34</v>
      </c>
      <c r="U77" s="145">
        <f>SUMIFS(Table2[NewPointsAway],Table2[GameDate], "&lt;=" &amp; $A77, Table2[AwayTeam], U$1)+SUMIFS(Table2[NewPointsHome],Table2[GameDate], "&lt;=" &amp; $A77, Table2[HomeTeam], U$1)</f>
        <v>30</v>
      </c>
      <c r="V77" s="145">
        <f>SUMIFS(Table2[NewPointsAway],Table2[GameDate], "&lt;=" &amp; $A77, Table2[AwayTeam], V$1)+SUMIFS(Table2[NewPointsHome],Table2[GameDate], "&lt;=" &amp; $A77, Table2[HomeTeam], V$1)</f>
        <v>32</v>
      </c>
      <c r="W77" s="145">
        <f>SUMIFS(Table2[NewPointsAway],Table2[GameDate], "&lt;=" &amp; $A77, Table2[AwayTeam], W$1)+SUMIFS(Table2[NewPointsHome],Table2[GameDate], "&lt;=" &amp; $A77, Table2[HomeTeam], W$1)</f>
        <v>34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31</v>
      </c>
      <c r="Z77" s="145">
        <f>SUMIFS(Table2[NewPointsAway],Table2[GameDate], "&lt;=" &amp; $A77, Table2[AwayTeam], Z$1)+SUMIFS(Table2[NewPointsHome],Table2[GameDate], "&lt;=" &amp; $A77, Table2[HomeTeam], Z$1)</f>
        <v>30</v>
      </c>
      <c r="AA77" s="145">
        <f>SUMIFS(Table2[NewPointsAway],Table2[GameDate], "&lt;=" &amp; $A77, Table2[AwayTeam], AA$1)+SUMIFS(Table2[NewPointsHome],Table2[GameDate], "&lt;=" &amp; $A77, Table2[HomeTeam], AA$1)</f>
        <v>34</v>
      </c>
      <c r="AB77" s="145">
        <f>SUMIFS(Table2[NewPointsAway],Table2[GameDate], "&lt;=" &amp; $A77, Table2[AwayTeam], AB$1)+SUMIFS(Table2[NewPointsHome],Table2[GameDate], "&lt;=" &amp; $A77, Table2[HomeTeam], AB$1)</f>
        <v>32</v>
      </c>
      <c r="AC77" s="145">
        <f>SUMIFS(Table2[NewPointsAway],Table2[GameDate], "&lt;=" &amp; $A77, Table2[AwayTeam], AC$1)+SUMIFS(Table2[NewPointsHome],Table2[GameDate], "&lt;=" &amp; $A77, Table2[HomeTeam], AC$1)</f>
        <v>31</v>
      </c>
      <c r="AD77" s="145">
        <f>SUMIFS(Table2[NewPointsAway],Table2[GameDate], "&lt;=" &amp; $A77, Table2[AwayTeam], AD$1)+SUMIFS(Table2[NewPointsHome],Table2[GameDate], "&lt;=" &amp; $A77, Table2[HomeTeam], AD$1)</f>
        <v>25</v>
      </c>
      <c r="AE77" s="145">
        <f>SUMIFS(Table2[NewPointsAway],Table2[GameDate], "&lt;=" &amp; $A77, Table2[AwayTeam], AE$1)+SUMIFS(Table2[NewPointsHome],Table2[GameDate], "&lt;=" &amp; $A77, Table2[HomeTeam], AE$1)</f>
        <v>36</v>
      </c>
      <c r="AF77" s="145">
        <f>SUMIFS(Table2[NewPointsAway],Table2[GameDate], "&lt;=" &amp; $A77, Table2[AwayTeam], AF$1)+SUMIFS(Table2[NewPointsHome],Table2[GameDate], "&lt;=" &amp; $A77, Table2[HomeTeam], AF$1)</f>
        <v>29</v>
      </c>
      <c r="AG77" s="145">
        <f>SUMIFS(Table2[NewPointsAway],Table2[GameDate], "&lt;=" &amp; $A77, Table2[AwayTeam], AG$1)+SUMIFS(Table2[NewPointsHome],Table2[GameDate], "&lt;=" &amp; $A77, Table2[HomeTeam], AG$1)</f>
        <v>39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37</v>
      </c>
      <c r="C78" s="145">
        <f>SUMIFS(Table2[NewPointsAway],Table2[GameDate], "&lt;=" &amp; $A78, Table2[AwayTeam], C$1)+SUMIFS(Table2[NewPointsHome],Table2[GameDate], "&lt;=" &amp; $A78, Table2[HomeTeam], C$1)</f>
        <v>34</v>
      </c>
      <c r="D78" s="145">
        <f>SUMIFS(Table2[NewPointsAway],Table2[GameDate], "&lt;=" &amp; $A78, Table2[AwayTeam], D$1)+SUMIFS(Table2[NewPointsHome],Table2[GameDate], "&lt;=" &amp; $A78, Table2[HomeTeam], D$1)</f>
        <v>26</v>
      </c>
      <c r="E78" s="145">
        <f>SUMIFS(Table2[NewPointsAway],Table2[GameDate], "&lt;=" &amp; $A78, Table2[AwayTeam], E$1)+SUMIFS(Table2[NewPointsHome],Table2[GameDate], "&lt;=" &amp; $A78, Table2[HomeTeam], E$1)</f>
        <v>36</v>
      </c>
      <c r="F78" s="145">
        <f>SUMIFS(Table2[NewPointsAway],Table2[GameDate], "&lt;=" &amp; $A78, Table2[AwayTeam], F$1)+SUMIFS(Table2[NewPointsHome],Table2[GameDate], "&lt;=" &amp; $A78, Table2[HomeTeam], F$1)</f>
        <v>32</v>
      </c>
      <c r="G78" s="145">
        <f>SUMIFS(Table2[NewPointsAway],Table2[GameDate], "&lt;=" &amp; $A78, Table2[AwayTeam], G$1)+SUMIFS(Table2[NewPointsHome],Table2[GameDate], "&lt;=" &amp; $A78, Table2[HomeTeam], G$1)</f>
        <v>28</v>
      </c>
      <c r="H78" s="145">
        <f>SUMIFS(Table2[NewPointsAway],Table2[GameDate], "&lt;=" &amp; $A78, Table2[AwayTeam], H$1)+SUMIFS(Table2[NewPointsHome],Table2[GameDate], "&lt;=" &amp; $A78, Table2[HomeTeam], H$1)</f>
        <v>30</v>
      </c>
      <c r="I78" s="145">
        <f>SUMIFS(Table2[NewPointsAway],Table2[GameDate], "&lt;=" &amp; $A78, Table2[AwayTeam], I$1)+SUMIFS(Table2[NewPointsHome],Table2[GameDate], "&lt;=" &amp; $A78, Table2[HomeTeam], I$1)</f>
        <v>48</v>
      </c>
      <c r="J78" s="145">
        <f>SUMIFS(Table2[NewPointsAway],Table2[GameDate], "&lt;=" &amp; $A78, Table2[AwayTeam], J$1)+SUMIFS(Table2[NewPointsHome],Table2[GameDate], "&lt;=" &amp; $A78, Table2[HomeTeam], J$1)</f>
        <v>45</v>
      </c>
      <c r="K78" s="145">
        <f>SUMIFS(Table2[NewPointsAway],Table2[GameDate], "&lt;=" &amp; $A78, Table2[AwayTeam], K$1)+SUMIFS(Table2[NewPointsHome],Table2[GameDate], "&lt;=" &amp; $A78, Table2[HomeTeam], K$1)</f>
        <v>35</v>
      </c>
      <c r="L78" s="145">
        <f>SUMIFS(Table2[NewPointsAway],Table2[GameDate], "&lt;=" &amp; $A78, Table2[AwayTeam], L$1)+SUMIFS(Table2[NewPointsHome],Table2[GameDate], "&lt;=" &amp; $A78, Table2[HomeTeam], L$1)</f>
        <v>31</v>
      </c>
      <c r="M78" s="145">
        <f>SUMIFS(Table2[NewPointsAway],Table2[GameDate], "&lt;=" &amp; $A78, Table2[AwayTeam], M$1)+SUMIFS(Table2[NewPointsHome],Table2[GameDate], "&lt;=" &amp; $A78, Table2[HomeTeam], M$1)</f>
        <v>30</v>
      </c>
      <c r="N78" s="145">
        <f>SUMIFS(Table2[NewPointsAway],Table2[GameDate], "&lt;=" &amp; $A78, Table2[AwayTeam], N$1)+SUMIFS(Table2[NewPointsHome],Table2[GameDate], "&lt;=" &amp; $A78, Table2[HomeTeam], N$1)</f>
        <v>35</v>
      </c>
      <c r="O78" s="145">
        <f>SUMIFS(Table2[NewPointsAway],Table2[GameDate], "&lt;=" &amp; $A78, Table2[AwayTeam], O$1)+SUMIFS(Table2[NewPointsHome],Table2[GameDate], "&lt;=" &amp; $A78, Table2[HomeTeam], O$1)</f>
        <v>37</v>
      </c>
      <c r="P78" s="145">
        <f>SUMIFS(Table2[NewPointsAway],Table2[GameDate], "&lt;=" &amp; $A78, Table2[AwayTeam], P$1)+SUMIFS(Table2[NewPointsHome],Table2[GameDate], "&lt;=" &amp; $A78, Table2[HomeTeam], P$1)</f>
        <v>33</v>
      </c>
      <c r="Q78" s="145">
        <f>SUMIFS(Table2[NewPointsAway],Table2[GameDate], "&lt;=" &amp; $A78, Table2[AwayTeam], Q$1)+SUMIFS(Table2[NewPointsHome],Table2[GameDate], "&lt;=" &amp; $A78, Table2[HomeTeam], Q$1)</f>
        <v>33</v>
      </c>
      <c r="R78" s="145">
        <f>SUMIFS(Table2[NewPointsAway],Table2[GameDate], "&lt;=" &amp; $A78, Table2[AwayTeam], R$1)+SUMIFS(Table2[NewPointsHome],Table2[GameDate], "&lt;=" &amp; $A78, Table2[HomeTeam], R$1)</f>
        <v>24</v>
      </c>
      <c r="S78" s="145">
        <f>SUMIFS(Table2[NewPointsAway],Table2[GameDate], "&lt;=" &amp; $A78, Table2[AwayTeam], S$1)+SUMIFS(Table2[NewPointsHome],Table2[GameDate], "&lt;=" &amp; $A78, Table2[HomeTeam], S$1)</f>
        <v>35</v>
      </c>
      <c r="T78" s="145">
        <f>SUMIFS(Table2[NewPointsAway],Table2[GameDate], "&lt;=" &amp; $A78, Table2[AwayTeam], T$1)+SUMIFS(Table2[NewPointsHome],Table2[GameDate], "&lt;=" &amp; $A78, Table2[HomeTeam], T$1)</f>
        <v>34</v>
      </c>
      <c r="U78" s="145">
        <f>SUMIFS(Table2[NewPointsAway],Table2[GameDate], "&lt;=" &amp; $A78, Table2[AwayTeam], U$1)+SUMIFS(Table2[NewPointsHome],Table2[GameDate], "&lt;=" &amp; $A78, Table2[HomeTeam], U$1)</f>
        <v>30</v>
      </c>
      <c r="V78" s="145">
        <f>SUMIFS(Table2[NewPointsAway],Table2[GameDate], "&lt;=" &amp; $A78, Table2[AwayTeam], V$1)+SUMIFS(Table2[NewPointsHome],Table2[GameDate], "&lt;=" &amp; $A78, Table2[HomeTeam], V$1)</f>
        <v>32</v>
      </c>
      <c r="W78" s="145">
        <f>SUMIFS(Table2[NewPointsAway],Table2[GameDate], "&lt;=" &amp; $A78, Table2[AwayTeam], W$1)+SUMIFS(Table2[NewPointsHome],Table2[GameDate], "&lt;=" &amp; $A78, Table2[HomeTeam], W$1)</f>
        <v>34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31</v>
      </c>
      <c r="Z78" s="145">
        <f>SUMIFS(Table2[NewPointsAway],Table2[GameDate], "&lt;=" &amp; $A78, Table2[AwayTeam], Z$1)+SUMIFS(Table2[NewPointsHome],Table2[GameDate], "&lt;=" &amp; $A78, Table2[HomeTeam], Z$1)</f>
        <v>30</v>
      </c>
      <c r="AA78" s="145">
        <f>SUMIFS(Table2[NewPointsAway],Table2[GameDate], "&lt;=" &amp; $A78, Table2[AwayTeam], AA$1)+SUMIFS(Table2[NewPointsHome],Table2[GameDate], "&lt;=" &amp; $A78, Table2[HomeTeam], AA$1)</f>
        <v>34</v>
      </c>
      <c r="AB78" s="145">
        <f>SUMIFS(Table2[NewPointsAway],Table2[GameDate], "&lt;=" &amp; $A78, Table2[AwayTeam], AB$1)+SUMIFS(Table2[NewPointsHome],Table2[GameDate], "&lt;=" &amp; $A78, Table2[HomeTeam], AB$1)</f>
        <v>32</v>
      </c>
      <c r="AC78" s="145">
        <f>SUMIFS(Table2[NewPointsAway],Table2[GameDate], "&lt;=" &amp; $A78, Table2[AwayTeam], AC$1)+SUMIFS(Table2[NewPointsHome],Table2[GameDate], "&lt;=" &amp; $A78, Table2[HomeTeam], AC$1)</f>
        <v>31</v>
      </c>
      <c r="AD78" s="145">
        <f>SUMIFS(Table2[NewPointsAway],Table2[GameDate], "&lt;=" &amp; $A78, Table2[AwayTeam], AD$1)+SUMIFS(Table2[NewPointsHome],Table2[GameDate], "&lt;=" &amp; $A78, Table2[HomeTeam], AD$1)</f>
        <v>25</v>
      </c>
      <c r="AE78" s="145">
        <f>SUMIFS(Table2[NewPointsAway],Table2[GameDate], "&lt;=" &amp; $A78, Table2[AwayTeam], AE$1)+SUMIFS(Table2[NewPointsHome],Table2[GameDate], "&lt;=" &amp; $A78, Table2[HomeTeam], AE$1)</f>
        <v>36</v>
      </c>
      <c r="AF78" s="145">
        <f>SUMIFS(Table2[NewPointsAway],Table2[GameDate], "&lt;=" &amp; $A78, Table2[AwayTeam], AF$1)+SUMIFS(Table2[NewPointsHome],Table2[GameDate], "&lt;=" &amp; $A78, Table2[HomeTeam], AF$1)</f>
        <v>29</v>
      </c>
      <c r="AG78" s="145">
        <f>SUMIFS(Table2[NewPointsAway],Table2[GameDate], "&lt;=" &amp; $A78, Table2[AwayTeam], AG$1)+SUMIFS(Table2[NewPointsHome],Table2[GameDate], "&lt;=" &amp; $A78, Table2[HomeTeam], AG$1)</f>
        <v>39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37</v>
      </c>
      <c r="C79" s="145">
        <f>SUMIFS(Table2[NewPointsAway],Table2[GameDate], "&lt;=" &amp; $A79, Table2[AwayTeam], C$1)+SUMIFS(Table2[NewPointsHome],Table2[GameDate], "&lt;=" &amp; $A79, Table2[HomeTeam], C$1)</f>
        <v>34</v>
      </c>
      <c r="D79" s="145">
        <f>SUMIFS(Table2[NewPointsAway],Table2[GameDate], "&lt;=" &amp; $A79, Table2[AwayTeam], D$1)+SUMIFS(Table2[NewPointsHome],Table2[GameDate], "&lt;=" &amp; $A79, Table2[HomeTeam], D$1)</f>
        <v>26</v>
      </c>
      <c r="E79" s="145">
        <f>SUMIFS(Table2[NewPointsAway],Table2[GameDate], "&lt;=" &amp; $A79, Table2[AwayTeam], E$1)+SUMIFS(Table2[NewPointsHome],Table2[GameDate], "&lt;=" &amp; $A79, Table2[HomeTeam], E$1)</f>
        <v>36</v>
      </c>
      <c r="F79" s="145">
        <f>SUMIFS(Table2[NewPointsAway],Table2[GameDate], "&lt;=" &amp; $A79, Table2[AwayTeam], F$1)+SUMIFS(Table2[NewPointsHome],Table2[GameDate], "&lt;=" &amp; $A79, Table2[HomeTeam], F$1)</f>
        <v>32</v>
      </c>
      <c r="G79" s="145">
        <f>SUMIFS(Table2[NewPointsAway],Table2[GameDate], "&lt;=" &amp; $A79, Table2[AwayTeam], G$1)+SUMIFS(Table2[NewPointsHome],Table2[GameDate], "&lt;=" &amp; $A79, Table2[HomeTeam], G$1)</f>
        <v>28</v>
      </c>
      <c r="H79" s="145">
        <f>SUMIFS(Table2[NewPointsAway],Table2[GameDate], "&lt;=" &amp; $A79, Table2[AwayTeam], H$1)+SUMIFS(Table2[NewPointsHome],Table2[GameDate], "&lt;=" &amp; $A79, Table2[HomeTeam], H$1)</f>
        <v>30</v>
      </c>
      <c r="I79" s="145">
        <f>SUMIFS(Table2[NewPointsAway],Table2[GameDate], "&lt;=" &amp; $A79, Table2[AwayTeam], I$1)+SUMIFS(Table2[NewPointsHome],Table2[GameDate], "&lt;=" &amp; $A79, Table2[HomeTeam], I$1)</f>
        <v>48</v>
      </c>
      <c r="J79" s="145">
        <f>SUMIFS(Table2[NewPointsAway],Table2[GameDate], "&lt;=" &amp; $A79, Table2[AwayTeam], J$1)+SUMIFS(Table2[NewPointsHome],Table2[GameDate], "&lt;=" &amp; $A79, Table2[HomeTeam], J$1)</f>
        <v>45</v>
      </c>
      <c r="K79" s="145">
        <f>SUMIFS(Table2[NewPointsAway],Table2[GameDate], "&lt;=" &amp; $A79, Table2[AwayTeam], K$1)+SUMIFS(Table2[NewPointsHome],Table2[GameDate], "&lt;=" &amp; $A79, Table2[HomeTeam], K$1)</f>
        <v>35</v>
      </c>
      <c r="L79" s="145">
        <f>SUMIFS(Table2[NewPointsAway],Table2[GameDate], "&lt;=" &amp; $A79, Table2[AwayTeam], L$1)+SUMIFS(Table2[NewPointsHome],Table2[GameDate], "&lt;=" &amp; $A79, Table2[HomeTeam], L$1)</f>
        <v>31</v>
      </c>
      <c r="M79" s="145">
        <f>SUMIFS(Table2[NewPointsAway],Table2[GameDate], "&lt;=" &amp; $A79, Table2[AwayTeam], M$1)+SUMIFS(Table2[NewPointsHome],Table2[GameDate], "&lt;=" &amp; $A79, Table2[HomeTeam], M$1)</f>
        <v>30</v>
      </c>
      <c r="N79" s="145">
        <f>SUMIFS(Table2[NewPointsAway],Table2[GameDate], "&lt;=" &amp; $A79, Table2[AwayTeam], N$1)+SUMIFS(Table2[NewPointsHome],Table2[GameDate], "&lt;=" &amp; $A79, Table2[HomeTeam], N$1)</f>
        <v>35</v>
      </c>
      <c r="O79" s="145">
        <f>SUMIFS(Table2[NewPointsAway],Table2[GameDate], "&lt;=" &amp; $A79, Table2[AwayTeam], O$1)+SUMIFS(Table2[NewPointsHome],Table2[GameDate], "&lt;=" &amp; $A79, Table2[HomeTeam], O$1)</f>
        <v>37</v>
      </c>
      <c r="P79" s="145">
        <f>SUMIFS(Table2[NewPointsAway],Table2[GameDate], "&lt;=" &amp; $A79, Table2[AwayTeam], P$1)+SUMIFS(Table2[NewPointsHome],Table2[GameDate], "&lt;=" &amp; $A79, Table2[HomeTeam], P$1)</f>
        <v>33</v>
      </c>
      <c r="Q79" s="145">
        <f>SUMIFS(Table2[NewPointsAway],Table2[GameDate], "&lt;=" &amp; $A79, Table2[AwayTeam], Q$1)+SUMIFS(Table2[NewPointsHome],Table2[GameDate], "&lt;=" &amp; $A79, Table2[HomeTeam], Q$1)</f>
        <v>33</v>
      </c>
      <c r="R79" s="145">
        <f>SUMIFS(Table2[NewPointsAway],Table2[GameDate], "&lt;=" &amp; $A79, Table2[AwayTeam], R$1)+SUMIFS(Table2[NewPointsHome],Table2[GameDate], "&lt;=" &amp; $A79, Table2[HomeTeam], R$1)</f>
        <v>24</v>
      </c>
      <c r="S79" s="145">
        <f>SUMIFS(Table2[NewPointsAway],Table2[GameDate], "&lt;=" &amp; $A79, Table2[AwayTeam], S$1)+SUMIFS(Table2[NewPointsHome],Table2[GameDate], "&lt;=" &amp; $A79, Table2[HomeTeam], S$1)</f>
        <v>35</v>
      </c>
      <c r="T79" s="145">
        <f>SUMIFS(Table2[NewPointsAway],Table2[GameDate], "&lt;=" &amp; $A79, Table2[AwayTeam], T$1)+SUMIFS(Table2[NewPointsHome],Table2[GameDate], "&lt;=" &amp; $A79, Table2[HomeTeam], T$1)</f>
        <v>34</v>
      </c>
      <c r="U79" s="145">
        <f>SUMIFS(Table2[NewPointsAway],Table2[GameDate], "&lt;=" &amp; $A79, Table2[AwayTeam], U$1)+SUMIFS(Table2[NewPointsHome],Table2[GameDate], "&lt;=" &amp; $A79, Table2[HomeTeam], U$1)</f>
        <v>30</v>
      </c>
      <c r="V79" s="145">
        <f>SUMIFS(Table2[NewPointsAway],Table2[GameDate], "&lt;=" &amp; $A79, Table2[AwayTeam], V$1)+SUMIFS(Table2[NewPointsHome],Table2[GameDate], "&lt;=" &amp; $A79, Table2[HomeTeam], V$1)</f>
        <v>32</v>
      </c>
      <c r="W79" s="145">
        <f>SUMIFS(Table2[NewPointsAway],Table2[GameDate], "&lt;=" &amp; $A79, Table2[AwayTeam], W$1)+SUMIFS(Table2[NewPointsHome],Table2[GameDate], "&lt;=" &amp; $A79, Table2[HomeTeam], W$1)</f>
        <v>34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31</v>
      </c>
      <c r="Z79" s="145">
        <f>SUMIFS(Table2[NewPointsAway],Table2[GameDate], "&lt;=" &amp; $A79, Table2[AwayTeam], Z$1)+SUMIFS(Table2[NewPointsHome],Table2[GameDate], "&lt;=" &amp; $A79, Table2[HomeTeam], Z$1)</f>
        <v>30</v>
      </c>
      <c r="AA79" s="145">
        <f>SUMIFS(Table2[NewPointsAway],Table2[GameDate], "&lt;=" &amp; $A79, Table2[AwayTeam], AA$1)+SUMIFS(Table2[NewPointsHome],Table2[GameDate], "&lt;=" &amp; $A79, Table2[HomeTeam], AA$1)</f>
        <v>34</v>
      </c>
      <c r="AB79" s="145">
        <f>SUMIFS(Table2[NewPointsAway],Table2[GameDate], "&lt;=" &amp; $A79, Table2[AwayTeam], AB$1)+SUMIFS(Table2[NewPointsHome],Table2[GameDate], "&lt;=" &amp; $A79, Table2[HomeTeam], AB$1)</f>
        <v>32</v>
      </c>
      <c r="AC79" s="145">
        <f>SUMIFS(Table2[NewPointsAway],Table2[GameDate], "&lt;=" &amp; $A79, Table2[AwayTeam], AC$1)+SUMIFS(Table2[NewPointsHome],Table2[GameDate], "&lt;=" &amp; $A79, Table2[HomeTeam], AC$1)</f>
        <v>31</v>
      </c>
      <c r="AD79" s="145">
        <f>SUMIFS(Table2[NewPointsAway],Table2[GameDate], "&lt;=" &amp; $A79, Table2[AwayTeam], AD$1)+SUMIFS(Table2[NewPointsHome],Table2[GameDate], "&lt;=" &amp; $A79, Table2[HomeTeam], AD$1)</f>
        <v>25</v>
      </c>
      <c r="AE79" s="145">
        <f>SUMIFS(Table2[NewPointsAway],Table2[GameDate], "&lt;=" &amp; $A79, Table2[AwayTeam], AE$1)+SUMIFS(Table2[NewPointsHome],Table2[GameDate], "&lt;=" &amp; $A79, Table2[HomeTeam], AE$1)</f>
        <v>36</v>
      </c>
      <c r="AF79" s="145">
        <f>SUMIFS(Table2[NewPointsAway],Table2[GameDate], "&lt;=" &amp; $A79, Table2[AwayTeam], AF$1)+SUMIFS(Table2[NewPointsHome],Table2[GameDate], "&lt;=" &amp; $A79, Table2[HomeTeam], AF$1)</f>
        <v>29</v>
      </c>
      <c r="AG79" s="145">
        <f>SUMIFS(Table2[NewPointsAway],Table2[GameDate], "&lt;=" &amp; $A79, Table2[AwayTeam], AG$1)+SUMIFS(Table2[NewPointsHome],Table2[GameDate], "&lt;=" &amp; $A79, Table2[HomeTeam], AG$1)</f>
        <v>39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37</v>
      </c>
      <c r="C80" s="145">
        <f>SUMIFS(Table2[NewPointsAway],Table2[GameDate], "&lt;=" &amp; $A80, Table2[AwayTeam], C$1)+SUMIFS(Table2[NewPointsHome],Table2[GameDate], "&lt;=" &amp; $A80, Table2[HomeTeam], C$1)</f>
        <v>34</v>
      </c>
      <c r="D80" s="145">
        <f>SUMIFS(Table2[NewPointsAway],Table2[GameDate], "&lt;=" &amp; $A80, Table2[AwayTeam], D$1)+SUMIFS(Table2[NewPointsHome],Table2[GameDate], "&lt;=" &amp; $A80, Table2[HomeTeam], D$1)</f>
        <v>26</v>
      </c>
      <c r="E80" s="145">
        <f>SUMIFS(Table2[NewPointsAway],Table2[GameDate], "&lt;=" &amp; $A80, Table2[AwayTeam], E$1)+SUMIFS(Table2[NewPointsHome],Table2[GameDate], "&lt;=" &amp; $A80, Table2[HomeTeam], E$1)</f>
        <v>36</v>
      </c>
      <c r="F80" s="145">
        <f>SUMIFS(Table2[NewPointsAway],Table2[GameDate], "&lt;=" &amp; $A80, Table2[AwayTeam], F$1)+SUMIFS(Table2[NewPointsHome],Table2[GameDate], "&lt;=" &amp; $A80, Table2[HomeTeam], F$1)</f>
        <v>32</v>
      </c>
      <c r="G80" s="145">
        <f>SUMIFS(Table2[NewPointsAway],Table2[GameDate], "&lt;=" &amp; $A80, Table2[AwayTeam], G$1)+SUMIFS(Table2[NewPointsHome],Table2[GameDate], "&lt;=" &amp; $A80, Table2[HomeTeam], G$1)</f>
        <v>28</v>
      </c>
      <c r="H80" s="145">
        <f>SUMIFS(Table2[NewPointsAway],Table2[GameDate], "&lt;=" &amp; $A80, Table2[AwayTeam], H$1)+SUMIFS(Table2[NewPointsHome],Table2[GameDate], "&lt;=" &amp; $A80, Table2[HomeTeam], H$1)</f>
        <v>30</v>
      </c>
      <c r="I80" s="145">
        <f>SUMIFS(Table2[NewPointsAway],Table2[GameDate], "&lt;=" &amp; $A80, Table2[AwayTeam], I$1)+SUMIFS(Table2[NewPointsHome],Table2[GameDate], "&lt;=" &amp; $A80, Table2[HomeTeam], I$1)</f>
        <v>48</v>
      </c>
      <c r="J80" s="145">
        <f>SUMIFS(Table2[NewPointsAway],Table2[GameDate], "&lt;=" &amp; $A80, Table2[AwayTeam], J$1)+SUMIFS(Table2[NewPointsHome],Table2[GameDate], "&lt;=" &amp; $A80, Table2[HomeTeam], J$1)</f>
        <v>45</v>
      </c>
      <c r="K80" s="145">
        <f>SUMIFS(Table2[NewPointsAway],Table2[GameDate], "&lt;=" &amp; $A80, Table2[AwayTeam], K$1)+SUMIFS(Table2[NewPointsHome],Table2[GameDate], "&lt;=" &amp; $A80, Table2[HomeTeam], K$1)</f>
        <v>35</v>
      </c>
      <c r="L80" s="145">
        <f>SUMIFS(Table2[NewPointsAway],Table2[GameDate], "&lt;=" &amp; $A80, Table2[AwayTeam], L$1)+SUMIFS(Table2[NewPointsHome],Table2[GameDate], "&lt;=" &amp; $A80, Table2[HomeTeam], L$1)</f>
        <v>31</v>
      </c>
      <c r="M80" s="145">
        <f>SUMIFS(Table2[NewPointsAway],Table2[GameDate], "&lt;=" &amp; $A80, Table2[AwayTeam], M$1)+SUMIFS(Table2[NewPointsHome],Table2[GameDate], "&lt;=" &amp; $A80, Table2[HomeTeam], M$1)</f>
        <v>30</v>
      </c>
      <c r="N80" s="145">
        <f>SUMIFS(Table2[NewPointsAway],Table2[GameDate], "&lt;=" &amp; $A80, Table2[AwayTeam], N$1)+SUMIFS(Table2[NewPointsHome],Table2[GameDate], "&lt;=" &amp; $A80, Table2[HomeTeam], N$1)</f>
        <v>35</v>
      </c>
      <c r="O80" s="145">
        <f>SUMIFS(Table2[NewPointsAway],Table2[GameDate], "&lt;=" &amp; $A80, Table2[AwayTeam], O$1)+SUMIFS(Table2[NewPointsHome],Table2[GameDate], "&lt;=" &amp; $A80, Table2[HomeTeam], O$1)</f>
        <v>37</v>
      </c>
      <c r="P80" s="145">
        <f>SUMIFS(Table2[NewPointsAway],Table2[GameDate], "&lt;=" &amp; $A80, Table2[AwayTeam], P$1)+SUMIFS(Table2[NewPointsHome],Table2[GameDate], "&lt;=" &amp; $A80, Table2[HomeTeam], P$1)</f>
        <v>33</v>
      </c>
      <c r="Q80" s="145">
        <f>SUMIFS(Table2[NewPointsAway],Table2[GameDate], "&lt;=" &amp; $A80, Table2[AwayTeam], Q$1)+SUMIFS(Table2[NewPointsHome],Table2[GameDate], "&lt;=" &amp; $A80, Table2[HomeTeam], Q$1)</f>
        <v>33</v>
      </c>
      <c r="R80" s="145">
        <f>SUMIFS(Table2[NewPointsAway],Table2[GameDate], "&lt;=" &amp; $A80, Table2[AwayTeam], R$1)+SUMIFS(Table2[NewPointsHome],Table2[GameDate], "&lt;=" &amp; $A80, Table2[HomeTeam], R$1)</f>
        <v>24</v>
      </c>
      <c r="S80" s="145">
        <f>SUMIFS(Table2[NewPointsAway],Table2[GameDate], "&lt;=" &amp; $A80, Table2[AwayTeam], S$1)+SUMIFS(Table2[NewPointsHome],Table2[GameDate], "&lt;=" &amp; $A80, Table2[HomeTeam], S$1)</f>
        <v>35</v>
      </c>
      <c r="T80" s="145">
        <f>SUMIFS(Table2[NewPointsAway],Table2[GameDate], "&lt;=" &amp; $A80, Table2[AwayTeam], T$1)+SUMIFS(Table2[NewPointsHome],Table2[GameDate], "&lt;=" &amp; $A80, Table2[HomeTeam], T$1)</f>
        <v>34</v>
      </c>
      <c r="U80" s="145">
        <f>SUMIFS(Table2[NewPointsAway],Table2[GameDate], "&lt;=" &amp; $A80, Table2[AwayTeam], U$1)+SUMIFS(Table2[NewPointsHome],Table2[GameDate], "&lt;=" &amp; $A80, Table2[HomeTeam], U$1)</f>
        <v>30</v>
      </c>
      <c r="V80" s="145">
        <f>SUMIFS(Table2[NewPointsAway],Table2[GameDate], "&lt;=" &amp; $A80, Table2[AwayTeam], V$1)+SUMIFS(Table2[NewPointsHome],Table2[GameDate], "&lt;=" &amp; $A80, Table2[HomeTeam], V$1)</f>
        <v>32</v>
      </c>
      <c r="W80" s="145">
        <f>SUMIFS(Table2[NewPointsAway],Table2[GameDate], "&lt;=" &amp; $A80, Table2[AwayTeam], W$1)+SUMIFS(Table2[NewPointsHome],Table2[GameDate], "&lt;=" &amp; $A80, Table2[HomeTeam], W$1)</f>
        <v>34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31</v>
      </c>
      <c r="Z80" s="145">
        <f>SUMIFS(Table2[NewPointsAway],Table2[GameDate], "&lt;=" &amp; $A80, Table2[AwayTeam], Z$1)+SUMIFS(Table2[NewPointsHome],Table2[GameDate], "&lt;=" &amp; $A80, Table2[HomeTeam], Z$1)</f>
        <v>30</v>
      </c>
      <c r="AA80" s="145">
        <f>SUMIFS(Table2[NewPointsAway],Table2[GameDate], "&lt;=" &amp; $A80, Table2[AwayTeam], AA$1)+SUMIFS(Table2[NewPointsHome],Table2[GameDate], "&lt;=" &amp; $A80, Table2[HomeTeam], AA$1)</f>
        <v>34</v>
      </c>
      <c r="AB80" s="145">
        <f>SUMIFS(Table2[NewPointsAway],Table2[GameDate], "&lt;=" &amp; $A80, Table2[AwayTeam], AB$1)+SUMIFS(Table2[NewPointsHome],Table2[GameDate], "&lt;=" &amp; $A80, Table2[HomeTeam], AB$1)</f>
        <v>32</v>
      </c>
      <c r="AC80" s="145">
        <f>SUMIFS(Table2[NewPointsAway],Table2[GameDate], "&lt;=" &amp; $A80, Table2[AwayTeam], AC$1)+SUMIFS(Table2[NewPointsHome],Table2[GameDate], "&lt;=" &amp; $A80, Table2[HomeTeam], AC$1)</f>
        <v>31</v>
      </c>
      <c r="AD80" s="145">
        <f>SUMIFS(Table2[NewPointsAway],Table2[GameDate], "&lt;=" &amp; $A80, Table2[AwayTeam], AD$1)+SUMIFS(Table2[NewPointsHome],Table2[GameDate], "&lt;=" &amp; $A80, Table2[HomeTeam], AD$1)</f>
        <v>25</v>
      </c>
      <c r="AE80" s="145">
        <f>SUMIFS(Table2[NewPointsAway],Table2[GameDate], "&lt;=" &amp; $A80, Table2[AwayTeam], AE$1)+SUMIFS(Table2[NewPointsHome],Table2[GameDate], "&lt;=" &amp; $A80, Table2[HomeTeam], AE$1)</f>
        <v>36</v>
      </c>
      <c r="AF80" s="145">
        <f>SUMIFS(Table2[NewPointsAway],Table2[GameDate], "&lt;=" &amp; $A80, Table2[AwayTeam], AF$1)+SUMIFS(Table2[NewPointsHome],Table2[GameDate], "&lt;=" &amp; $A80, Table2[HomeTeam], AF$1)</f>
        <v>29</v>
      </c>
      <c r="AG80" s="145">
        <f>SUMIFS(Table2[NewPointsAway],Table2[GameDate], "&lt;=" &amp; $A80, Table2[AwayTeam], AG$1)+SUMIFS(Table2[NewPointsHome],Table2[GameDate], "&lt;=" &amp; $A80, Table2[HomeTeam], AG$1)</f>
        <v>39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37</v>
      </c>
      <c r="C81" s="145">
        <f>SUMIFS(Table2[NewPointsAway],Table2[GameDate], "&lt;=" &amp; $A81, Table2[AwayTeam], C$1)+SUMIFS(Table2[NewPointsHome],Table2[GameDate], "&lt;=" &amp; $A81, Table2[HomeTeam], C$1)</f>
        <v>34</v>
      </c>
      <c r="D81" s="145">
        <f>SUMIFS(Table2[NewPointsAway],Table2[GameDate], "&lt;=" &amp; $A81, Table2[AwayTeam], D$1)+SUMIFS(Table2[NewPointsHome],Table2[GameDate], "&lt;=" &amp; $A81, Table2[HomeTeam], D$1)</f>
        <v>26</v>
      </c>
      <c r="E81" s="145">
        <f>SUMIFS(Table2[NewPointsAway],Table2[GameDate], "&lt;=" &amp; $A81, Table2[AwayTeam], E$1)+SUMIFS(Table2[NewPointsHome],Table2[GameDate], "&lt;=" &amp; $A81, Table2[HomeTeam], E$1)</f>
        <v>36</v>
      </c>
      <c r="F81" s="145">
        <f>SUMIFS(Table2[NewPointsAway],Table2[GameDate], "&lt;=" &amp; $A81, Table2[AwayTeam], F$1)+SUMIFS(Table2[NewPointsHome],Table2[GameDate], "&lt;=" &amp; $A81, Table2[HomeTeam], F$1)</f>
        <v>32</v>
      </c>
      <c r="G81" s="145">
        <f>SUMIFS(Table2[NewPointsAway],Table2[GameDate], "&lt;=" &amp; $A81, Table2[AwayTeam], G$1)+SUMIFS(Table2[NewPointsHome],Table2[GameDate], "&lt;=" &amp; $A81, Table2[HomeTeam], G$1)</f>
        <v>28</v>
      </c>
      <c r="H81" s="145">
        <f>SUMIFS(Table2[NewPointsAway],Table2[GameDate], "&lt;=" &amp; $A81, Table2[AwayTeam], H$1)+SUMIFS(Table2[NewPointsHome],Table2[GameDate], "&lt;=" &amp; $A81, Table2[HomeTeam], H$1)</f>
        <v>30</v>
      </c>
      <c r="I81" s="145">
        <f>SUMIFS(Table2[NewPointsAway],Table2[GameDate], "&lt;=" &amp; $A81, Table2[AwayTeam], I$1)+SUMIFS(Table2[NewPointsHome],Table2[GameDate], "&lt;=" &amp; $A81, Table2[HomeTeam], I$1)</f>
        <v>48</v>
      </c>
      <c r="J81" s="145">
        <f>SUMIFS(Table2[NewPointsAway],Table2[GameDate], "&lt;=" &amp; $A81, Table2[AwayTeam], J$1)+SUMIFS(Table2[NewPointsHome],Table2[GameDate], "&lt;=" &amp; $A81, Table2[HomeTeam], J$1)</f>
        <v>45</v>
      </c>
      <c r="K81" s="145">
        <f>SUMIFS(Table2[NewPointsAway],Table2[GameDate], "&lt;=" &amp; $A81, Table2[AwayTeam], K$1)+SUMIFS(Table2[NewPointsHome],Table2[GameDate], "&lt;=" &amp; $A81, Table2[HomeTeam], K$1)</f>
        <v>35</v>
      </c>
      <c r="L81" s="145">
        <f>SUMIFS(Table2[NewPointsAway],Table2[GameDate], "&lt;=" &amp; $A81, Table2[AwayTeam], L$1)+SUMIFS(Table2[NewPointsHome],Table2[GameDate], "&lt;=" &amp; $A81, Table2[HomeTeam], L$1)</f>
        <v>31</v>
      </c>
      <c r="M81" s="145">
        <f>SUMIFS(Table2[NewPointsAway],Table2[GameDate], "&lt;=" &amp; $A81, Table2[AwayTeam], M$1)+SUMIFS(Table2[NewPointsHome],Table2[GameDate], "&lt;=" &amp; $A81, Table2[HomeTeam], M$1)</f>
        <v>30</v>
      </c>
      <c r="N81" s="145">
        <f>SUMIFS(Table2[NewPointsAway],Table2[GameDate], "&lt;=" &amp; $A81, Table2[AwayTeam], N$1)+SUMIFS(Table2[NewPointsHome],Table2[GameDate], "&lt;=" &amp; $A81, Table2[HomeTeam], N$1)</f>
        <v>35</v>
      </c>
      <c r="O81" s="145">
        <f>SUMIFS(Table2[NewPointsAway],Table2[GameDate], "&lt;=" &amp; $A81, Table2[AwayTeam], O$1)+SUMIFS(Table2[NewPointsHome],Table2[GameDate], "&lt;=" &amp; $A81, Table2[HomeTeam], O$1)</f>
        <v>37</v>
      </c>
      <c r="P81" s="145">
        <f>SUMIFS(Table2[NewPointsAway],Table2[GameDate], "&lt;=" &amp; $A81, Table2[AwayTeam], P$1)+SUMIFS(Table2[NewPointsHome],Table2[GameDate], "&lt;=" &amp; $A81, Table2[HomeTeam], P$1)</f>
        <v>33</v>
      </c>
      <c r="Q81" s="145">
        <f>SUMIFS(Table2[NewPointsAway],Table2[GameDate], "&lt;=" &amp; $A81, Table2[AwayTeam], Q$1)+SUMIFS(Table2[NewPointsHome],Table2[GameDate], "&lt;=" &amp; $A81, Table2[HomeTeam], Q$1)</f>
        <v>33</v>
      </c>
      <c r="R81" s="145">
        <f>SUMIFS(Table2[NewPointsAway],Table2[GameDate], "&lt;=" &amp; $A81, Table2[AwayTeam], R$1)+SUMIFS(Table2[NewPointsHome],Table2[GameDate], "&lt;=" &amp; $A81, Table2[HomeTeam], R$1)</f>
        <v>24</v>
      </c>
      <c r="S81" s="145">
        <f>SUMIFS(Table2[NewPointsAway],Table2[GameDate], "&lt;=" &amp; $A81, Table2[AwayTeam], S$1)+SUMIFS(Table2[NewPointsHome],Table2[GameDate], "&lt;=" &amp; $A81, Table2[HomeTeam], S$1)</f>
        <v>35</v>
      </c>
      <c r="T81" s="145">
        <f>SUMIFS(Table2[NewPointsAway],Table2[GameDate], "&lt;=" &amp; $A81, Table2[AwayTeam], T$1)+SUMIFS(Table2[NewPointsHome],Table2[GameDate], "&lt;=" &amp; $A81, Table2[HomeTeam], T$1)</f>
        <v>34</v>
      </c>
      <c r="U81" s="145">
        <f>SUMIFS(Table2[NewPointsAway],Table2[GameDate], "&lt;=" &amp; $A81, Table2[AwayTeam], U$1)+SUMIFS(Table2[NewPointsHome],Table2[GameDate], "&lt;=" &amp; $A81, Table2[HomeTeam], U$1)</f>
        <v>30</v>
      </c>
      <c r="V81" s="145">
        <f>SUMIFS(Table2[NewPointsAway],Table2[GameDate], "&lt;=" &amp; $A81, Table2[AwayTeam], V$1)+SUMIFS(Table2[NewPointsHome],Table2[GameDate], "&lt;=" &amp; $A81, Table2[HomeTeam], V$1)</f>
        <v>32</v>
      </c>
      <c r="W81" s="145">
        <f>SUMIFS(Table2[NewPointsAway],Table2[GameDate], "&lt;=" &amp; $A81, Table2[AwayTeam], W$1)+SUMIFS(Table2[NewPointsHome],Table2[GameDate], "&lt;=" &amp; $A81, Table2[HomeTeam], W$1)</f>
        <v>34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31</v>
      </c>
      <c r="Z81" s="145">
        <f>SUMIFS(Table2[NewPointsAway],Table2[GameDate], "&lt;=" &amp; $A81, Table2[AwayTeam], Z$1)+SUMIFS(Table2[NewPointsHome],Table2[GameDate], "&lt;=" &amp; $A81, Table2[HomeTeam], Z$1)</f>
        <v>30</v>
      </c>
      <c r="AA81" s="145">
        <f>SUMIFS(Table2[NewPointsAway],Table2[GameDate], "&lt;=" &amp; $A81, Table2[AwayTeam], AA$1)+SUMIFS(Table2[NewPointsHome],Table2[GameDate], "&lt;=" &amp; $A81, Table2[HomeTeam], AA$1)</f>
        <v>34</v>
      </c>
      <c r="AB81" s="145">
        <f>SUMIFS(Table2[NewPointsAway],Table2[GameDate], "&lt;=" &amp; $A81, Table2[AwayTeam], AB$1)+SUMIFS(Table2[NewPointsHome],Table2[GameDate], "&lt;=" &amp; $A81, Table2[HomeTeam], AB$1)</f>
        <v>32</v>
      </c>
      <c r="AC81" s="145">
        <f>SUMIFS(Table2[NewPointsAway],Table2[GameDate], "&lt;=" &amp; $A81, Table2[AwayTeam], AC$1)+SUMIFS(Table2[NewPointsHome],Table2[GameDate], "&lt;=" &amp; $A81, Table2[HomeTeam], AC$1)</f>
        <v>31</v>
      </c>
      <c r="AD81" s="145">
        <f>SUMIFS(Table2[NewPointsAway],Table2[GameDate], "&lt;=" &amp; $A81, Table2[AwayTeam], AD$1)+SUMIFS(Table2[NewPointsHome],Table2[GameDate], "&lt;=" &amp; $A81, Table2[HomeTeam], AD$1)</f>
        <v>25</v>
      </c>
      <c r="AE81" s="145">
        <f>SUMIFS(Table2[NewPointsAway],Table2[GameDate], "&lt;=" &amp; $A81, Table2[AwayTeam], AE$1)+SUMIFS(Table2[NewPointsHome],Table2[GameDate], "&lt;=" &amp; $A81, Table2[HomeTeam], AE$1)</f>
        <v>36</v>
      </c>
      <c r="AF81" s="145">
        <f>SUMIFS(Table2[NewPointsAway],Table2[GameDate], "&lt;=" &amp; $A81, Table2[AwayTeam], AF$1)+SUMIFS(Table2[NewPointsHome],Table2[GameDate], "&lt;=" &amp; $A81, Table2[HomeTeam], AF$1)</f>
        <v>29</v>
      </c>
      <c r="AG81" s="145">
        <f>SUMIFS(Table2[NewPointsAway],Table2[GameDate], "&lt;=" &amp; $A81, Table2[AwayTeam], AG$1)+SUMIFS(Table2[NewPointsHome],Table2[GameDate], "&lt;=" &amp; $A81, Table2[HomeTeam], AG$1)</f>
        <v>39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37</v>
      </c>
      <c r="C82" s="145">
        <f>SUMIFS(Table2[NewPointsAway],Table2[GameDate], "&lt;=" &amp; $A82, Table2[AwayTeam], C$1)+SUMIFS(Table2[NewPointsHome],Table2[GameDate], "&lt;=" &amp; $A82, Table2[HomeTeam], C$1)</f>
        <v>34</v>
      </c>
      <c r="D82" s="145">
        <f>SUMIFS(Table2[NewPointsAway],Table2[GameDate], "&lt;=" &amp; $A82, Table2[AwayTeam], D$1)+SUMIFS(Table2[NewPointsHome],Table2[GameDate], "&lt;=" &amp; $A82, Table2[HomeTeam], D$1)</f>
        <v>26</v>
      </c>
      <c r="E82" s="145">
        <f>SUMIFS(Table2[NewPointsAway],Table2[GameDate], "&lt;=" &amp; $A82, Table2[AwayTeam], E$1)+SUMIFS(Table2[NewPointsHome],Table2[GameDate], "&lt;=" &amp; $A82, Table2[HomeTeam], E$1)</f>
        <v>36</v>
      </c>
      <c r="F82" s="145">
        <f>SUMIFS(Table2[NewPointsAway],Table2[GameDate], "&lt;=" &amp; $A82, Table2[AwayTeam], F$1)+SUMIFS(Table2[NewPointsHome],Table2[GameDate], "&lt;=" &amp; $A82, Table2[HomeTeam], F$1)</f>
        <v>32</v>
      </c>
      <c r="G82" s="145">
        <f>SUMIFS(Table2[NewPointsAway],Table2[GameDate], "&lt;=" &amp; $A82, Table2[AwayTeam], G$1)+SUMIFS(Table2[NewPointsHome],Table2[GameDate], "&lt;=" &amp; $A82, Table2[HomeTeam], G$1)</f>
        <v>28</v>
      </c>
      <c r="H82" s="145">
        <f>SUMIFS(Table2[NewPointsAway],Table2[GameDate], "&lt;=" &amp; $A82, Table2[AwayTeam], H$1)+SUMIFS(Table2[NewPointsHome],Table2[GameDate], "&lt;=" &amp; $A82, Table2[HomeTeam], H$1)</f>
        <v>30</v>
      </c>
      <c r="I82" s="145">
        <f>SUMIFS(Table2[NewPointsAway],Table2[GameDate], "&lt;=" &amp; $A82, Table2[AwayTeam], I$1)+SUMIFS(Table2[NewPointsHome],Table2[GameDate], "&lt;=" &amp; $A82, Table2[HomeTeam], I$1)</f>
        <v>48</v>
      </c>
      <c r="J82" s="145">
        <f>SUMIFS(Table2[NewPointsAway],Table2[GameDate], "&lt;=" &amp; $A82, Table2[AwayTeam], J$1)+SUMIFS(Table2[NewPointsHome],Table2[GameDate], "&lt;=" &amp; $A82, Table2[HomeTeam], J$1)</f>
        <v>45</v>
      </c>
      <c r="K82" s="145">
        <f>SUMIFS(Table2[NewPointsAway],Table2[GameDate], "&lt;=" &amp; $A82, Table2[AwayTeam], K$1)+SUMIFS(Table2[NewPointsHome],Table2[GameDate], "&lt;=" &amp; $A82, Table2[HomeTeam], K$1)</f>
        <v>35</v>
      </c>
      <c r="L82" s="145">
        <f>SUMIFS(Table2[NewPointsAway],Table2[GameDate], "&lt;=" &amp; $A82, Table2[AwayTeam], L$1)+SUMIFS(Table2[NewPointsHome],Table2[GameDate], "&lt;=" &amp; $A82, Table2[HomeTeam], L$1)</f>
        <v>31</v>
      </c>
      <c r="M82" s="145">
        <f>SUMIFS(Table2[NewPointsAway],Table2[GameDate], "&lt;=" &amp; $A82, Table2[AwayTeam], M$1)+SUMIFS(Table2[NewPointsHome],Table2[GameDate], "&lt;=" &amp; $A82, Table2[HomeTeam], M$1)</f>
        <v>30</v>
      </c>
      <c r="N82" s="145">
        <f>SUMIFS(Table2[NewPointsAway],Table2[GameDate], "&lt;=" &amp; $A82, Table2[AwayTeam], N$1)+SUMIFS(Table2[NewPointsHome],Table2[GameDate], "&lt;=" &amp; $A82, Table2[HomeTeam], N$1)</f>
        <v>35</v>
      </c>
      <c r="O82" s="145">
        <f>SUMIFS(Table2[NewPointsAway],Table2[GameDate], "&lt;=" &amp; $A82, Table2[AwayTeam], O$1)+SUMIFS(Table2[NewPointsHome],Table2[GameDate], "&lt;=" &amp; $A82, Table2[HomeTeam], O$1)</f>
        <v>37</v>
      </c>
      <c r="P82" s="145">
        <f>SUMIFS(Table2[NewPointsAway],Table2[GameDate], "&lt;=" &amp; $A82, Table2[AwayTeam], P$1)+SUMIFS(Table2[NewPointsHome],Table2[GameDate], "&lt;=" &amp; $A82, Table2[HomeTeam], P$1)</f>
        <v>33</v>
      </c>
      <c r="Q82" s="145">
        <f>SUMIFS(Table2[NewPointsAway],Table2[GameDate], "&lt;=" &amp; $A82, Table2[AwayTeam], Q$1)+SUMIFS(Table2[NewPointsHome],Table2[GameDate], "&lt;=" &amp; $A82, Table2[HomeTeam], Q$1)</f>
        <v>33</v>
      </c>
      <c r="R82" s="145">
        <f>SUMIFS(Table2[NewPointsAway],Table2[GameDate], "&lt;=" &amp; $A82, Table2[AwayTeam], R$1)+SUMIFS(Table2[NewPointsHome],Table2[GameDate], "&lt;=" &amp; $A82, Table2[HomeTeam], R$1)</f>
        <v>24</v>
      </c>
      <c r="S82" s="145">
        <f>SUMIFS(Table2[NewPointsAway],Table2[GameDate], "&lt;=" &amp; $A82, Table2[AwayTeam], S$1)+SUMIFS(Table2[NewPointsHome],Table2[GameDate], "&lt;=" &amp; $A82, Table2[HomeTeam], S$1)</f>
        <v>35</v>
      </c>
      <c r="T82" s="145">
        <f>SUMIFS(Table2[NewPointsAway],Table2[GameDate], "&lt;=" &amp; $A82, Table2[AwayTeam], T$1)+SUMIFS(Table2[NewPointsHome],Table2[GameDate], "&lt;=" &amp; $A82, Table2[HomeTeam], T$1)</f>
        <v>34</v>
      </c>
      <c r="U82" s="145">
        <f>SUMIFS(Table2[NewPointsAway],Table2[GameDate], "&lt;=" &amp; $A82, Table2[AwayTeam], U$1)+SUMIFS(Table2[NewPointsHome],Table2[GameDate], "&lt;=" &amp; $A82, Table2[HomeTeam], U$1)</f>
        <v>30</v>
      </c>
      <c r="V82" s="145">
        <f>SUMIFS(Table2[NewPointsAway],Table2[GameDate], "&lt;=" &amp; $A82, Table2[AwayTeam], V$1)+SUMIFS(Table2[NewPointsHome],Table2[GameDate], "&lt;=" &amp; $A82, Table2[HomeTeam], V$1)</f>
        <v>32</v>
      </c>
      <c r="W82" s="145">
        <f>SUMIFS(Table2[NewPointsAway],Table2[GameDate], "&lt;=" &amp; $A82, Table2[AwayTeam], W$1)+SUMIFS(Table2[NewPointsHome],Table2[GameDate], "&lt;=" &amp; $A82, Table2[HomeTeam], W$1)</f>
        <v>34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31</v>
      </c>
      <c r="Z82" s="145">
        <f>SUMIFS(Table2[NewPointsAway],Table2[GameDate], "&lt;=" &amp; $A82, Table2[AwayTeam], Z$1)+SUMIFS(Table2[NewPointsHome],Table2[GameDate], "&lt;=" &amp; $A82, Table2[HomeTeam], Z$1)</f>
        <v>30</v>
      </c>
      <c r="AA82" s="145">
        <f>SUMIFS(Table2[NewPointsAway],Table2[GameDate], "&lt;=" &amp; $A82, Table2[AwayTeam], AA$1)+SUMIFS(Table2[NewPointsHome],Table2[GameDate], "&lt;=" &amp; $A82, Table2[HomeTeam], AA$1)</f>
        <v>34</v>
      </c>
      <c r="AB82" s="145">
        <f>SUMIFS(Table2[NewPointsAway],Table2[GameDate], "&lt;=" &amp; $A82, Table2[AwayTeam], AB$1)+SUMIFS(Table2[NewPointsHome],Table2[GameDate], "&lt;=" &amp; $A82, Table2[HomeTeam], AB$1)</f>
        <v>32</v>
      </c>
      <c r="AC82" s="145">
        <f>SUMIFS(Table2[NewPointsAway],Table2[GameDate], "&lt;=" &amp; $A82, Table2[AwayTeam], AC$1)+SUMIFS(Table2[NewPointsHome],Table2[GameDate], "&lt;=" &amp; $A82, Table2[HomeTeam], AC$1)</f>
        <v>31</v>
      </c>
      <c r="AD82" s="145">
        <f>SUMIFS(Table2[NewPointsAway],Table2[GameDate], "&lt;=" &amp; $A82, Table2[AwayTeam], AD$1)+SUMIFS(Table2[NewPointsHome],Table2[GameDate], "&lt;=" &amp; $A82, Table2[HomeTeam], AD$1)</f>
        <v>25</v>
      </c>
      <c r="AE82" s="145">
        <f>SUMIFS(Table2[NewPointsAway],Table2[GameDate], "&lt;=" &amp; $A82, Table2[AwayTeam], AE$1)+SUMIFS(Table2[NewPointsHome],Table2[GameDate], "&lt;=" &amp; $A82, Table2[HomeTeam], AE$1)</f>
        <v>36</v>
      </c>
      <c r="AF82" s="145">
        <f>SUMIFS(Table2[NewPointsAway],Table2[GameDate], "&lt;=" &amp; $A82, Table2[AwayTeam], AF$1)+SUMIFS(Table2[NewPointsHome],Table2[GameDate], "&lt;=" &amp; $A82, Table2[HomeTeam], AF$1)</f>
        <v>29</v>
      </c>
      <c r="AG82" s="145">
        <f>SUMIFS(Table2[NewPointsAway],Table2[GameDate], "&lt;=" &amp; $A82, Table2[AwayTeam], AG$1)+SUMIFS(Table2[NewPointsHome],Table2[GameDate], "&lt;=" &amp; $A82, Table2[HomeTeam], AG$1)</f>
        <v>39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37</v>
      </c>
      <c r="C83" s="145">
        <f>SUMIFS(Table2[NewPointsAway],Table2[GameDate], "&lt;=" &amp; $A83, Table2[AwayTeam], C$1)+SUMIFS(Table2[NewPointsHome],Table2[GameDate], "&lt;=" &amp; $A83, Table2[HomeTeam], C$1)</f>
        <v>34</v>
      </c>
      <c r="D83" s="145">
        <f>SUMIFS(Table2[NewPointsAway],Table2[GameDate], "&lt;=" &amp; $A83, Table2[AwayTeam], D$1)+SUMIFS(Table2[NewPointsHome],Table2[GameDate], "&lt;=" &amp; $A83, Table2[HomeTeam], D$1)</f>
        <v>26</v>
      </c>
      <c r="E83" s="145">
        <f>SUMIFS(Table2[NewPointsAway],Table2[GameDate], "&lt;=" &amp; $A83, Table2[AwayTeam], E$1)+SUMIFS(Table2[NewPointsHome],Table2[GameDate], "&lt;=" &amp; $A83, Table2[HomeTeam], E$1)</f>
        <v>36</v>
      </c>
      <c r="F83" s="145">
        <f>SUMIFS(Table2[NewPointsAway],Table2[GameDate], "&lt;=" &amp; $A83, Table2[AwayTeam], F$1)+SUMIFS(Table2[NewPointsHome],Table2[GameDate], "&lt;=" &amp; $A83, Table2[HomeTeam], F$1)</f>
        <v>32</v>
      </c>
      <c r="G83" s="145">
        <f>SUMIFS(Table2[NewPointsAway],Table2[GameDate], "&lt;=" &amp; $A83, Table2[AwayTeam], G$1)+SUMIFS(Table2[NewPointsHome],Table2[GameDate], "&lt;=" &amp; $A83, Table2[HomeTeam], G$1)</f>
        <v>28</v>
      </c>
      <c r="H83" s="145">
        <f>SUMIFS(Table2[NewPointsAway],Table2[GameDate], "&lt;=" &amp; $A83, Table2[AwayTeam], H$1)+SUMIFS(Table2[NewPointsHome],Table2[GameDate], "&lt;=" &amp; $A83, Table2[HomeTeam], H$1)</f>
        <v>30</v>
      </c>
      <c r="I83" s="145">
        <f>SUMIFS(Table2[NewPointsAway],Table2[GameDate], "&lt;=" &amp; $A83, Table2[AwayTeam], I$1)+SUMIFS(Table2[NewPointsHome],Table2[GameDate], "&lt;=" &amp; $A83, Table2[HomeTeam], I$1)</f>
        <v>48</v>
      </c>
      <c r="J83" s="145">
        <f>SUMIFS(Table2[NewPointsAway],Table2[GameDate], "&lt;=" &amp; $A83, Table2[AwayTeam], J$1)+SUMIFS(Table2[NewPointsHome],Table2[GameDate], "&lt;=" &amp; $A83, Table2[HomeTeam], J$1)</f>
        <v>45</v>
      </c>
      <c r="K83" s="145">
        <f>SUMIFS(Table2[NewPointsAway],Table2[GameDate], "&lt;=" &amp; $A83, Table2[AwayTeam], K$1)+SUMIFS(Table2[NewPointsHome],Table2[GameDate], "&lt;=" &amp; $A83, Table2[HomeTeam], K$1)</f>
        <v>35</v>
      </c>
      <c r="L83" s="145">
        <f>SUMIFS(Table2[NewPointsAway],Table2[GameDate], "&lt;=" &amp; $A83, Table2[AwayTeam], L$1)+SUMIFS(Table2[NewPointsHome],Table2[GameDate], "&lt;=" &amp; $A83, Table2[HomeTeam], L$1)</f>
        <v>31</v>
      </c>
      <c r="M83" s="145">
        <f>SUMIFS(Table2[NewPointsAway],Table2[GameDate], "&lt;=" &amp; $A83, Table2[AwayTeam], M$1)+SUMIFS(Table2[NewPointsHome],Table2[GameDate], "&lt;=" &amp; $A83, Table2[HomeTeam], M$1)</f>
        <v>30</v>
      </c>
      <c r="N83" s="145">
        <f>SUMIFS(Table2[NewPointsAway],Table2[GameDate], "&lt;=" &amp; $A83, Table2[AwayTeam], N$1)+SUMIFS(Table2[NewPointsHome],Table2[GameDate], "&lt;=" &amp; $A83, Table2[HomeTeam], N$1)</f>
        <v>35</v>
      </c>
      <c r="O83" s="145">
        <f>SUMIFS(Table2[NewPointsAway],Table2[GameDate], "&lt;=" &amp; $A83, Table2[AwayTeam], O$1)+SUMIFS(Table2[NewPointsHome],Table2[GameDate], "&lt;=" &amp; $A83, Table2[HomeTeam], O$1)</f>
        <v>37</v>
      </c>
      <c r="P83" s="145">
        <f>SUMIFS(Table2[NewPointsAway],Table2[GameDate], "&lt;=" &amp; $A83, Table2[AwayTeam], P$1)+SUMIFS(Table2[NewPointsHome],Table2[GameDate], "&lt;=" &amp; $A83, Table2[HomeTeam], P$1)</f>
        <v>33</v>
      </c>
      <c r="Q83" s="145">
        <f>SUMIFS(Table2[NewPointsAway],Table2[GameDate], "&lt;=" &amp; $A83, Table2[AwayTeam], Q$1)+SUMIFS(Table2[NewPointsHome],Table2[GameDate], "&lt;=" &amp; $A83, Table2[HomeTeam], Q$1)</f>
        <v>33</v>
      </c>
      <c r="R83" s="145">
        <f>SUMIFS(Table2[NewPointsAway],Table2[GameDate], "&lt;=" &amp; $A83, Table2[AwayTeam], R$1)+SUMIFS(Table2[NewPointsHome],Table2[GameDate], "&lt;=" &amp; $A83, Table2[HomeTeam], R$1)</f>
        <v>24</v>
      </c>
      <c r="S83" s="145">
        <f>SUMIFS(Table2[NewPointsAway],Table2[GameDate], "&lt;=" &amp; $A83, Table2[AwayTeam], S$1)+SUMIFS(Table2[NewPointsHome],Table2[GameDate], "&lt;=" &amp; $A83, Table2[HomeTeam], S$1)</f>
        <v>35</v>
      </c>
      <c r="T83" s="145">
        <f>SUMIFS(Table2[NewPointsAway],Table2[GameDate], "&lt;=" &amp; $A83, Table2[AwayTeam], T$1)+SUMIFS(Table2[NewPointsHome],Table2[GameDate], "&lt;=" &amp; $A83, Table2[HomeTeam], T$1)</f>
        <v>34</v>
      </c>
      <c r="U83" s="145">
        <f>SUMIFS(Table2[NewPointsAway],Table2[GameDate], "&lt;=" &amp; $A83, Table2[AwayTeam], U$1)+SUMIFS(Table2[NewPointsHome],Table2[GameDate], "&lt;=" &amp; $A83, Table2[HomeTeam], U$1)</f>
        <v>30</v>
      </c>
      <c r="V83" s="145">
        <f>SUMIFS(Table2[NewPointsAway],Table2[GameDate], "&lt;=" &amp; $A83, Table2[AwayTeam], V$1)+SUMIFS(Table2[NewPointsHome],Table2[GameDate], "&lt;=" &amp; $A83, Table2[HomeTeam], V$1)</f>
        <v>32</v>
      </c>
      <c r="W83" s="145">
        <f>SUMIFS(Table2[NewPointsAway],Table2[GameDate], "&lt;=" &amp; $A83, Table2[AwayTeam], W$1)+SUMIFS(Table2[NewPointsHome],Table2[GameDate], "&lt;=" &amp; $A83, Table2[HomeTeam], W$1)</f>
        <v>34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31</v>
      </c>
      <c r="Z83" s="145">
        <f>SUMIFS(Table2[NewPointsAway],Table2[GameDate], "&lt;=" &amp; $A83, Table2[AwayTeam], Z$1)+SUMIFS(Table2[NewPointsHome],Table2[GameDate], "&lt;=" &amp; $A83, Table2[HomeTeam], Z$1)</f>
        <v>30</v>
      </c>
      <c r="AA83" s="145">
        <f>SUMIFS(Table2[NewPointsAway],Table2[GameDate], "&lt;=" &amp; $A83, Table2[AwayTeam], AA$1)+SUMIFS(Table2[NewPointsHome],Table2[GameDate], "&lt;=" &amp; $A83, Table2[HomeTeam], AA$1)</f>
        <v>34</v>
      </c>
      <c r="AB83" s="145">
        <f>SUMIFS(Table2[NewPointsAway],Table2[GameDate], "&lt;=" &amp; $A83, Table2[AwayTeam], AB$1)+SUMIFS(Table2[NewPointsHome],Table2[GameDate], "&lt;=" &amp; $A83, Table2[HomeTeam], AB$1)</f>
        <v>32</v>
      </c>
      <c r="AC83" s="145">
        <f>SUMIFS(Table2[NewPointsAway],Table2[GameDate], "&lt;=" &amp; $A83, Table2[AwayTeam], AC$1)+SUMIFS(Table2[NewPointsHome],Table2[GameDate], "&lt;=" &amp; $A83, Table2[HomeTeam], AC$1)</f>
        <v>31</v>
      </c>
      <c r="AD83" s="145">
        <f>SUMIFS(Table2[NewPointsAway],Table2[GameDate], "&lt;=" &amp; $A83, Table2[AwayTeam], AD$1)+SUMIFS(Table2[NewPointsHome],Table2[GameDate], "&lt;=" &amp; $A83, Table2[HomeTeam], AD$1)</f>
        <v>25</v>
      </c>
      <c r="AE83" s="145">
        <f>SUMIFS(Table2[NewPointsAway],Table2[GameDate], "&lt;=" &amp; $A83, Table2[AwayTeam], AE$1)+SUMIFS(Table2[NewPointsHome],Table2[GameDate], "&lt;=" &amp; $A83, Table2[HomeTeam], AE$1)</f>
        <v>36</v>
      </c>
      <c r="AF83" s="145">
        <f>SUMIFS(Table2[NewPointsAway],Table2[GameDate], "&lt;=" &amp; $A83, Table2[AwayTeam], AF$1)+SUMIFS(Table2[NewPointsHome],Table2[GameDate], "&lt;=" &amp; $A83, Table2[HomeTeam], AF$1)</f>
        <v>29</v>
      </c>
      <c r="AG83" s="145">
        <f>SUMIFS(Table2[NewPointsAway],Table2[GameDate], "&lt;=" &amp; $A83, Table2[AwayTeam], AG$1)+SUMIFS(Table2[NewPointsHome],Table2[GameDate], "&lt;=" &amp; $A83, Table2[HomeTeam], AG$1)</f>
        <v>39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37</v>
      </c>
      <c r="C84" s="145">
        <f>SUMIFS(Table2[NewPointsAway],Table2[GameDate], "&lt;=" &amp; $A84, Table2[AwayTeam], C$1)+SUMIFS(Table2[NewPointsHome],Table2[GameDate], "&lt;=" &amp; $A84, Table2[HomeTeam], C$1)</f>
        <v>34</v>
      </c>
      <c r="D84" s="145">
        <f>SUMIFS(Table2[NewPointsAway],Table2[GameDate], "&lt;=" &amp; $A84, Table2[AwayTeam], D$1)+SUMIFS(Table2[NewPointsHome],Table2[GameDate], "&lt;=" &amp; $A84, Table2[HomeTeam], D$1)</f>
        <v>26</v>
      </c>
      <c r="E84" s="145">
        <f>SUMIFS(Table2[NewPointsAway],Table2[GameDate], "&lt;=" &amp; $A84, Table2[AwayTeam], E$1)+SUMIFS(Table2[NewPointsHome],Table2[GameDate], "&lt;=" &amp; $A84, Table2[HomeTeam], E$1)</f>
        <v>36</v>
      </c>
      <c r="F84" s="145">
        <f>SUMIFS(Table2[NewPointsAway],Table2[GameDate], "&lt;=" &amp; $A84, Table2[AwayTeam], F$1)+SUMIFS(Table2[NewPointsHome],Table2[GameDate], "&lt;=" &amp; $A84, Table2[HomeTeam], F$1)</f>
        <v>32</v>
      </c>
      <c r="G84" s="145">
        <f>SUMIFS(Table2[NewPointsAway],Table2[GameDate], "&lt;=" &amp; $A84, Table2[AwayTeam], G$1)+SUMIFS(Table2[NewPointsHome],Table2[GameDate], "&lt;=" &amp; $A84, Table2[HomeTeam], G$1)</f>
        <v>28</v>
      </c>
      <c r="H84" s="145">
        <f>SUMIFS(Table2[NewPointsAway],Table2[GameDate], "&lt;=" &amp; $A84, Table2[AwayTeam], H$1)+SUMIFS(Table2[NewPointsHome],Table2[GameDate], "&lt;=" &amp; $A84, Table2[HomeTeam], H$1)</f>
        <v>30</v>
      </c>
      <c r="I84" s="145">
        <f>SUMIFS(Table2[NewPointsAway],Table2[GameDate], "&lt;=" &amp; $A84, Table2[AwayTeam], I$1)+SUMIFS(Table2[NewPointsHome],Table2[GameDate], "&lt;=" &amp; $A84, Table2[HomeTeam], I$1)</f>
        <v>48</v>
      </c>
      <c r="J84" s="145">
        <f>SUMIFS(Table2[NewPointsAway],Table2[GameDate], "&lt;=" &amp; $A84, Table2[AwayTeam], J$1)+SUMIFS(Table2[NewPointsHome],Table2[GameDate], "&lt;=" &amp; $A84, Table2[HomeTeam], J$1)</f>
        <v>45</v>
      </c>
      <c r="K84" s="145">
        <f>SUMIFS(Table2[NewPointsAway],Table2[GameDate], "&lt;=" &amp; $A84, Table2[AwayTeam], K$1)+SUMIFS(Table2[NewPointsHome],Table2[GameDate], "&lt;=" &amp; $A84, Table2[HomeTeam], K$1)</f>
        <v>35</v>
      </c>
      <c r="L84" s="145">
        <f>SUMIFS(Table2[NewPointsAway],Table2[GameDate], "&lt;=" &amp; $A84, Table2[AwayTeam], L$1)+SUMIFS(Table2[NewPointsHome],Table2[GameDate], "&lt;=" &amp; $A84, Table2[HomeTeam], L$1)</f>
        <v>31</v>
      </c>
      <c r="M84" s="145">
        <f>SUMIFS(Table2[NewPointsAway],Table2[GameDate], "&lt;=" &amp; $A84, Table2[AwayTeam], M$1)+SUMIFS(Table2[NewPointsHome],Table2[GameDate], "&lt;=" &amp; $A84, Table2[HomeTeam], M$1)</f>
        <v>30</v>
      </c>
      <c r="N84" s="145">
        <f>SUMIFS(Table2[NewPointsAway],Table2[GameDate], "&lt;=" &amp; $A84, Table2[AwayTeam], N$1)+SUMIFS(Table2[NewPointsHome],Table2[GameDate], "&lt;=" &amp; $A84, Table2[HomeTeam], N$1)</f>
        <v>35</v>
      </c>
      <c r="O84" s="145">
        <f>SUMIFS(Table2[NewPointsAway],Table2[GameDate], "&lt;=" &amp; $A84, Table2[AwayTeam], O$1)+SUMIFS(Table2[NewPointsHome],Table2[GameDate], "&lt;=" &amp; $A84, Table2[HomeTeam], O$1)</f>
        <v>37</v>
      </c>
      <c r="P84" s="145">
        <f>SUMIFS(Table2[NewPointsAway],Table2[GameDate], "&lt;=" &amp; $A84, Table2[AwayTeam], P$1)+SUMIFS(Table2[NewPointsHome],Table2[GameDate], "&lt;=" &amp; $A84, Table2[HomeTeam], P$1)</f>
        <v>33</v>
      </c>
      <c r="Q84" s="145">
        <f>SUMIFS(Table2[NewPointsAway],Table2[GameDate], "&lt;=" &amp; $A84, Table2[AwayTeam], Q$1)+SUMIFS(Table2[NewPointsHome],Table2[GameDate], "&lt;=" &amp; $A84, Table2[HomeTeam], Q$1)</f>
        <v>33</v>
      </c>
      <c r="R84" s="145">
        <f>SUMIFS(Table2[NewPointsAway],Table2[GameDate], "&lt;=" &amp; $A84, Table2[AwayTeam], R$1)+SUMIFS(Table2[NewPointsHome],Table2[GameDate], "&lt;=" &amp; $A84, Table2[HomeTeam], R$1)</f>
        <v>24</v>
      </c>
      <c r="S84" s="145">
        <f>SUMIFS(Table2[NewPointsAway],Table2[GameDate], "&lt;=" &amp; $A84, Table2[AwayTeam], S$1)+SUMIFS(Table2[NewPointsHome],Table2[GameDate], "&lt;=" &amp; $A84, Table2[HomeTeam], S$1)</f>
        <v>35</v>
      </c>
      <c r="T84" s="145">
        <f>SUMIFS(Table2[NewPointsAway],Table2[GameDate], "&lt;=" &amp; $A84, Table2[AwayTeam], T$1)+SUMIFS(Table2[NewPointsHome],Table2[GameDate], "&lt;=" &amp; $A84, Table2[HomeTeam], T$1)</f>
        <v>34</v>
      </c>
      <c r="U84" s="145">
        <f>SUMIFS(Table2[NewPointsAway],Table2[GameDate], "&lt;=" &amp; $A84, Table2[AwayTeam], U$1)+SUMIFS(Table2[NewPointsHome],Table2[GameDate], "&lt;=" &amp; $A84, Table2[HomeTeam], U$1)</f>
        <v>30</v>
      </c>
      <c r="V84" s="145">
        <f>SUMIFS(Table2[NewPointsAway],Table2[GameDate], "&lt;=" &amp; $A84, Table2[AwayTeam], V$1)+SUMIFS(Table2[NewPointsHome],Table2[GameDate], "&lt;=" &amp; $A84, Table2[HomeTeam], V$1)</f>
        <v>32</v>
      </c>
      <c r="W84" s="145">
        <f>SUMIFS(Table2[NewPointsAway],Table2[GameDate], "&lt;=" &amp; $A84, Table2[AwayTeam], W$1)+SUMIFS(Table2[NewPointsHome],Table2[GameDate], "&lt;=" &amp; $A84, Table2[HomeTeam], W$1)</f>
        <v>34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31</v>
      </c>
      <c r="Z84" s="145">
        <f>SUMIFS(Table2[NewPointsAway],Table2[GameDate], "&lt;=" &amp; $A84, Table2[AwayTeam], Z$1)+SUMIFS(Table2[NewPointsHome],Table2[GameDate], "&lt;=" &amp; $A84, Table2[HomeTeam], Z$1)</f>
        <v>30</v>
      </c>
      <c r="AA84" s="145">
        <f>SUMIFS(Table2[NewPointsAway],Table2[GameDate], "&lt;=" &amp; $A84, Table2[AwayTeam], AA$1)+SUMIFS(Table2[NewPointsHome],Table2[GameDate], "&lt;=" &amp; $A84, Table2[HomeTeam], AA$1)</f>
        <v>34</v>
      </c>
      <c r="AB84" s="145">
        <f>SUMIFS(Table2[NewPointsAway],Table2[GameDate], "&lt;=" &amp; $A84, Table2[AwayTeam], AB$1)+SUMIFS(Table2[NewPointsHome],Table2[GameDate], "&lt;=" &amp; $A84, Table2[HomeTeam], AB$1)</f>
        <v>32</v>
      </c>
      <c r="AC84" s="145">
        <f>SUMIFS(Table2[NewPointsAway],Table2[GameDate], "&lt;=" &amp; $A84, Table2[AwayTeam], AC$1)+SUMIFS(Table2[NewPointsHome],Table2[GameDate], "&lt;=" &amp; $A84, Table2[HomeTeam], AC$1)</f>
        <v>31</v>
      </c>
      <c r="AD84" s="145">
        <f>SUMIFS(Table2[NewPointsAway],Table2[GameDate], "&lt;=" &amp; $A84, Table2[AwayTeam], AD$1)+SUMIFS(Table2[NewPointsHome],Table2[GameDate], "&lt;=" &amp; $A84, Table2[HomeTeam], AD$1)</f>
        <v>25</v>
      </c>
      <c r="AE84" s="145">
        <f>SUMIFS(Table2[NewPointsAway],Table2[GameDate], "&lt;=" &amp; $A84, Table2[AwayTeam], AE$1)+SUMIFS(Table2[NewPointsHome],Table2[GameDate], "&lt;=" &amp; $A84, Table2[HomeTeam], AE$1)</f>
        <v>36</v>
      </c>
      <c r="AF84" s="145">
        <f>SUMIFS(Table2[NewPointsAway],Table2[GameDate], "&lt;=" &amp; $A84, Table2[AwayTeam], AF$1)+SUMIFS(Table2[NewPointsHome],Table2[GameDate], "&lt;=" &amp; $A84, Table2[HomeTeam], AF$1)</f>
        <v>29</v>
      </c>
      <c r="AG84" s="145">
        <f>SUMIFS(Table2[NewPointsAway],Table2[GameDate], "&lt;=" &amp; $A84, Table2[AwayTeam], AG$1)+SUMIFS(Table2[NewPointsHome],Table2[GameDate], "&lt;=" &amp; $A84, Table2[HomeTeam], AG$1)</f>
        <v>39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37</v>
      </c>
      <c r="C85" s="145">
        <f>SUMIFS(Table2[NewPointsAway],Table2[GameDate], "&lt;=" &amp; $A85, Table2[AwayTeam], C$1)+SUMIFS(Table2[NewPointsHome],Table2[GameDate], "&lt;=" &amp; $A85, Table2[HomeTeam], C$1)</f>
        <v>34</v>
      </c>
      <c r="D85" s="145">
        <f>SUMIFS(Table2[NewPointsAway],Table2[GameDate], "&lt;=" &amp; $A85, Table2[AwayTeam], D$1)+SUMIFS(Table2[NewPointsHome],Table2[GameDate], "&lt;=" &amp; $A85, Table2[HomeTeam], D$1)</f>
        <v>26</v>
      </c>
      <c r="E85" s="145">
        <f>SUMIFS(Table2[NewPointsAway],Table2[GameDate], "&lt;=" &amp; $A85, Table2[AwayTeam], E$1)+SUMIFS(Table2[NewPointsHome],Table2[GameDate], "&lt;=" &amp; $A85, Table2[HomeTeam], E$1)</f>
        <v>36</v>
      </c>
      <c r="F85" s="145">
        <f>SUMIFS(Table2[NewPointsAway],Table2[GameDate], "&lt;=" &amp; $A85, Table2[AwayTeam], F$1)+SUMIFS(Table2[NewPointsHome],Table2[GameDate], "&lt;=" &amp; $A85, Table2[HomeTeam], F$1)</f>
        <v>32</v>
      </c>
      <c r="G85" s="145">
        <f>SUMIFS(Table2[NewPointsAway],Table2[GameDate], "&lt;=" &amp; $A85, Table2[AwayTeam], G$1)+SUMIFS(Table2[NewPointsHome],Table2[GameDate], "&lt;=" &amp; $A85, Table2[HomeTeam], G$1)</f>
        <v>28</v>
      </c>
      <c r="H85" s="145">
        <f>SUMIFS(Table2[NewPointsAway],Table2[GameDate], "&lt;=" &amp; $A85, Table2[AwayTeam], H$1)+SUMIFS(Table2[NewPointsHome],Table2[GameDate], "&lt;=" &amp; $A85, Table2[HomeTeam], H$1)</f>
        <v>30</v>
      </c>
      <c r="I85" s="145">
        <f>SUMIFS(Table2[NewPointsAway],Table2[GameDate], "&lt;=" &amp; $A85, Table2[AwayTeam], I$1)+SUMIFS(Table2[NewPointsHome],Table2[GameDate], "&lt;=" &amp; $A85, Table2[HomeTeam], I$1)</f>
        <v>48</v>
      </c>
      <c r="J85" s="145">
        <f>SUMIFS(Table2[NewPointsAway],Table2[GameDate], "&lt;=" &amp; $A85, Table2[AwayTeam], J$1)+SUMIFS(Table2[NewPointsHome],Table2[GameDate], "&lt;=" &amp; $A85, Table2[HomeTeam], J$1)</f>
        <v>45</v>
      </c>
      <c r="K85" s="145">
        <f>SUMIFS(Table2[NewPointsAway],Table2[GameDate], "&lt;=" &amp; $A85, Table2[AwayTeam], K$1)+SUMIFS(Table2[NewPointsHome],Table2[GameDate], "&lt;=" &amp; $A85, Table2[HomeTeam], K$1)</f>
        <v>35</v>
      </c>
      <c r="L85" s="145">
        <f>SUMIFS(Table2[NewPointsAway],Table2[GameDate], "&lt;=" &amp; $A85, Table2[AwayTeam], L$1)+SUMIFS(Table2[NewPointsHome],Table2[GameDate], "&lt;=" &amp; $A85, Table2[HomeTeam], L$1)</f>
        <v>31</v>
      </c>
      <c r="M85" s="145">
        <f>SUMIFS(Table2[NewPointsAway],Table2[GameDate], "&lt;=" &amp; $A85, Table2[AwayTeam], M$1)+SUMIFS(Table2[NewPointsHome],Table2[GameDate], "&lt;=" &amp; $A85, Table2[HomeTeam], M$1)</f>
        <v>30</v>
      </c>
      <c r="N85" s="145">
        <f>SUMIFS(Table2[NewPointsAway],Table2[GameDate], "&lt;=" &amp; $A85, Table2[AwayTeam], N$1)+SUMIFS(Table2[NewPointsHome],Table2[GameDate], "&lt;=" &amp; $A85, Table2[HomeTeam], N$1)</f>
        <v>35</v>
      </c>
      <c r="O85" s="145">
        <f>SUMIFS(Table2[NewPointsAway],Table2[GameDate], "&lt;=" &amp; $A85, Table2[AwayTeam], O$1)+SUMIFS(Table2[NewPointsHome],Table2[GameDate], "&lt;=" &amp; $A85, Table2[HomeTeam], O$1)</f>
        <v>37</v>
      </c>
      <c r="P85" s="145">
        <f>SUMIFS(Table2[NewPointsAway],Table2[GameDate], "&lt;=" &amp; $A85, Table2[AwayTeam], P$1)+SUMIFS(Table2[NewPointsHome],Table2[GameDate], "&lt;=" &amp; $A85, Table2[HomeTeam], P$1)</f>
        <v>33</v>
      </c>
      <c r="Q85" s="145">
        <f>SUMIFS(Table2[NewPointsAway],Table2[GameDate], "&lt;=" &amp; $A85, Table2[AwayTeam], Q$1)+SUMIFS(Table2[NewPointsHome],Table2[GameDate], "&lt;=" &amp; $A85, Table2[HomeTeam], Q$1)</f>
        <v>33</v>
      </c>
      <c r="R85" s="145">
        <f>SUMIFS(Table2[NewPointsAway],Table2[GameDate], "&lt;=" &amp; $A85, Table2[AwayTeam], R$1)+SUMIFS(Table2[NewPointsHome],Table2[GameDate], "&lt;=" &amp; $A85, Table2[HomeTeam], R$1)</f>
        <v>24</v>
      </c>
      <c r="S85" s="145">
        <f>SUMIFS(Table2[NewPointsAway],Table2[GameDate], "&lt;=" &amp; $A85, Table2[AwayTeam], S$1)+SUMIFS(Table2[NewPointsHome],Table2[GameDate], "&lt;=" &amp; $A85, Table2[HomeTeam], S$1)</f>
        <v>35</v>
      </c>
      <c r="T85" s="145">
        <f>SUMIFS(Table2[NewPointsAway],Table2[GameDate], "&lt;=" &amp; $A85, Table2[AwayTeam], T$1)+SUMIFS(Table2[NewPointsHome],Table2[GameDate], "&lt;=" &amp; $A85, Table2[HomeTeam], T$1)</f>
        <v>34</v>
      </c>
      <c r="U85" s="145">
        <f>SUMIFS(Table2[NewPointsAway],Table2[GameDate], "&lt;=" &amp; $A85, Table2[AwayTeam], U$1)+SUMIFS(Table2[NewPointsHome],Table2[GameDate], "&lt;=" &amp; $A85, Table2[HomeTeam], U$1)</f>
        <v>30</v>
      </c>
      <c r="V85" s="145">
        <f>SUMIFS(Table2[NewPointsAway],Table2[GameDate], "&lt;=" &amp; $A85, Table2[AwayTeam], V$1)+SUMIFS(Table2[NewPointsHome],Table2[GameDate], "&lt;=" &amp; $A85, Table2[HomeTeam], V$1)</f>
        <v>32</v>
      </c>
      <c r="W85" s="145">
        <f>SUMIFS(Table2[NewPointsAway],Table2[GameDate], "&lt;=" &amp; $A85, Table2[AwayTeam], W$1)+SUMIFS(Table2[NewPointsHome],Table2[GameDate], "&lt;=" &amp; $A85, Table2[HomeTeam], W$1)</f>
        <v>34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31</v>
      </c>
      <c r="Z85" s="145">
        <f>SUMIFS(Table2[NewPointsAway],Table2[GameDate], "&lt;=" &amp; $A85, Table2[AwayTeam], Z$1)+SUMIFS(Table2[NewPointsHome],Table2[GameDate], "&lt;=" &amp; $A85, Table2[HomeTeam], Z$1)</f>
        <v>30</v>
      </c>
      <c r="AA85" s="145">
        <f>SUMIFS(Table2[NewPointsAway],Table2[GameDate], "&lt;=" &amp; $A85, Table2[AwayTeam], AA$1)+SUMIFS(Table2[NewPointsHome],Table2[GameDate], "&lt;=" &amp; $A85, Table2[HomeTeam], AA$1)</f>
        <v>34</v>
      </c>
      <c r="AB85" s="145">
        <f>SUMIFS(Table2[NewPointsAway],Table2[GameDate], "&lt;=" &amp; $A85, Table2[AwayTeam], AB$1)+SUMIFS(Table2[NewPointsHome],Table2[GameDate], "&lt;=" &amp; $A85, Table2[HomeTeam], AB$1)</f>
        <v>32</v>
      </c>
      <c r="AC85" s="145">
        <f>SUMIFS(Table2[NewPointsAway],Table2[GameDate], "&lt;=" &amp; $A85, Table2[AwayTeam], AC$1)+SUMIFS(Table2[NewPointsHome],Table2[GameDate], "&lt;=" &amp; $A85, Table2[HomeTeam], AC$1)</f>
        <v>31</v>
      </c>
      <c r="AD85" s="145">
        <f>SUMIFS(Table2[NewPointsAway],Table2[GameDate], "&lt;=" &amp; $A85, Table2[AwayTeam], AD$1)+SUMIFS(Table2[NewPointsHome],Table2[GameDate], "&lt;=" &amp; $A85, Table2[HomeTeam], AD$1)</f>
        <v>25</v>
      </c>
      <c r="AE85" s="145">
        <f>SUMIFS(Table2[NewPointsAway],Table2[GameDate], "&lt;=" &amp; $A85, Table2[AwayTeam], AE$1)+SUMIFS(Table2[NewPointsHome],Table2[GameDate], "&lt;=" &amp; $A85, Table2[HomeTeam], AE$1)</f>
        <v>36</v>
      </c>
      <c r="AF85" s="145">
        <f>SUMIFS(Table2[NewPointsAway],Table2[GameDate], "&lt;=" &amp; $A85, Table2[AwayTeam], AF$1)+SUMIFS(Table2[NewPointsHome],Table2[GameDate], "&lt;=" &amp; $A85, Table2[HomeTeam], AF$1)</f>
        <v>29</v>
      </c>
      <c r="AG85" s="145">
        <f>SUMIFS(Table2[NewPointsAway],Table2[GameDate], "&lt;=" &amp; $A85, Table2[AwayTeam], AG$1)+SUMIFS(Table2[NewPointsHome],Table2[GameDate], "&lt;=" &amp; $A85, Table2[HomeTeam], AG$1)</f>
        <v>39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37</v>
      </c>
      <c r="C86" s="145">
        <f>SUMIFS(Table2[NewPointsAway],Table2[GameDate], "&lt;=" &amp; $A86, Table2[AwayTeam], C$1)+SUMIFS(Table2[NewPointsHome],Table2[GameDate], "&lt;=" &amp; $A86, Table2[HomeTeam], C$1)</f>
        <v>34</v>
      </c>
      <c r="D86" s="145">
        <f>SUMIFS(Table2[NewPointsAway],Table2[GameDate], "&lt;=" &amp; $A86, Table2[AwayTeam], D$1)+SUMIFS(Table2[NewPointsHome],Table2[GameDate], "&lt;=" &amp; $A86, Table2[HomeTeam], D$1)</f>
        <v>26</v>
      </c>
      <c r="E86" s="145">
        <f>SUMIFS(Table2[NewPointsAway],Table2[GameDate], "&lt;=" &amp; $A86, Table2[AwayTeam], E$1)+SUMIFS(Table2[NewPointsHome],Table2[GameDate], "&lt;=" &amp; $A86, Table2[HomeTeam], E$1)</f>
        <v>36</v>
      </c>
      <c r="F86" s="145">
        <f>SUMIFS(Table2[NewPointsAway],Table2[GameDate], "&lt;=" &amp; $A86, Table2[AwayTeam], F$1)+SUMIFS(Table2[NewPointsHome],Table2[GameDate], "&lt;=" &amp; $A86, Table2[HomeTeam], F$1)</f>
        <v>32</v>
      </c>
      <c r="G86" s="145">
        <f>SUMIFS(Table2[NewPointsAway],Table2[GameDate], "&lt;=" &amp; $A86, Table2[AwayTeam], G$1)+SUMIFS(Table2[NewPointsHome],Table2[GameDate], "&lt;=" &amp; $A86, Table2[HomeTeam], G$1)</f>
        <v>28</v>
      </c>
      <c r="H86" s="145">
        <f>SUMIFS(Table2[NewPointsAway],Table2[GameDate], "&lt;=" &amp; $A86, Table2[AwayTeam], H$1)+SUMIFS(Table2[NewPointsHome],Table2[GameDate], "&lt;=" &amp; $A86, Table2[HomeTeam], H$1)</f>
        <v>30</v>
      </c>
      <c r="I86" s="145">
        <f>SUMIFS(Table2[NewPointsAway],Table2[GameDate], "&lt;=" &amp; $A86, Table2[AwayTeam], I$1)+SUMIFS(Table2[NewPointsHome],Table2[GameDate], "&lt;=" &amp; $A86, Table2[HomeTeam], I$1)</f>
        <v>48</v>
      </c>
      <c r="J86" s="145">
        <f>SUMIFS(Table2[NewPointsAway],Table2[GameDate], "&lt;=" &amp; $A86, Table2[AwayTeam], J$1)+SUMIFS(Table2[NewPointsHome],Table2[GameDate], "&lt;=" &amp; $A86, Table2[HomeTeam], J$1)</f>
        <v>45</v>
      </c>
      <c r="K86" s="145">
        <f>SUMIFS(Table2[NewPointsAway],Table2[GameDate], "&lt;=" &amp; $A86, Table2[AwayTeam], K$1)+SUMIFS(Table2[NewPointsHome],Table2[GameDate], "&lt;=" &amp; $A86, Table2[HomeTeam], K$1)</f>
        <v>35</v>
      </c>
      <c r="L86" s="145">
        <f>SUMIFS(Table2[NewPointsAway],Table2[GameDate], "&lt;=" &amp; $A86, Table2[AwayTeam], L$1)+SUMIFS(Table2[NewPointsHome],Table2[GameDate], "&lt;=" &amp; $A86, Table2[HomeTeam], L$1)</f>
        <v>31</v>
      </c>
      <c r="M86" s="145">
        <f>SUMIFS(Table2[NewPointsAway],Table2[GameDate], "&lt;=" &amp; $A86, Table2[AwayTeam], M$1)+SUMIFS(Table2[NewPointsHome],Table2[GameDate], "&lt;=" &amp; $A86, Table2[HomeTeam], M$1)</f>
        <v>30</v>
      </c>
      <c r="N86" s="145">
        <f>SUMIFS(Table2[NewPointsAway],Table2[GameDate], "&lt;=" &amp; $A86, Table2[AwayTeam], N$1)+SUMIFS(Table2[NewPointsHome],Table2[GameDate], "&lt;=" &amp; $A86, Table2[HomeTeam], N$1)</f>
        <v>35</v>
      </c>
      <c r="O86" s="145">
        <f>SUMIFS(Table2[NewPointsAway],Table2[GameDate], "&lt;=" &amp; $A86, Table2[AwayTeam], O$1)+SUMIFS(Table2[NewPointsHome],Table2[GameDate], "&lt;=" &amp; $A86, Table2[HomeTeam], O$1)</f>
        <v>37</v>
      </c>
      <c r="P86" s="145">
        <f>SUMIFS(Table2[NewPointsAway],Table2[GameDate], "&lt;=" &amp; $A86, Table2[AwayTeam], P$1)+SUMIFS(Table2[NewPointsHome],Table2[GameDate], "&lt;=" &amp; $A86, Table2[HomeTeam], P$1)</f>
        <v>33</v>
      </c>
      <c r="Q86" s="145">
        <f>SUMIFS(Table2[NewPointsAway],Table2[GameDate], "&lt;=" &amp; $A86, Table2[AwayTeam], Q$1)+SUMIFS(Table2[NewPointsHome],Table2[GameDate], "&lt;=" &amp; $A86, Table2[HomeTeam], Q$1)</f>
        <v>33</v>
      </c>
      <c r="R86" s="145">
        <f>SUMIFS(Table2[NewPointsAway],Table2[GameDate], "&lt;=" &amp; $A86, Table2[AwayTeam], R$1)+SUMIFS(Table2[NewPointsHome],Table2[GameDate], "&lt;=" &amp; $A86, Table2[HomeTeam], R$1)</f>
        <v>24</v>
      </c>
      <c r="S86" s="145">
        <f>SUMIFS(Table2[NewPointsAway],Table2[GameDate], "&lt;=" &amp; $A86, Table2[AwayTeam], S$1)+SUMIFS(Table2[NewPointsHome],Table2[GameDate], "&lt;=" &amp; $A86, Table2[HomeTeam], S$1)</f>
        <v>35</v>
      </c>
      <c r="T86" s="145">
        <f>SUMIFS(Table2[NewPointsAway],Table2[GameDate], "&lt;=" &amp; $A86, Table2[AwayTeam], T$1)+SUMIFS(Table2[NewPointsHome],Table2[GameDate], "&lt;=" &amp; $A86, Table2[HomeTeam], T$1)</f>
        <v>34</v>
      </c>
      <c r="U86" s="145">
        <f>SUMIFS(Table2[NewPointsAway],Table2[GameDate], "&lt;=" &amp; $A86, Table2[AwayTeam], U$1)+SUMIFS(Table2[NewPointsHome],Table2[GameDate], "&lt;=" &amp; $A86, Table2[HomeTeam], U$1)</f>
        <v>30</v>
      </c>
      <c r="V86" s="145">
        <f>SUMIFS(Table2[NewPointsAway],Table2[GameDate], "&lt;=" &amp; $A86, Table2[AwayTeam], V$1)+SUMIFS(Table2[NewPointsHome],Table2[GameDate], "&lt;=" &amp; $A86, Table2[HomeTeam], V$1)</f>
        <v>32</v>
      </c>
      <c r="W86" s="145">
        <f>SUMIFS(Table2[NewPointsAway],Table2[GameDate], "&lt;=" &amp; $A86, Table2[AwayTeam], W$1)+SUMIFS(Table2[NewPointsHome],Table2[GameDate], "&lt;=" &amp; $A86, Table2[HomeTeam], W$1)</f>
        <v>34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31</v>
      </c>
      <c r="Z86" s="145">
        <f>SUMIFS(Table2[NewPointsAway],Table2[GameDate], "&lt;=" &amp; $A86, Table2[AwayTeam], Z$1)+SUMIFS(Table2[NewPointsHome],Table2[GameDate], "&lt;=" &amp; $A86, Table2[HomeTeam], Z$1)</f>
        <v>30</v>
      </c>
      <c r="AA86" s="145">
        <f>SUMIFS(Table2[NewPointsAway],Table2[GameDate], "&lt;=" &amp; $A86, Table2[AwayTeam], AA$1)+SUMIFS(Table2[NewPointsHome],Table2[GameDate], "&lt;=" &amp; $A86, Table2[HomeTeam], AA$1)</f>
        <v>34</v>
      </c>
      <c r="AB86" s="145">
        <f>SUMIFS(Table2[NewPointsAway],Table2[GameDate], "&lt;=" &amp; $A86, Table2[AwayTeam], AB$1)+SUMIFS(Table2[NewPointsHome],Table2[GameDate], "&lt;=" &amp; $A86, Table2[HomeTeam], AB$1)</f>
        <v>32</v>
      </c>
      <c r="AC86" s="145">
        <f>SUMIFS(Table2[NewPointsAway],Table2[GameDate], "&lt;=" &amp; $A86, Table2[AwayTeam], AC$1)+SUMIFS(Table2[NewPointsHome],Table2[GameDate], "&lt;=" &amp; $A86, Table2[HomeTeam], AC$1)</f>
        <v>31</v>
      </c>
      <c r="AD86" s="145">
        <f>SUMIFS(Table2[NewPointsAway],Table2[GameDate], "&lt;=" &amp; $A86, Table2[AwayTeam], AD$1)+SUMIFS(Table2[NewPointsHome],Table2[GameDate], "&lt;=" &amp; $A86, Table2[HomeTeam], AD$1)</f>
        <v>25</v>
      </c>
      <c r="AE86" s="145">
        <f>SUMIFS(Table2[NewPointsAway],Table2[GameDate], "&lt;=" &amp; $A86, Table2[AwayTeam], AE$1)+SUMIFS(Table2[NewPointsHome],Table2[GameDate], "&lt;=" &amp; $A86, Table2[HomeTeam], AE$1)</f>
        <v>36</v>
      </c>
      <c r="AF86" s="145">
        <f>SUMIFS(Table2[NewPointsAway],Table2[GameDate], "&lt;=" &amp; $A86, Table2[AwayTeam], AF$1)+SUMIFS(Table2[NewPointsHome],Table2[GameDate], "&lt;=" &amp; $A86, Table2[HomeTeam], AF$1)</f>
        <v>29</v>
      </c>
      <c r="AG86" s="145">
        <f>SUMIFS(Table2[NewPointsAway],Table2[GameDate], "&lt;=" &amp; $A86, Table2[AwayTeam], AG$1)+SUMIFS(Table2[NewPointsHome],Table2[GameDate], "&lt;=" &amp; $A86, Table2[HomeTeam], AG$1)</f>
        <v>39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37</v>
      </c>
      <c r="C87" s="145">
        <f>SUMIFS(Table2[NewPointsAway],Table2[GameDate], "&lt;=" &amp; $A87, Table2[AwayTeam], C$1)+SUMIFS(Table2[NewPointsHome],Table2[GameDate], "&lt;=" &amp; $A87, Table2[HomeTeam], C$1)</f>
        <v>34</v>
      </c>
      <c r="D87" s="145">
        <f>SUMIFS(Table2[NewPointsAway],Table2[GameDate], "&lt;=" &amp; $A87, Table2[AwayTeam], D$1)+SUMIFS(Table2[NewPointsHome],Table2[GameDate], "&lt;=" &amp; $A87, Table2[HomeTeam], D$1)</f>
        <v>26</v>
      </c>
      <c r="E87" s="145">
        <f>SUMIFS(Table2[NewPointsAway],Table2[GameDate], "&lt;=" &amp; $A87, Table2[AwayTeam], E$1)+SUMIFS(Table2[NewPointsHome],Table2[GameDate], "&lt;=" &amp; $A87, Table2[HomeTeam], E$1)</f>
        <v>36</v>
      </c>
      <c r="F87" s="145">
        <f>SUMIFS(Table2[NewPointsAway],Table2[GameDate], "&lt;=" &amp; $A87, Table2[AwayTeam], F$1)+SUMIFS(Table2[NewPointsHome],Table2[GameDate], "&lt;=" &amp; $A87, Table2[HomeTeam], F$1)</f>
        <v>32</v>
      </c>
      <c r="G87" s="145">
        <f>SUMIFS(Table2[NewPointsAway],Table2[GameDate], "&lt;=" &amp; $A87, Table2[AwayTeam], G$1)+SUMIFS(Table2[NewPointsHome],Table2[GameDate], "&lt;=" &amp; $A87, Table2[HomeTeam], G$1)</f>
        <v>28</v>
      </c>
      <c r="H87" s="145">
        <f>SUMIFS(Table2[NewPointsAway],Table2[GameDate], "&lt;=" &amp; $A87, Table2[AwayTeam], H$1)+SUMIFS(Table2[NewPointsHome],Table2[GameDate], "&lt;=" &amp; $A87, Table2[HomeTeam], H$1)</f>
        <v>30</v>
      </c>
      <c r="I87" s="145">
        <f>SUMIFS(Table2[NewPointsAway],Table2[GameDate], "&lt;=" &amp; $A87, Table2[AwayTeam], I$1)+SUMIFS(Table2[NewPointsHome],Table2[GameDate], "&lt;=" &amp; $A87, Table2[HomeTeam], I$1)</f>
        <v>48</v>
      </c>
      <c r="J87" s="145">
        <f>SUMIFS(Table2[NewPointsAway],Table2[GameDate], "&lt;=" &amp; $A87, Table2[AwayTeam], J$1)+SUMIFS(Table2[NewPointsHome],Table2[GameDate], "&lt;=" &amp; $A87, Table2[HomeTeam], J$1)</f>
        <v>45</v>
      </c>
      <c r="K87" s="145">
        <f>SUMIFS(Table2[NewPointsAway],Table2[GameDate], "&lt;=" &amp; $A87, Table2[AwayTeam], K$1)+SUMIFS(Table2[NewPointsHome],Table2[GameDate], "&lt;=" &amp; $A87, Table2[HomeTeam], K$1)</f>
        <v>35</v>
      </c>
      <c r="L87" s="145">
        <f>SUMIFS(Table2[NewPointsAway],Table2[GameDate], "&lt;=" &amp; $A87, Table2[AwayTeam], L$1)+SUMIFS(Table2[NewPointsHome],Table2[GameDate], "&lt;=" &amp; $A87, Table2[HomeTeam], L$1)</f>
        <v>31</v>
      </c>
      <c r="M87" s="145">
        <f>SUMIFS(Table2[NewPointsAway],Table2[GameDate], "&lt;=" &amp; $A87, Table2[AwayTeam], M$1)+SUMIFS(Table2[NewPointsHome],Table2[GameDate], "&lt;=" &amp; $A87, Table2[HomeTeam], M$1)</f>
        <v>30</v>
      </c>
      <c r="N87" s="145">
        <f>SUMIFS(Table2[NewPointsAway],Table2[GameDate], "&lt;=" &amp; $A87, Table2[AwayTeam], N$1)+SUMIFS(Table2[NewPointsHome],Table2[GameDate], "&lt;=" &amp; $A87, Table2[HomeTeam], N$1)</f>
        <v>35</v>
      </c>
      <c r="O87" s="145">
        <f>SUMIFS(Table2[NewPointsAway],Table2[GameDate], "&lt;=" &amp; $A87, Table2[AwayTeam], O$1)+SUMIFS(Table2[NewPointsHome],Table2[GameDate], "&lt;=" &amp; $A87, Table2[HomeTeam], O$1)</f>
        <v>37</v>
      </c>
      <c r="P87" s="145">
        <f>SUMIFS(Table2[NewPointsAway],Table2[GameDate], "&lt;=" &amp; $A87, Table2[AwayTeam], P$1)+SUMIFS(Table2[NewPointsHome],Table2[GameDate], "&lt;=" &amp; $A87, Table2[HomeTeam], P$1)</f>
        <v>33</v>
      </c>
      <c r="Q87" s="145">
        <f>SUMIFS(Table2[NewPointsAway],Table2[GameDate], "&lt;=" &amp; $A87, Table2[AwayTeam], Q$1)+SUMIFS(Table2[NewPointsHome],Table2[GameDate], "&lt;=" &amp; $A87, Table2[HomeTeam], Q$1)</f>
        <v>33</v>
      </c>
      <c r="R87" s="145">
        <f>SUMIFS(Table2[NewPointsAway],Table2[GameDate], "&lt;=" &amp; $A87, Table2[AwayTeam], R$1)+SUMIFS(Table2[NewPointsHome],Table2[GameDate], "&lt;=" &amp; $A87, Table2[HomeTeam], R$1)</f>
        <v>24</v>
      </c>
      <c r="S87" s="145">
        <f>SUMIFS(Table2[NewPointsAway],Table2[GameDate], "&lt;=" &amp; $A87, Table2[AwayTeam], S$1)+SUMIFS(Table2[NewPointsHome],Table2[GameDate], "&lt;=" &amp; $A87, Table2[HomeTeam], S$1)</f>
        <v>35</v>
      </c>
      <c r="T87" s="145">
        <f>SUMIFS(Table2[NewPointsAway],Table2[GameDate], "&lt;=" &amp; $A87, Table2[AwayTeam], T$1)+SUMIFS(Table2[NewPointsHome],Table2[GameDate], "&lt;=" &amp; $A87, Table2[HomeTeam], T$1)</f>
        <v>34</v>
      </c>
      <c r="U87" s="145">
        <f>SUMIFS(Table2[NewPointsAway],Table2[GameDate], "&lt;=" &amp; $A87, Table2[AwayTeam], U$1)+SUMIFS(Table2[NewPointsHome],Table2[GameDate], "&lt;=" &amp; $A87, Table2[HomeTeam], U$1)</f>
        <v>30</v>
      </c>
      <c r="V87" s="145">
        <f>SUMIFS(Table2[NewPointsAway],Table2[GameDate], "&lt;=" &amp; $A87, Table2[AwayTeam], V$1)+SUMIFS(Table2[NewPointsHome],Table2[GameDate], "&lt;=" &amp; $A87, Table2[HomeTeam], V$1)</f>
        <v>32</v>
      </c>
      <c r="W87" s="145">
        <f>SUMIFS(Table2[NewPointsAway],Table2[GameDate], "&lt;=" &amp; $A87, Table2[AwayTeam], W$1)+SUMIFS(Table2[NewPointsHome],Table2[GameDate], "&lt;=" &amp; $A87, Table2[HomeTeam], W$1)</f>
        <v>34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31</v>
      </c>
      <c r="Z87" s="145">
        <f>SUMIFS(Table2[NewPointsAway],Table2[GameDate], "&lt;=" &amp; $A87, Table2[AwayTeam], Z$1)+SUMIFS(Table2[NewPointsHome],Table2[GameDate], "&lt;=" &amp; $A87, Table2[HomeTeam], Z$1)</f>
        <v>30</v>
      </c>
      <c r="AA87" s="145">
        <f>SUMIFS(Table2[NewPointsAway],Table2[GameDate], "&lt;=" &amp; $A87, Table2[AwayTeam], AA$1)+SUMIFS(Table2[NewPointsHome],Table2[GameDate], "&lt;=" &amp; $A87, Table2[HomeTeam], AA$1)</f>
        <v>34</v>
      </c>
      <c r="AB87" s="145">
        <f>SUMIFS(Table2[NewPointsAway],Table2[GameDate], "&lt;=" &amp; $A87, Table2[AwayTeam], AB$1)+SUMIFS(Table2[NewPointsHome],Table2[GameDate], "&lt;=" &amp; $A87, Table2[HomeTeam], AB$1)</f>
        <v>32</v>
      </c>
      <c r="AC87" s="145">
        <f>SUMIFS(Table2[NewPointsAway],Table2[GameDate], "&lt;=" &amp; $A87, Table2[AwayTeam], AC$1)+SUMIFS(Table2[NewPointsHome],Table2[GameDate], "&lt;=" &amp; $A87, Table2[HomeTeam], AC$1)</f>
        <v>31</v>
      </c>
      <c r="AD87" s="145">
        <f>SUMIFS(Table2[NewPointsAway],Table2[GameDate], "&lt;=" &amp; $A87, Table2[AwayTeam], AD$1)+SUMIFS(Table2[NewPointsHome],Table2[GameDate], "&lt;=" &amp; $A87, Table2[HomeTeam], AD$1)</f>
        <v>25</v>
      </c>
      <c r="AE87" s="145">
        <f>SUMIFS(Table2[NewPointsAway],Table2[GameDate], "&lt;=" &amp; $A87, Table2[AwayTeam], AE$1)+SUMIFS(Table2[NewPointsHome],Table2[GameDate], "&lt;=" &amp; $A87, Table2[HomeTeam], AE$1)</f>
        <v>36</v>
      </c>
      <c r="AF87" s="145">
        <f>SUMIFS(Table2[NewPointsAway],Table2[GameDate], "&lt;=" &amp; $A87, Table2[AwayTeam], AF$1)+SUMIFS(Table2[NewPointsHome],Table2[GameDate], "&lt;=" &amp; $A87, Table2[HomeTeam], AF$1)</f>
        <v>29</v>
      </c>
      <c r="AG87" s="145">
        <f>SUMIFS(Table2[NewPointsAway],Table2[GameDate], "&lt;=" &amp; $A87, Table2[AwayTeam], AG$1)+SUMIFS(Table2[NewPointsHome],Table2[GameDate], "&lt;=" &amp; $A87, Table2[HomeTeam], AG$1)</f>
        <v>39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37</v>
      </c>
      <c r="C88" s="145">
        <f>SUMIFS(Table2[NewPointsAway],Table2[GameDate], "&lt;=" &amp; $A88, Table2[AwayTeam], C$1)+SUMIFS(Table2[NewPointsHome],Table2[GameDate], "&lt;=" &amp; $A88, Table2[HomeTeam], C$1)</f>
        <v>34</v>
      </c>
      <c r="D88" s="145">
        <f>SUMIFS(Table2[NewPointsAway],Table2[GameDate], "&lt;=" &amp; $A88, Table2[AwayTeam], D$1)+SUMIFS(Table2[NewPointsHome],Table2[GameDate], "&lt;=" &amp; $A88, Table2[HomeTeam], D$1)</f>
        <v>26</v>
      </c>
      <c r="E88" s="145">
        <f>SUMIFS(Table2[NewPointsAway],Table2[GameDate], "&lt;=" &amp; $A88, Table2[AwayTeam], E$1)+SUMIFS(Table2[NewPointsHome],Table2[GameDate], "&lt;=" &amp; $A88, Table2[HomeTeam], E$1)</f>
        <v>36</v>
      </c>
      <c r="F88" s="145">
        <f>SUMIFS(Table2[NewPointsAway],Table2[GameDate], "&lt;=" &amp; $A88, Table2[AwayTeam], F$1)+SUMIFS(Table2[NewPointsHome],Table2[GameDate], "&lt;=" &amp; $A88, Table2[HomeTeam], F$1)</f>
        <v>32</v>
      </c>
      <c r="G88" s="145">
        <f>SUMIFS(Table2[NewPointsAway],Table2[GameDate], "&lt;=" &amp; $A88, Table2[AwayTeam], G$1)+SUMIFS(Table2[NewPointsHome],Table2[GameDate], "&lt;=" &amp; $A88, Table2[HomeTeam], G$1)</f>
        <v>28</v>
      </c>
      <c r="H88" s="145">
        <f>SUMIFS(Table2[NewPointsAway],Table2[GameDate], "&lt;=" &amp; $A88, Table2[AwayTeam], H$1)+SUMIFS(Table2[NewPointsHome],Table2[GameDate], "&lt;=" &amp; $A88, Table2[HomeTeam], H$1)</f>
        <v>30</v>
      </c>
      <c r="I88" s="145">
        <f>SUMIFS(Table2[NewPointsAway],Table2[GameDate], "&lt;=" &amp; $A88, Table2[AwayTeam], I$1)+SUMIFS(Table2[NewPointsHome],Table2[GameDate], "&lt;=" &amp; $A88, Table2[HomeTeam], I$1)</f>
        <v>48</v>
      </c>
      <c r="J88" s="145">
        <f>SUMIFS(Table2[NewPointsAway],Table2[GameDate], "&lt;=" &amp; $A88, Table2[AwayTeam], J$1)+SUMIFS(Table2[NewPointsHome],Table2[GameDate], "&lt;=" &amp; $A88, Table2[HomeTeam], J$1)</f>
        <v>45</v>
      </c>
      <c r="K88" s="145">
        <f>SUMIFS(Table2[NewPointsAway],Table2[GameDate], "&lt;=" &amp; $A88, Table2[AwayTeam], K$1)+SUMIFS(Table2[NewPointsHome],Table2[GameDate], "&lt;=" &amp; $A88, Table2[HomeTeam], K$1)</f>
        <v>35</v>
      </c>
      <c r="L88" s="145">
        <f>SUMIFS(Table2[NewPointsAway],Table2[GameDate], "&lt;=" &amp; $A88, Table2[AwayTeam], L$1)+SUMIFS(Table2[NewPointsHome],Table2[GameDate], "&lt;=" &amp; $A88, Table2[HomeTeam], L$1)</f>
        <v>31</v>
      </c>
      <c r="M88" s="145">
        <f>SUMIFS(Table2[NewPointsAway],Table2[GameDate], "&lt;=" &amp; $A88, Table2[AwayTeam], M$1)+SUMIFS(Table2[NewPointsHome],Table2[GameDate], "&lt;=" &amp; $A88, Table2[HomeTeam], M$1)</f>
        <v>30</v>
      </c>
      <c r="N88" s="145">
        <f>SUMIFS(Table2[NewPointsAway],Table2[GameDate], "&lt;=" &amp; $A88, Table2[AwayTeam], N$1)+SUMIFS(Table2[NewPointsHome],Table2[GameDate], "&lt;=" &amp; $A88, Table2[HomeTeam], N$1)</f>
        <v>35</v>
      </c>
      <c r="O88" s="145">
        <f>SUMIFS(Table2[NewPointsAway],Table2[GameDate], "&lt;=" &amp; $A88, Table2[AwayTeam], O$1)+SUMIFS(Table2[NewPointsHome],Table2[GameDate], "&lt;=" &amp; $A88, Table2[HomeTeam], O$1)</f>
        <v>37</v>
      </c>
      <c r="P88" s="145">
        <f>SUMIFS(Table2[NewPointsAway],Table2[GameDate], "&lt;=" &amp; $A88, Table2[AwayTeam], P$1)+SUMIFS(Table2[NewPointsHome],Table2[GameDate], "&lt;=" &amp; $A88, Table2[HomeTeam], P$1)</f>
        <v>33</v>
      </c>
      <c r="Q88" s="145">
        <f>SUMIFS(Table2[NewPointsAway],Table2[GameDate], "&lt;=" &amp; $A88, Table2[AwayTeam], Q$1)+SUMIFS(Table2[NewPointsHome],Table2[GameDate], "&lt;=" &amp; $A88, Table2[HomeTeam], Q$1)</f>
        <v>33</v>
      </c>
      <c r="R88" s="145">
        <f>SUMIFS(Table2[NewPointsAway],Table2[GameDate], "&lt;=" &amp; $A88, Table2[AwayTeam], R$1)+SUMIFS(Table2[NewPointsHome],Table2[GameDate], "&lt;=" &amp; $A88, Table2[HomeTeam], R$1)</f>
        <v>24</v>
      </c>
      <c r="S88" s="145">
        <f>SUMIFS(Table2[NewPointsAway],Table2[GameDate], "&lt;=" &amp; $A88, Table2[AwayTeam], S$1)+SUMIFS(Table2[NewPointsHome],Table2[GameDate], "&lt;=" &amp; $A88, Table2[HomeTeam], S$1)</f>
        <v>35</v>
      </c>
      <c r="T88" s="145">
        <f>SUMIFS(Table2[NewPointsAway],Table2[GameDate], "&lt;=" &amp; $A88, Table2[AwayTeam], T$1)+SUMIFS(Table2[NewPointsHome],Table2[GameDate], "&lt;=" &amp; $A88, Table2[HomeTeam], T$1)</f>
        <v>34</v>
      </c>
      <c r="U88" s="145">
        <f>SUMIFS(Table2[NewPointsAway],Table2[GameDate], "&lt;=" &amp; $A88, Table2[AwayTeam], U$1)+SUMIFS(Table2[NewPointsHome],Table2[GameDate], "&lt;=" &amp; $A88, Table2[HomeTeam], U$1)</f>
        <v>30</v>
      </c>
      <c r="V88" s="145">
        <f>SUMIFS(Table2[NewPointsAway],Table2[GameDate], "&lt;=" &amp; $A88, Table2[AwayTeam], V$1)+SUMIFS(Table2[NewPointsHome],Table2[GameDate], "&lt;=" &amp; $A88, Table2[HomeTeam], V$1)</f>
        <v>32</v>
      </c>
      <c r="W88" s="145">
        <f>SUMIFS(Table2[NewPointsAway],Table2[GameDate], "&lt;=" &amp; $A88, Table2[AwayTeam], W$1)+SUMIFS(Table2[NewPointsHome],Table2[GameDate], "&lt;=" &amp; $A88, Table2[HomeTeam], W$1)</f>
        <v>34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31</v>
      </c>
      <c r="Z88" s="145">
        <f>SUMIFS(Table2[NewPointsAway],Table2[GameDate], "&lt;=" &amp; $A88, Table2[AwayTeam], Z$1)+SUMIFS(Table2[NewPointsHome],Table2[GameDate], "&lt;=" &amp; $A88, Table2[HomeTeam], Z$1)</f>
        <v>30</v>
      </c>
      <c r="AA88" s="145">
        <f>SUMIFS(Table2[NewPointsAway],Table2[GameDate], "&lt;=" &amp; $A88, Table2[AwayTeam], AA$1)+SUMIFS(Table2[NewPointsHome],Table2[GameDate], "&lt;=" &amp; $A88, Table2[HomeTeam], AA$1)</f>
        <v>34</v>
      </c>
      <c r="AB88" s="145">
        <f>SUMIFS(Table2[NewPointsAway],Table2[GameDate], "&lt;=" &amp; $A88, Table2[AwayTeam], AB$1)+SUMIFS(Table2[NewPointsHome],Table2[GameDate], "&lt;=" &amp; $A88, Table2[HomeTeam], AB$1)</f>
        <v>32</v>
      </c>
      <c r="AC88" s="145">
        <f>SUMIFS(Table2[NewPointsAway],Table2[GameDate], "&lt;=" &amp; $A88, Table2[AwayTeam], AC$1)+SUMIFS(Table2[NewPointsHome],Table2[GameDate], "&lt;=" &amp; $A88, Table2[HomeTeam], AC$1)</f>
        <v>31</v>
      </c>
      <c r="AD88" s="145">
        <f>SUMIFS(Table2[NewPointsAway],Table2[GameDate], "&lt;=" &amp; $A88, Table2[AwayTeam], AD$1)+SUMIFS(Table2[NewPointsHome],Table2[GameDate], "&lt;=" &amp; $A88, Table2[HomeTeam], AD$1)</f>
        <v>25</v>
      </c>
      <c r="AE88" s="145">
        <f>SUMIFS(Table2[NewPointsAway],Table2[GameDate], "&lt;=" &amp; $A88, Table2[AwayTeam], AE$1)+SUMIFS(Table2[NewPointsHome],Table2[GameDate], "&lt;=" &amp; $A88, Table2[HomeTeam], AE$1)</f>
        <v>36</v>
      </c>
      <c r="AF88" s="145">
        <f>SUMIFS(Table2[NewPointsAway],Table2[GameDate], "&lt;=" &amp; $A88, Table2[AwayTeam], AF$1)+SUMIFS(Table2[NewPointsHome],Table2[GameDate], "&lt;=" &amp; $A88, Table2[HomeTeam], AF$1)</f>
        <v>29</v>
      </c>
      <c r="AG88" s="145">
        <f>SUMIFS(Table2[NewPointsAway],Table2[GameDate], "&lt;=" &amp; $A88, Table2[AwayTeam], AG$1)+SUMIFS(Table2[NewPointsHome],Table2[GameDate], "&lt;=" &amp; $A88, Table2[HomeTeam], AG$1)</f>
        <v>39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37</v>
      </c>
      <c r="C89" s="145">
        <f>SUMIFS(Table2[NewPointsAway],Table2[GameDate], "&lt;=" &amp; $A89, Table2[AwayTeam], C$1)+SUMIFS(Table2[NewPointsHome],Table2[GameDate], "&lt;=" &amp; $A89, Table2[HomeTeam], C$1)</f>
        <v>34</v>
      </c>
      <c r="D89" s="145">
        <f>SUMIFS(Table2[NewPointsAway],Table2[GameDate], "&lt;=" &amp; $A89, Table2[AwayTeam], D$1)+SUMIFS(Table2[NewPointsHome],Table2[GameDate], "&lt;=" &amp; $A89, Table2[HomeTeam], D$1)</f>
        <v>26</v>
      </c>
      <c r="E89" s="145">
        <f>SUMIFS(Table2[NewPointsAway],Table2[GameDate], "&lt;=" &amp; $A89, Table2[AwayTeam], E$1)+SUMIFS(Table2[NewPointsHome],Table2[GameDate], "&lt;=" &amp; $A89, Table2[HomeTeam], E$1)</f>
        <v>36</v>
      </c>
      <c r="F89" s="145">
        <f>SUMIFS(Table2[NewPointsAway],Table2[GameDate], "&lt;=" &amp; $A89, Table2[AwayTeam], F$1)+SUMIFS(Table2[NewPointsHome],Table2[GameDate], "&lt;=" &amp; $A89, Table2[HomeTeam], F$1)</f>
        <v>32</v>
      </c>
      <c r="G89" s="145">
        <f>SUMIFS(Table2[NewPointsAway],Table2[GameDate], "&lt;=" &amp; $A89, Table2[AwayTeam], G$1)+SUMIFS(Table2[NewPointsHome],Table2[GameDate], "&lt;=" &amp; $A89, Table2[HomeTeam], G$1)</f>
        <v>28</v>
      </c>
      <c r="H89" s="145">
        <f>SUMIFS(Table2[NewPointsAway],Table2[GameDate], "&lt;=" &amp; $A89, Table2[AwayTeam], H$1)+SUMIFS(Table2[NewPointsHome],Table2[GameDate], "&lt;=" &amp; $A89, Table2[HomeTeam], H$1)</f>
        <v>30</v>
      </c>
      <c r="I89" s="145">
        <f>SUMIFS(Table2[NewPointsAway],Table2[GameDate], "&lt;=" &amp; $A89, Table2[AwayTeam], I$1)+SUMIFS(Table2[NewPointsHome],Table2[GameDate], "&lt;=" &amp; $A89, Table2[HomeTeam], I$1)</f>
        <v>48</v>
      </c>
      <c r="J89" s="145">
        <f>SUMIFS(Table2[NewPointsAway],Table2[GameDate], "&lt;=" &amp; $A89, Table2[AwayTeam], J$1)+SUMIFS(Table2[NewPointsHome],Table2[GameDate], "&lt;=" &amp; $A89, Table2[HomeTeam], J$1)</f>
        <v>45</v>
      </c>
      <c r="K89" s="145">
        <f>SUMIFS(Table2[NewPointsAway],Table2[GameDate], "&lt;=" &amp; $A89, Table2[AwayTeam], K$1)+SUMIFS(Table2[NewPointsHome],Table2[GameDate], "&lt;=" &amp; $A89, Table2[HomeTeam], K$1)</f>
        <v>35</v>
      </c>
      <c r="L89" s="145">
        <f>SUMIFS(Table2[NewPointsAway],Table2[GameDate], "&lt;=" &amp; $A89, Table2[AwayTeam], L$1)+SUMIFS(Table2[NewPointsHome],Table2[GameDate], "&lt;=" &amp; $A89, Table2[HomeTeam], L$1)</f>
        <v>31</v>
      </c>
      <c r="M89" s="145">
        <f>SUMIFS(Table2[NewPointsAway],Table2[GameDate], "&lt;=" &amp; $A89, Table2[AwayTeam], M$1)+SUMIFS(Table2[NewPointsHome],Table2[GameDate], "&lt;=" &amp; $A89, Table2[HomeTeam], M$1)</f>
        <v>30</v>
      </c>
      <c r="N89" s="145">
        <f>SUMIFS(Table2[NewPointsAway],Table2[GameDate], "&lt;=" &amp; $A89, Table2[AwayTeam], N$1)+SUMIFS(Table2[NewPointsHome],Table2[GameDate], "&lt;=" &amp; $A89, Table2[HomeTeam], N$1)</f>
        <v>35</v>
      </c>
      <c r="O89" s="145">
        <f>SUMIFS(Table2[NewPointsAway],Table2[GameDate], "&lt;=" &amp; $A89, Table2[AwayTeam], O$1)+SUMIFS(Table2[NewPointsHome],Table2[GameDate], "&lt;=" &amp; $A89, Table2[HomeTeam], O$1)</f>
        <v>37</v>
      </c>
      <c r="P89" s="145">
        <f>SUMIFS(Table2[NewPointsAway],Table2[GameDate], "&lt;=" &amp; $A89, Table2[AwayTeam], P$1)+SUMIFS(Table2[NewPointsHome],Table2[GameDate], "&lt;=" &amp; $A89, Table2[HomeTeam], P$1)</f>
        <v>33</v>
      </c>
      <c r="Q89" s="145">
        <f>SUMIFS(Table2[NewPointsAway],Table2[GameDate], "&lt;=" &amp; $A89, Table2[AwayTeam], Q$1)+SUMIFS(Table2[NewPointsHome],Table2[GameDate], "&lt;=" &amp; $A89, Table2[HomeTeam], Q$1)</f>
        <v>33</v>
      </c>
      <c r="R89" s="145">
        <f>SUMIFS(Table2[NewPointsAway],Table2[GameDate], "&lt;=" &amp; $A89, Table2[AwayTeam], R$1)+SUMIFS(Table2[NewPointsHome],Table2[GameDate], "&lt;=" &amp; $A89, Table2[HomeTeam], R$1)</f>
        <v>24</v>
      </c>
      <c r="S89" s="145">
        <f>SUMIFS(Table2[NewPointsAway],Table2[GameDate], "&lt;=" &amp; $A89, Table2[AwayTeam], S$1)+SUMIFS(Table2[NewPointsHome],Table2[GameDate], "&lt;=" &amp; $A89, Table2[HomeTeam], S$1)</f>
        <v>35</v>
      </c>
      <c r="T89" s="145">
        <f>SUMIFS(Table2[NewPointsAway],Table2[GameDate], "&lt;=" &amp; $A89, Table2[AwayTeam], T$1)+SUMIFS(Table2[NewPointsHome],Table2[GameDate], "&lt;=" &amp; $A89, Table2[HomeTeam], T$1)</f>
        <v>34</v>
      </c>
      <c r="U89" s="145">
        <f>SUMIFS(Table2[NewPointsAway],Table2[GameDate], "&lt;=" &amp; $A89, Table2[AwayTeam], U$1)+SUMIFS(Table2[NewPointsHome],Table2[GameDate], "&lt;=" &amp; $A89, Table2[HomeTeam], U$1)</f>
        <v>30</v>
      </c>
      <c r="V89" s="145">
        <f>SUMIFS(Table2[NewPointsAway],Table2[GameDate], "&lt;=" &amp; $A89, Table2[AwayTeam], V$1)+SUMIFS(Table2[NewPointsHome],Table2[GameDate], "&lt;=" &amp; $A89, Table2[HomeTeam], V$1)</f>
        <v>32</v>
      </c>
      <c r="W89" s="145">
        <f>SUMIFS(Table2[NewPointsAway],Table2[GameDate], "&lt;=" &amp; $A89, Table2[AwayTeam], W$1)+SUMIFS(Table2[NewPointsHome],Table2[GameDate], "&lt;=" &amp; $A89, Table2[HomeTeam], W$1)</f>
        <v>34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31</v>
      </c>
      <c r="Z89" s="145">
        <f>SUMIFS(Table2[NewPointsAway],Table2[GameDate], "&lt;=" &amp; $A89, Table2[AwayTeam], Z$1)+SUMIFS(Table2[NewPointsHome],Table2[GameDate], "&lt;=" &amp; $A89, Table2[HomeTeam], Z$1)</f>
        <v>30</v>
      </c>
      <c r="AA89" s="145">
        <f>SUMIFS(Table2[NewPointsAway],Table2[GameDate], "&lt;=" &amp; $A89, Table2[AwayTeam], AA$1)+SUMIFS(Table2[NewPointsHome],Table2[GameDate], "&lt;=" &amp; $A89, Table2[HomeTeam], AA$1)</f>
        <v>34</v>
      </c>
      <c r="AB89" s="145">
        <f>SUMIFS(Table2[NewPointsAway],Table2[GameDate], "&lt;=" &amp; $A89, Table2[AwayTeam], AB$1)+SUMIFS(Table2[NewPointsHome],Table2[GameDate], "&lt;=" &amp; $A89, Table2[HomeTeam], AB$1)</f>
        <v>32</v>
      </c>
      <c r="AC89" s="145">
        <f>SUMIFS(Table2[NewPointsAway],Table2[GameDate], "&lt;=" &amp; $A89, Table2[AwayTeam], AC$1)+SUMIFS(Table2[NewPointsHome],Table2[GameDate], "&lt;=" &amp; $A89, Table2[HomeTeam], AC$1)</f>
        <v>31</v>
      </c>
      <c r="AD89" s="145">
        <f>SUMIFS(Table2[NewPointsAway],Table2[GameDate], "&lt;=" &amp; $A89, Table2[AwayTeam], AD$1)+SUMIFS(Table2[NewPointsHome],Table2[GameDate], "&lt;=" &amp; $A89, Table2[HomeTeam], AD$1)</f>
        <v>25</v>
      </c>
      <c r="AE89" s="145">
        <f>SUMIFS(Table2[NewPointsAway],Table2[GameDate], "&lt;=" &amp; $A89, Table2[AwayTeam], AE$1)+SUMIFS(Table2[NewPointsHome],Table2[GameDate], "&lt;=" &amp; $A89, Table2[HomeTeam], AE$1)</f>
        <v>36</v>
      </c>
      <c r="AF89" s="145">
        <f>SUMIFS(Table2[NewPointsAway],Table2[GameDate], "&lt;=" &amp; $A89, Table2[AwayTeam], AF$1)+SUMIFS(Table2[NewPointsHome],Table2[GameDate], "&lt;=" &amp; $A89, Table2[HomeTeam], AF$1)</f>
        <v>29</v>
      </c>
      <c r="AG89" s="145">
        <f>SUMIFS(Table2[NewPointsAway],Table2[GameDate], "&lt;=" &amp; $A89, Table2[AwayTeam], AG$1)+SUMIFS(Table2[NewPointsHome],Table2[GameDate], "&lt;=" &amp; $A89, Table2[HomeTeam], AG$1)</f>
        <v>39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37</v>
      </c>
      <c r="C90" s="145">
        <f>SUMIFS(Table2[NewPointsAway],Table2[GameDate], "&lt;=" &amp; $A90, Table2[AwayTeam], C$1)+SUMIFS(Table2[NewPointsHome],Table2[GameDate], "&lt;=" &amp; $A90, Table2[HomeTeam], C$1)</f>
        <v>34</v>
      </c>
      <c r="D90" s="145">
        <f>SUMIFS(Table2[NewPointsAway],Table2[GameDate], "&lt;=" &amp; $A90, Table2[AwayTeam], D$1)+SUMIFS(Table2[NewPointsHome],Table2[GameDate], "&lt;=" &amp; $A90, Table2[HomeTeam], D$1)</f>
        <v>26</v>
      </c>
      <c r="E90" s="145">
        <f>SUMIFS(Table2[NewPointsAway],Table2[GameDate], "&lt;=" &amp; $A90, Table2[AwayTeam], E$1)+SUMIFS(Table2[NewPointsHome],Table2[GameDate], "&lt;=" &amp; $A90, Table2[HomeTeam], E$1)</f>
        <v>36</v>
      </c>
      <c r="F90" s="145">
        <f>SUMIFS(Table2[NewPointsAway],Table2[GameDate], "&lt;=" &amp; $A90, Table2[AwayTeam], F$1)+SUMIFS(Table2[NewPointsHome],Table2[GameDate], "&lt;=" &amp; $A90, Table2[HomeTeam], F$1)</f>
        <v>32</v>
      </c>
      <c r="G90" s="145">
        <f>SUMIFS(Table2[NewPointsAway],Table2[GameDate], "&lt;=" &amp; $A90, Table2[AwayTeam], G$1)+SUMIFS(Table2[NewPointsHome],Table2[GameDate], "&lt;=" &amp; $A90, Table2[HomeTeam], G$1)</f>
        <v>28</v>
      </c>
      <c r="H90" s="145">
        <f>SUMIFS(Table2[NewPointsAway],Table2[GameDate], "&lt;=" &amp; $A90, Table2[AwayTeam], H$1)+SUMIFS(Table2[NewPointsHome],Table2[GameDate], "&lt;=" &amp; $A90, Table2[HomeTeam], H$1)</f>
        <v>30</v>
      </c>
      <c r="I90" s="145">
        <f>SUMIFS(Table2[NewPointsAway],Table2[GameDate], "&lt;=" &amp; $A90, Table2[AwayTeam], I$1)+SUMIFS(Table2[NewPointsHome],Table2[GameDate], "&lt;=" &amp; $A90, Table2[HomeTeam], I$1)</f>
        <v>48</v>
      </c>
      <c r="J90" s="145">
        <f>SUMIFS(Table2[NewPointsAway],Table2[GameDate], "&lt;=" &amp; $A90, Table2[AwayTeam], J$1)+SUMIFS(Table2[NewPointsHome],Table2[GameDate], "&lt;=" &amp; $A90, Table2[HomeTeam], J$1)</f>
        <v>45</v>
      </c>
      <c r="K90" s="145">
        <f>SUMIFS(Table2[NewPointsAway],Table2[GameDate], "&lt;=" &amp; $A90, Table2[AwayTeam], K$1)+SUMIFS(Table2[NewPointsHome],Table2[GameDate], "&lt;=" &amp; $A90, Table2[HomeTeam], K$1)</f>
        <v>35</v>
      </c>
      <c r="L90" s="145">
        <f>SUMIFS(Table2[NewPointsAway],Table2[GameDate], "&lt;=" &amp; $A90, Table2[AwayTeam], L$1)+SUMIFS(Table2[NewPointsHome],Table2[GameDate], "&lt;=" &amp; $A90, Table2[HomeTeam], L$1)</f>
        <v>31</v>
      </c>
      <c r="M90" s="145">
        <f>SUMIFS(Table2[NewPointsAway],Table2[GameDate], "&lt;=" &amp; $A90, Table2[AwayTeam], M$1)+SUMIFS(Table2[NewPointsHome],Table2[GameDate], "&lt;=" &amp; $A90, Table2[HomeTeam], M$1)</f>
        <v>30</v>
      </c>
      <c r="N90" s="145">
        <f>SUMIFS(Table2[NewPointsAway],Table2[GameDate], "&lt;=" &amp; $A90, Table2[AwayTeam], N$1)+SUMIFS(Table2[NewPointsHome],Table2[GameDate], "&lt;=" &amp; $A90, Table2[HomeTeam], N$1)</f>
        <v>35</v>
      </c>
      <c r="O90" s="145">
        <f>SUMIFS(Table2[NewPointsAway],Table2[GameDate], "&lt;=" &amp; $A90, Table2[AwayTeam], O$1)+SUMIFS(Table2[NewPointsHome],Table2[GameDate], "&lt;=" &amp; $A90, Table2[HomeTeam], O$1)</f>
        <v>37</v>
      </c>
      <c r="P90" s="145">
        <f>SUMIFS(Table2[NewPointsAway],Table2[GameDate], "&lt;=" &amp; $A90, Table2[AwayTeam], P$1)+SUMIFS(Table2[NewPointsHome],Table2[GameDate], "&lt;=" &amp; $A90, Table2[HomeTeam], P$1)</f>
        <v>33</v>
      </c>
      <c r="Q90" s="145">
        <f>SUMIFS(Table2[NewPointsAway],Table2[GameDate], "&lt;=" &amp; $A90, Table2[AwayTeam], Q$1)+SUMIFS(Table2[NewPointsHome],Table2[GameDate], "&lt;=" &amp; $A90, Table2[HomeTeam], Q$1)</f>
        <v>33</v>
      </c>
      <c r="R90" s="145">
        <f>SUMIFS(Table2[NewPointsAway],Table2[GameDate], "&lt;=" &amp; $A90, Table2[AwayTeam], R$1)+SUMIFS(Table2[NewPointsHome],Table2[GameDate], "&lt;=" &amp; $A90, Table2[HomeTeam], R$1)</f>
        <v>24</v>
      </c>
      <c r="S90" s="145">
        <f>SUMIFS(Table2[NewPointsAway],Table2[GameDate], "&lt;=" &amp; $A90, Table2[AwayTeam], S$1)+SUMIFS(Table2[NewPointsHome],Table2[GameDate], "&lt;=" &amp; $A90, Table2[HomeTeam], S$1)</f>
        <v>35</v>
      </c>
      <c r="T90" s="145">
        <f>SUMIFS(Table2[NewPointsAway],Table2[GameDate], "&lt;=" &amp; $A90, Table2[AwayTeam], T$1)+SUMIFS(Table2[NewPointsHome],Table2[GameDate], "&lt;=" &amp; $A90, Table2[HomeTeam], T$1)</f>
        <v>34</v>
      </c>
      <c r="U90" s="145">
        <f>SUMIFS(Table2[NewPointsAway],Table2[GameDate], "&lt;=" &amp; $A90, Table2[AwayTeam], U$1)+SUMIFS(Table2[NewPointsHome],Table2[GameDate], "&lt;=" &amp; $A90, Table2[HomeTeam], U$1)</f>
        <v>30</v>
      </c>
      <c r="V90" s="145">
        <f>SUMIFS(Table2[NewPointsAway],Table2[GameDate], "&lt;=" &amp; $A90, Table2[AwayTeam], V$1)+SUMIFS(Table2[NewPointsHome],Table2[GameDate], "&lt;=" &amp; $A90, Table2[HomeTeam], V$1)</f>
        <v>32</v>
      </c>
      <c r="W90" s="145">
        <f>SUMIFS(Table2[NewPointsAway],Table2[GameDate], "&lt;=" &amp; $A90, Table2[AwayTeam], W$1)+SUMIFS(Table2[NewPointsHome],Table2[GameDate], "&lt;=" &amp; $A90, Table2[HomeTeam], W$1)</f>
        <v>34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31</v>
      </c>
      <c r="Z90" s="145">
        <f>SUMIFS(Table2[NewPointsAway],Table2[GameDate], "&lt;=" &amp; $A90, Table2[AwayTeam], Z$1)+SUMIFS(Table2[NewPointsHome],Table2[GameDate], "&lt;=" &amp; $A90, Table2[HomeTeam], Z$1)</f>
        <v>30</v>
      </c>
      <c r="AA90" s="145">
        <f>SUMIFS(Table2[NewPointsAway],Table2[GameDate], "&lt;=" &amp; $A90, Table2[AwayTeam], AA$1)+SUMIFS(Table2[NewPointsHome],Table2[GameDate], "&lt;=" &amp; $A90, Table2[HomeTeam], AA$1)</f>
        <v>34</v>
      </c>
      <c r="AB90" s="145">
        <f>SUMIFS(Table2[NewPointsAway],Table2[GameDate], "&lt;=" &amp; $A90, Table2[AwayTeam], AB$1)+SUMIFS(Table2[NewPointsHome],Table2[GameDate], "&lt;=" &amp; $A90, Table2[HomeTeam], AB$1)</f>
        <v>32</v>
      </c>
      <c r="AC90" s="145">
        <f>SUMIFS(Table2[NewPointsAway],Table2[GameDate], "&lt;=" &amp; $A90, Table2[AwayTeam], AC$1)+SUMIFS(Table2[NewPointsHome],Table2[GameDate], "&lt;=" &amp; $A90, Table2[HomeTeam], AC$1)</f>
        <v>31</v>
      </c>
      <c r="AD90" s="145">
        <f>SUMIFS(Table2[NewPointsAway],Table2[GameDate], "&lt;=" &amp; $A90, Table2[AwayTeam], AD$1)+SUMIFS(Table2[NewPointsHome],Table2[GameDate], "&lt;=" &amp; $A90, Table2[HomeTeam], AD$1)</f>
        <v>25</v>
      </c>
      <c r="AE90" s="145">
        <f>SUMIFS(Table2[NewPointsAway],Table2[GameDate], "&lt;=" &amp; $A90, Table2[AwayTeam], AE$1)+SUMIFS(Table2[NewPointsHome],Table2[GameDate], "&lt;=" &amp; $A90, Table2[HomeTeam], AE$1)</f>
        <v>36</v>
      </c>
      <c r="AF90" s="145">
        <f>SUMIFS(Table2[NewPointsAway],Table2[GameDate], "&lt;=" &amp; $A90, Table2[AwayTeam], AF$1)+SUMIFS(Table2[NewPointsHome],Table2[GameDate], "&lt;=" &amp; $A90, Table2[HomeTeam], AF$1)</f>
        <v>29</v>
      </c>
      <c r="AG90" s="145">
        <f>SUMIFS(Table2[NewPointsAway],Table2[GameDate], "&lt;=" &amp; $A90, Table2[AwayTeam], AG$1)+SUMIFS(Table2[NewPointsHome],Table2[GameDate], "&lt;=" &amp; $A90, Table2[HomeTeam], AG$1)</f>
        <v>39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37</v>
      </c>
      <c r="C91" s="145">
        <f>SUMIFS(Table2[NewPointsAway],Table2[GameDate], "&lt;=" &amp; $A91, Table2[AwayTeam], C$1)+SUMIFS(Table2[NewPointsHome],Table2[GameDate], "&lt;=" &amp; $A91, Table2[HomeTeam], C$1)</f>
        <v>34</v>
      </c>
      <c r="D91" s="145">
        <f>SUMIFS(Table2[NewPointsAway],Table2[GameDate], "&lt;=" &amp; $A91, Table2[AwayTeam], D$1)+SUMIFS(Table2[NewPointsHome],Table2[GameDate], "&lt;=" &amp; $A91, Table2[HomeTeam], D$1)</f>
        <v>26</v>
      </c>
      <c r="E91" s="145">
        <f>SUMIFS(Table2[NewPointsAway],Table2[GameDate], "&lt;=" &amp; $A91, Table2[AwayTeam], E$1)+SUMIFS(Table2[NewPointsHome],Table2[GameDate], "&lt;=" &amp; $A91, Table2[HomeTeam], E$1)</f>
        <v>36</v>
      </c>
      <c r="F91" s="145">
        <f>SUMIFS(Table2[NewPointsAway],Table2[GameDate], "&lt;=" &amp; $A91, Table2[AwayTeam], F$1)+SUMIFS(Table2[NewPointsHome],Table2[GameDate], "&lt;=" &amp; $A91, Table2[HomeTeam], F$1)</f>
        <v>32</v>
      </c>
      <c r="G91" s="145">
        <f>SUMIFS(Table2[NewPointsAway],Table2[GameDate], "&lt;=" &amp; $A91, Table2[AwayTeam], G$1)+SUMIFS(Table2[NewPointsHome],Table2[GameDate], "&lt;=" &amp; $A91, Table2[HomeTeam], G$1)</f>
        <v>28</v>
      </c>
      <c r="H91" s="145">
        <f>SUMIFS(Table2[NewPointsAway],Table2[GameDate], "&lt;=" &amp; $A91, Table2[AwayTeam], H$1)+SUMIFS(Table2[NewPointsHome],Table2[GameDate], "&lt;=" &amp; $A91, Table2[HomeTeam], H$1)</f>
        <v>30</v>
      </c>
      <c r="I91" s="145">
        <f>SUMIFS(Table2[NewPointsAway],Table2[GameDate], "&lt;=" &amp; $A91, Table2[AwayTeam], I$1)+SUMIFS(Table2[NewPointsHome],Table2[GameDate], "&lt;=" &amp; $A91, Table2[HomeTeam], I$1)</f>
        <v>48</v>
      </c>
      <c r="J91" s="145">
        <f>SUMIFS(Table2[NewPointsAway],Table2[GameDate], "&lt;=" &amp; $A91, Table2[AwayTeam], J$1)+SUMIFS(Table2[NewPointsHome],Table2[GameDate], "&lt;=" &amp; $A91, Table2[HomeTeam], J$1)</f>
        <v>45</v>
      </c>
      <c r="K91" s="145">
        <f>SUMIFS(Table2[NewPointsAway],Table2[GameDate], "&lt;=" &amp; $A91, Table2[AwayTeam], K$1)+SUMIFS(Table2[NewPointsHome],Table2[GameDate], "&lt;=" &amp; $A91, Table2[HomeTeam], K$1)</f>
        <v>35</v>
      </c>
      <c r="L91" s="145">
        <f>SUMIFS(Table2[NewPointsAway],Table2[GameDate], "&lt;=" &amp; $A91, Table2[AwayTeam], L$1)+SUMIFS(Table2[NewPointsHome],Table2[GameDate], "&lt;=" &amp; $A91, Table2[HomeTeam], L$1)</f>
        <v>31</v>
      </c>
      <c r="M91" s="145">
        <f>SUMIFS(Table2[NewPointsAway],Table2[GameDate], "&lt;=" &amp; $A91, Table2[AwayTeam], M$1)+SUMIFS(Table2[NewPointsHome],Table2[GameDate], "&lt;=" &amp; $A91, Table2[HomeTeam], M$1)</f>
        <v>30</v>
      </c>
      <c r="N91" s="145">
        <f>SUMIFS(Table2[NewPointsAway],Table2[GameDate], "&lt;=" &amp; $A91, Table2[AwayTeam], N$1)+SUMIFS(Table2[NewPointsHome],Table2[GameDate], "&lt;=" &amp; $A91, Table2[HomeTeam], N$1)</f>
        <v>35</v>
      </c>
      <c r="O91" s="145">
        <f>SUMIFS(Table2[NewPointsAway],Table2[GameDate], "&lt;=" &amp; $A91, Table2[AwayTeam], O$1)+SUMIFS(Table2[NewPointsHome],Table2[GameDate], "&lt;=" &amp; $A91, Table2[HomeTeam], O$1)</f>
        <v>37</v>
      </c>
      <c r="P91" s="145">
        <f>SUMIFS(Table2[NewPointsAway],Table2[GameDate], "&lt;=" &amp; $A91, Table2[AwayTeam], P$1)+SUMIFS(Table2[NewPointsHome],Table2[GameDate], "&lt;=" &amp; $A91, Table2[HomeTeam], P$1)</f>
        <v>33</v>
      </c>
      <c r="Q91" s="145">
        <f>SUMIFS(Table2[NewPointsAway],Table2[GameDate], "&lt;=" &amp; $A91, Table2[AwayTeam], Q$1)+SUMIFS(Table2[NewPointsHome],Table2[GameDate], "&lt;=" &amp; $A91, Table2[HomeTeam], Q$1)</f>
        <v>33</v>
      </c>
      <c r="R91" s="145">
        <f>SUMIFS(Table2[NewPointsAway],Table2[GameDate], "&lt;=" &amp; $A91, Table2[AwayTeam], R$1)+SUMIFS(Table2[NewPointsHome],Table2[GameDate], "&lt;=" &amp; $A91, Table2[HomeTeam], R$1)</f>
        <v>24</v>
      </c>
      <c r="S91" s="145">
        <f>SUMIFS(Table2[NewPointsAway],Table2[GameDate], "&lt;=" &amp; $A91, Table2[AwayTeam], S$1)+SUMIFS(Table2[NewPointsHome],Table2[GameDate], "&lt;=" &amp; $A91, Table2[HomeTeam], S$1)</f>
        <v>35</v>
      </c>
      <c r="T91" s="145">
        <f>SUMIFS(Table2[NewPointsAway],Table2[GameDate], "&lt;=" &amp; $A91, Table2[AwayTeam], T$1)+SUMIFS(Table2[NewPointsHome],Table2[GameDate], "&lt;=" &amp; $A91, Table2[HomeTeam], T$1)</f>
        <v>34</v>
      </c>
      <c r="U91" s="145">
        <f>SUMIFS(Table2[NewPointsAway],Table2[GameDate], "&lt;=" &amp; $A91, Table2[AwayTeam], U$1)+SUMIFS(Table2[NewPointsHome],Table2[GameDate], "&lt;=" &amp; $A91, Table2[HomeTeam], U$1)</f>
        <v>30</v>
      </c>
      <c r="V91" s="145">
        <f>SUMIFS(Table2[NewPointsAway],Table2[GameDate], "&lt;=" &amp; $A91, Table2[AwayTeam], V$1)+SUMIFS(Table2[NewPointsHome],Table2[GameDate], "&lt;=" &amp; $A91, Table2[HomeTeam], V$1)</f>
        <v>32</v>
      </c>
      <c r="W91" s="145">
        <f>SUMIFS(Table2[NewPointsAway],Table2[GameDate], "&lt;=" &amp; $A91, Table2[AwayTeam], W$1)+SUMIFS(Table2[NewPointsHome],Table2[GameDate], "&lt;=" &amp; $A91, Table2[HomeTeam], W$1)</f>
        <v>34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31</v>
      </c>
      <c r="Z91" s="145">
        <f>SUMIFS(Table2[NewPointsAway],Table2[GameDate], "&lt;=" &amp; $A91, Table2[AwayTeam], Z$1)+SUMIFS(Table2[NewPointsHome],Table2[GameDate], "&lt;=" &amp; $A91, Table2[HomeTeam], Z$1)</f>
        <v>30</v>
      </c>
      <c r="AA91" s="145">
        <f>SUMIFS(Table2[NewPointsAway],Table2[GameDate], "&lt;=" &amp; $A91, Table2[AwayTeam], AA$1)+SUMIFS(Table2[NewPointsHome],Table2[GameDate], "&lt;=" &amp; $A91, Table2[HomeTeam], AA$1)</f>
        <v>34</v>
      </c>
      <c r="AB91" s="145">
        <f>SUMIFS(Table2[NewPointsAway],Table2[GameDate], "&lt;=" &amp; $A91, Table2[AwayTeam], AB$1)+SUMIFS(Table2[NewPointsHome],Table2[GameDate], "&lt;=" &amp; $A91, Table2[HomeTeam], AB$1)</f>
        <v>32</v>
      </c>
      <c r="AC91" s="145">
        <f>SUMIFS(Table2[NewPointsAway],Table2[GameDate], "&lt;=" &amp; $A91, Table2[AwayTeam], AC$1)+SUMIFS(Table2[NewPointsHome],Table2[GameDate], "&lt;=" &amp; $A91, Table2[HomeTeam], AC$1)</f>
        <v>31</v>
      </c>
      <c r="AD91" s="145">
        <f>SUMIFS(Table2[NewPointsAway],Table2[GameDate], "&lt;=" &amp; $A91, Table2[AwayTeam], AD$1)+SUMIFS(Table2[NewPointsHome],Table2[GameDate], "&lt;=" &amp; $A91, Table2[HomeTeam], AD$1)</f>
        <v>25</v>
      </c>
      <c r="AE91" s="145">
        <f>SUMIFS(Table2[NewPointsAway],Table2[GameDate], "&lt;=" &amp; $A91, Table2[AwayTeam], AE$1)+SUMIFS(Table2[NewPointsHome],Table2[GameDate], "&lt;=" &amp; $A91, Table2[HomeTeam], AE$1)</f>
        <v>36</v>
      </c>
      <c r="AF91" s="145">
        <f>SUMIFS(Table2[NewPointsAway],Table2[GameDate], "&lt;=" &amp; $A91, Table2[AwayTeam], AF$1)+SUMIFS(Table2[NewPointsHome],Table2[GameDate], "&lt;=" &amp; $A91, Table2[HomeTeam], AF$1)</f>
        <v>29</v>
      </c>
      <c r="AG91" s="145">
        <f>SUMIFS(Table2[NewPointsAway],Table2[GameDate], "&lt;=" &amp; $A91, Table2[AwayTeam], AG$1)+SUMIFS(Table2[NewPointsHome],Table2[GameDate], "&lt;=" &amp; $A91, Table2[HomeTeam], AG$1)</f>
        <v>39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37</v>
      </c>
      <c r="C92" s="145">
        <f>SUMIFS(Table2[NewPointsAway],Table2[GameDate], "&lt;=" &amp; $A92, Table2[AwayTeam], C$1)+SUMIFS(Table2[NewPointsHome],Table2[GameDate], "&lt;=" &amp; $A92, Table2[HomeTeam], C$1)</f>
        <v>34</v>
      </c>
      <c r="D92" s="145">
        <f>SUMIFS(Table2[NewPointsAway],Table2[GameDate], "&lt;=" &amp; $A92, Table2[AwayTeam], D$1)+SUMIFS(Table2[NewPointsHome],Table2[GameDate], "&lt;=" &amp; $A92, Table2[HomeTeam], D$1)</f>
        <v>26</v>
      </c>
      <c r="E92" s="145">
        <f>SUMIFS(Table2[NewPointsAway],Table2[GameDate], "&lt;=" &amp; $A92, Table2[AwayTeam], E$1)+SUMIFS(Table2[NewPointsHome],Table2[GameDate], "&lt;=" &amp; $A92, Table2[HomeTeam], E$1)</f>
        <v>36</v>
      </c>
      <c r="F92" s="145">
        <f>SUMIFS(Table2[NewPointsAway],Table2[GameDate], "&lt;=" &amp; $A92, Table2[AwayTeam], F$1)+SUMIFS(Table2[NewPointsHome],Table2[GameDate], "&lt;=" &amp; $A92, Table2[HomeTeam], F$1)</f>
        <v>32</v>
      </c>
      <c r="G92" s="145">
        <f>SUMIFS(Table2[NewPointsAway],Table2[GameDate], "&lt;=" &amp; $A92, Table2[AwayTeam], G$1)+SUMIFS(Table2[NewPointsHome],Table2[GameDate], "&lt;=" &amp; $A92, Table2[HomeTeam], G$1)</f>
        <v>28</v>
      </c>
      <c r="H92" s="145">
        <f>SUMIFS(Table2[NewPointsAway],Table2[GameDate], "&lt;=" &amp; $A92, Table2[AwayTeam], H$1)+SUMIFS(Table2[NewPointsHome],Table2[GameDate], "&lt;=" &amp; $A92, Table2[HomeTeam], H$1)</f>
        <v>30</v>
      </c>
      <c r="I92" s="145">
        <f>SUMIFS(Table2[NewPointsAway],Table2[GameDate], "&lt;=" &amp; $A92, Table2[AwayTeam], I$1)+SUMIFS(Table2[NewPointsHome],Table2[GameDate], "&lt;=" &amp; $A92, Table2[HomeTeam], I$1)</f>
        <v>48</v>
      </c>
      <c r="J92" s="145">
        <f>SUMIFS(Table2[NewPointsAway],Table2[GameDate], "&lt;=" &amp; $A92, Table2[AwayTeam], J$1)+SUMIFS(Table2[NewPointsHome],Table2[GameDate], "&lt;=" &amp; $A92, Table2[HomeTeam], J$1)</f>
        <v>45</v>
      </c>
      <c r="K92" s="145">
        <f>SUMIFS(Table2[NewPointsAway],Table2[GameDate], "&lt;=" &amp; $A92, Table2[AwayTeam], K$1)+SUMIFS(Table2[NewPointsHome],Table2[GameDate], "&lt;=" &amp; $A92, Table2[HomeTeam], K$1)</f>
        <v>35</v>
      </c>
      <c r="L92" s="145">
        <f>SUMIFS(Table2[NewPointsAway],Table2[GameDate], "&lt;=" &amp; $A92, Table2[AwayTeam], L$1)+SUMIFS(Table2[NewPointsHome],Table2[GameDate], "&lt;=" &amp; $A92, Table2[HomeTeam], L$1)</f>
        <v>31</v>
      </c>
      <c r="M92" s="145">
        <f>SUMIFS(Table2[NewPointsAway],Table2[GameDate], "&lt;=" &amp; $A92, Table2[AwayTeam], M$1)+SUMIFS(Table2[NewPointsHome],Table2[GameDate], "&lt;=" &amp; $A92, Table2[HomeTeam], M$1)</f>
        <v>30</v>
      </c>
      <c r="N92" s="145">
        <f>SUMIFS(Table2[NewPointsAway],Table2[GameDate], "&lt;=" &amp; $A92, Table2[AwayTeam], N$1)+SUMIFS(Table2[NewPointsHome],Table2[GameDate], "&lt;=" &amp; $A92, Table2[HomeTeam], N$1)</f>
        <v>35</v>
      </c>
      <c r="O92" s="145">
        <f>SUMIFS(Table2[NewPointsAway],Table2[GameDate], "&lt;=" &amp; $A92, Table2[AwayTeam], O$1)+SUMIFS(Table2[NewPointsHome],Table2[GameDate], "&lt;=" &amp; $A92, Table2[HomeTeam], O$1)</f>
        <v>37</v>
      </c>
      <c r="P92" s="145">
        <f>SUMIFS(Table2[NewPointsAway],Table2[GameDate], "&lt;=" &amp; $A92, Table2[AwayTeam], P$1)+SUMIFS(Table2[NewPointsHome],Table2[GameDate], "&lt;=" &amp; $A92, Table2[HomeTeam], P$1)</f>
        <v>33</v>
      </c>
      <c r="Q92" s="145">
        <f>SUMIFS(Table2[NewPointsAway],Table2[GameDate], "&lt;=" &amp; $A92, Table2[AwayTeam], Q$1)+SUMIFS(Table2[NewPointsHome],Table2[GameDate], "&lt;=" &amp; $A92, Table2[HomeTeam], Q$1)</f>
        <v>33</v>
      </c>
      <c r="R92" s="145">
        <f>SUMIFS(Table2[NewPointsAway],Table2[GameDate], "&lt;=" &amp; $A92, Table2[AwayTeam], R$1)+SUMIFS(Table2[NewPointsHome],Table2[GameDate], "&lt;=" &amp; $A92, Table2[HomeTeam], R$1)</f>
        <v>24</v>
      </c>
      <c r="S92" s="145">
        <f>SUMIFS(Table2[NewPointsAway],Table2[GameDate], "&lt;=" &amp; $A92, Table2[AwayTeam], S$1)+SUMIFS(Table2[NewPointsHome],Table2[GameDate], "&lt;=" &amp; $A92, Table2[HomeTeam], S$1)</f>
        <v>35</v>
      </c>
      <c r="T92" s="145">
        <f>SUMIFS(Table2[NewPointsAway],Table2[GameDate], "&lt;=" &amp; $A92, Table2[AwayTeam], T$1)+SUMIFS(Table2[NewPointsHome],Table2[GameDate], "&lt;=" &amp; $A92, Table2[HomeTeam], T$1)</f>
        <v>34</v>
      </c>
      <c r="U92" s="145">
        <f>SUMIFS(Table2[NewPointsAway],Table2[GameDate], "&lt;=" &amp; $A92, Table2[AwayTeam], U$1)+SUMIFS(Table2[NewPointsHome],Table2[GameDate], "&lt;=" &amp; $A92, Table2[HomeTeam], U$1)</f>
        <v>30</v>
      </c>
      <c r="V92" s="145">
        <f>SUMIFS(Table2[NewPointsAway],Table2[GameDate], "&lt;=" &amp; $A92, Table2[AwayTeam], V$1)+SUMIFS(Table2[NewPointsHome],Table2[GameDate], "&lt;=" &amp; $A92, Table2[HomeTeam], V$1)</f>
        <v>32</v>
      </c>
      <c r="W92" s="145">
        <f>SUMIFS(Table2[NewPointsAway],Table2[GameDate], "&lt;=" &amp; $A92, Table2[AwayTeam], W$1)+SUMIFS(Table2[NewPointsHome],Table2[GameDate], "&lt;=" &amp; $A92, Table2[HomeTeam], W$1)</f>
        <v>34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31</v>
      </c>
      <c r="Z92" s="145">
        <f>SUMIFS(Table2[NewPointsAway],Table2[GameDate], "&lt;=" &amp; $A92, Table2[AwayTeam], Z$1)+SUMIFS(Table2[NewPointsHome],Table2[GameDate], "&lt;=" &amp; $A92, Table2[HomeTeam], Z$1)</f>
        <v>30</v>
      </c>
      <c r="AA92" s="145">
        <f>SUMIFS(Table2[NewPointsAway],Table2[GameDate], "&lt;=" &amp; $A92, Table2[AwayTeam], AA$1)+SUMIFS(Table2[NewPointsHome],Table2[GameDate], "&lt;=" &amp; $A92, Table2[HomeTeam], AA$1)</f>
        <v>34</v>
      </c>
      <c r="AB92" s="145">
        <f>SUMIFS(Table2[NewPointsAway],Table2[GameDate], "&lt;=" &amp; $A92, Table2[AwayTeam], AB$1)+SUMIFS(Table2[NewPointsHome],Table2[GameDate], "&lt;=" &amp; $A92, Table2[HomeTeam], AB$1)</f>
        <v>32</v>
      </c>
      <c r="AC92" s="145">
        <f>SUMIFS(Table2[NewPointsAway],Table2[GameDate], "&lt;=" &amp; $A92, Table2[AwayTeam], AC$1)+SUMIFS(Table2[NewPointsHome],Table2[GameDate], "&lt;=" &amp; $A92, Table2[HomeTeam], AC$1)</f>
        <v>31</v>
      </c>
      <c r="AD92" s="145">
        <f>SUMIFS(Table2[NewPointsAway],Table2[GameDate], "&lt;=" &amp; $A92, Table2[AwayTeam], AD$1)+SUMIFS(Table2[NewPointsHome],Table2[GameDate], "&lt;=" &amp; $A92, Table2[HomeTeam], AD$1)</f>
        <v>25</v>
      </c>
      <c r="AE92" s="145">
        <f>SUMIFS(Table2[NewPointsAway],Table2[GameDate], "&lt;=" &amp; $A92, Table2[AwayTeam], AE$1)+SUMIFS(Table2[NewPointsHome],Table2[GameDate], "&lt;=" &amp; $A92, Table2[HomeTeam], AE$1)</f>
        <v>36</v>
      </c>
      <c r="AF92" s="145">
        <f>SUMIFS(Table2[NewPointsAway],Table2[GameDate], "&lt;=" &amp; $A92, Table2[AwayTeam], AF$1)+SUMIFS(Table2[NewPointsHome],Table2[GameDate], "&lt;=" &amp; $A92, Table2[HomeTeam], AF$1)</f>
        <v>29</v>
      </c>
      <c r="AG92" s="145">
        <f>SUMIFS(Table2[NewPointsAway],Table2[GameDate], "&lt;=" &amp; $A92, Table2[AwayTeam], AG$1)+SUMIFS(Table2[NewPointsHome],Table2[GameDate], "&lt;=" &amp; $A92, Table2[HomeTeam], AG$1)</f>
        <v>39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37</v>
      </c>
      <c r="C93" s="145">
        <f>SUMIFS(Table2[NewPointsAway],Table2[GameDate], "&lt;=" &amp; $A93, Table2[AwayTeam], C$1)+SUMIFS(Table2[NewPointsHome],Table2[GameDate], "&lt;=" &amp; $A93, Table2[HomeTeam], C$1)</f>
        <v>34</v>
      </c>
      <c r="D93" s="145">
        <f>SUMIFS(Table2[NewPointsAway],Table2[GameDate], "&lt;=" &amp; $A93, Table2[AwayTeam], D$1)+SUMIFS(Table2[NewPointsHome],Table2[GameDate], "&lt;=" &amp; $A93, Table2[HomeTeam], D$1)</f>
        <v>26</v>
      </c>
      <c r="E93" s="145">
        <f>SUMIFS(Table2[NewPointsAway],Table2[GameDate], "&lt;=" &amp; $A93, Table2[AwayTeam], E$1)+SUMIFS(Table2[NewPointsHome],Table2[GameDate], "&lt;=" &amp; $A93, Table2[HomeTeam], E$1)</f>
        <v>36</v>
      </c>
      <c r="F93" s="145">
        <f>SUMIFS(Table2[NewPointsAway],Table2[GameDate], "&lt;=" &amp; $A93, Table2[AwayTeam], F$1)+SUMIFS(Table2[NewPointsHome],Table2[GameDate], "&lt;=" &amp; $A93, Table2[HomeTeam], F$1)</f>
        <v>32</v>
      </c>
      <c r="G93" s="145">
        <f>SUMIFS(Table2[NewPointsAway],Table2[GameDate], "&lt;=" &amp; $A93, Table2[AwayTeam], G$1)+SUMIFS(Table2[NewPointsHome],Table2[GameDate], "&lt;=" &amp; $A93, Table2[HomeTeam], G$1)</f>
        <v>28</v>
      </c>
      <c r="H93" s="145">
        <f>SUMIFS(Table2[NewPointsAway],Table2[GameDate], "&lt;=" &amp; $A93, Table2[AwayTeam], H$1)+SUMIFS(Table2[NewPointsHome],Table2[GameDate], "&lt;=" &amp; $A93, Table2[HomeTeam], H$1)</f>
        <v>30</v>
      </c>
      <c r="I93" s="145">
        <f>SUMIFS(Table2[NewPointsAway],Table2[GameDate], "&lt;=" &amp; $A93, Table2[AwayTeam], I$1)+SUMIFS(Table2[NewPointsHome],Table2[GameDate], "&lt;=" &amp; $A93, Table2[HomeTeam], I$1)</f>
        <v>48</v>
      </c>
      <c r="J93" s="145">
        <f>SUMIFS(Table2[NewPointsAway],Table2[GameDate], "&lt;=" &amp; $A93, Table2[AwayTeam], J$1)+SUMIFS(Table2[NewPointsHome],Table2[GameDate], "&lt;=" &amp; $A93, Table2[HomeTeam], J$1)</f>
        <v>45</v>
      </c>
      <c r="K93" s="145">
        <f>SUMIFS(Table2[NewPointsAway],Table2[GameDate], "&lt;=" &amp; $A93, Table2[AwayTeam], K$1)+SUMIFS(Table2[NewPointsHome],Table2[GameDate], "&lt;=" &amp; $A93, Table2[HomeTeam], K$1)</f>
        <v>35</v>
      </c>
      <c r="L93" s="145">
        <f>SUMIFS(Table2[NewPointsAway],Table2[GameDate], "&lt;=" &amp; $A93, Table2[AwayTeam], L$1)+SUMIFS(Table2[NewPointsHome],Table2[GameDate], "&lt;=" &amp; $A93, Table2[HomeTeam], L$1)</f>
        <v>31</v>
      </c>
      <c r="M93" s="145">
        <f>SUMIFS(Table2[NewPointsAway],Table2[GameDate], "&lt;=" &amp; $A93, Table2[AwayTeam], M$1)+SUMIFS(Table2[NewPointsHome],Table2[GameDate], "&lt;=" &amp; $A93, Table2[HomeTeam], M$1)</f>
        <v>30</v>
      </c>
      <c r="N93" s="145">
        <f>SUMIFS(Table2[NewPointsAway],Table2[GameDate], "&lt;=" &amp; $A93, Table2[AwayTeam], N$1)+SUMIFS(Table2[NewPointsHome],Table2[GameDate], "&lt;=" &amp; $A93, Table2[HomeTeam], N$1)</f>
        <v>35</v>
      </c>
      <c r="O93" s="145">
        <f>SUMIFS(Table2[NewPointsAway],Table2[GameDate], "&lt;=" &amp; $A93, Table2[AwayTeam], O$1)+SUMIFS(Table2[NewPointsHome],Table2[GameDate], "&lt;=" &amp; $A93, Table2[HomeTeam], O$1)</f>
        <v>37</v>
      </c>
      <c r="P93" s="145">
        <f>SUMIFS(Table2[NewPointsAway],Table2[GameDate], "&lt;=" &amp; $A93, Table2[AwayTeam], P$1)+SUMIFS(Table2[NewPointsHome],Table2[GameDate], "&lt;=" &amp; $A93, Table2[HomeTeam], P$1)</f>
        <v>33</v>
      </c>
      <c r="Q93" s="145">
        <f>SUMIFS(Table2[NewPointsAway],Table2[GameDate], "&lt;=" &amp; $A93, Table2[AwayTeam], Q$1)+SUMIFS(Table2[NewPointsHome],Table2[GameDate], "&lt;=" &amp; $A93, Table2[HomeTeam], Q$1)</f>
        <v>33</v>
      </c>
      <c r="R93" s="145">
        <f>SUMIFS(Table2[NewPointsAway],Table2[GameDate], "&lt;=" &amp; $A93, Table2[AwayTeam], R$1)+SUMIFS(Table2[NewPointsHome],Table2[GameDate], "&lt;=" &amp; $A93, Table2[HomeTeam], R$1)</f>
        <v>24</v>
      </c>
      <c r="S93" s="145">
        <f>SUMIFS(Table2[NewPointsAway],Table2[GameDate], "&lt;=" &amp; $A93, Table2[AwayTeam], S$1)+SUMIFS(Table2[NewPointsHome],Table2[GameDate], "&lt;=" &amp; $A93, Table2[HomeTeam], S$1)</f>
        <v>35</v>
      </c>
      <c r="T93" s="145">
        <f>SUMIFS(Table2[NewPointsAway],Table2[GameDate], "&lt;=" &amp; $A93, Table2[AwayTeam], T$1)+SUMIFS(Table2[NewPointsHome],Table2[GameDate], "&lt;=" &amp; $A93, Table2[HomeTeam], T$1)</f>
        <v>34</v>
      </c>
      <c r="U93" s="145">
        <f>SUMIFS(Table2[NewPointsAway],Table2[GameDate], "&lt;=" &amp; $A93, Table2[AwayTeam], U$1)+SUMIFS(Table2[NewPointsHome],Table2[GameDate], "&lt;=" &amp; $A93, Table2[HomeTeam], U$1)</f>
        <v>30</v>
      </c>
      <c r="V93" s="145">
        <f>SUMIFS(Table2[NewPointsAway],Table2[GameDate], "&lt;=" &amp; $A93, Table2[AwayTeam], V$1)+SUMIFS(Table2[NewPointsHome],Table2[GameDate], "&lt;=" &amp; $A93, Table2[HomeTeam], V$1)</f>
        <v>32</v>
      </c>
      <c r="W93" s="145">
        <f>SUMIFS(Table2[NewPointsAway],Table2[GameDate], "&lt;=" &amp; $A93, Table2[AwayTeam], W$1)+SUMIFS(Table2[NewPointsHome],Table2[GameDate], "&lt;=" &amp; $A93, Table2[HomeTeam], W$1)</f>
        <v>34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31</v>
      </c>
      <c r="Z93" s="145">
        <f>SUMIFS(Table2[NewPointsAway],Table2[GameDate], "&lt;=" &amp; $A93, Table2[AwayTeam], Z$1)+SUMIFS(Table2[NewPointsHome],Table2[GameDate], "&lt;=" &amp; $A93, Table2[HomeTeam], Z$1)</f>
        <v>30</v>
      </c>
      <c r="AA93" s="145">
        <f>SUMIFS(Table2[NewPointsAway],Table2[GameDate], "&lt;=" &amp; $A93, Table2[AwayTeam], AA$1)+SUMIFS(Table2[NewPointsHome],Table2[GameDate], "&lt;=" &amp; $A93, Table2[HomeTeam], AA$1)</f>
        <v>34</v>
      </c>
      <c r="AB93" s="145">
        <f>SUMIFS(Table2[NewPointsAway],Table2[GameDate], "&lt;=" &amp; $A93, Table2[AwayTeam], AB$1)+SUMIFS(Table2[NewPointsHome],Table2[GameDate], "&lt;=" &amp; $A93, Table2[HomeTeam], AB$1)</f>
        <v>32</v>
      </c>
      <c r="AC93" s="145">
        <f>SUMIFS(Table2[NewPointsAway],Table2[GameDate], "&lt;=" &amp; $A93, Table2[AwayTeam], AC$1)+SUMIFS(Table2[NewPointsHome],Table2[GameDate], "&lt;=" &amp; $A93, Table2[HomeTeam], AC$1)</f>
        <v>31</v>
      </c>
      <c r="AD93" s="145">
        <f>SUMIFS(Table2[NewPointsAway],Table2[GameDate], "&lt;=" &amp; $A93, Table2[AwayTeam], AD$1)+SUMIFS(Table2[NewPointsHome],Table2[GameDate], "&lt;=" &amp; $A93, Table2[HomeTeam], AD$1)</f>
        <v>25</v>
      </c>
      <c r="AE93" s="145">
        <f>SUMIFS(Table2[NewPointsAway],Table2[GameDate], "&lt;=" &amp; $A93, Table2[AwayTeam], AE$1)+SUMIFS(Table2[NewPointsHome],Table2[GameDate], "&lt;=" &amp; $A93, Table2[HomeTeam], AE$1)</f>
        <v>36</v>
      </c>
      <c r="AF93" s="145">
        <f>SUMIFS(Table2[NewPointsAway],Table2[GameDate], "&lt;=" &amp; $A93, Table2[AwayTeam], AF$1)+SUMIFS(Table2[NewPointsHome],Table2[GameDate], "&lt;=" &amp; $A93, Table2[HomeTeam], AF$1)</f>
        <v>29</v>
      </c>
      <c r="AG93" s="145">
        <f>SUMIFS(Table2[NewPointsAway],Table2[GameDate], "&lt;=" &amp; $A93, Table2[AwayTeam], AG$1)+SUMIFS(Table2[NewPointsHome],Table2[GameDate], "&lt;=" &amp; $A93, Table2[HomeTeam], AG$1)</f>
        <v>39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37</v>
      </c>
      <c r="C94" s="145">
        <f>SUMIFS(Table2[NewPointsAway],Table2[GameDate], "&lt;=" &amp; $A94, Table2[AwayTeam], C$1)+SUMIFS(Table2[NewPointsHome],Table2[GameDate], "&lt;=" &amp; $A94, Table2[HomeTeam], C$1)</f>
        <v>34</v>
      </c>
      <c r="D94" s="145">
        <f>SUMIFS(Table2[NewPointsAway],Table2[GameDate], "&lt;=" &amp; $A94, Table2[AwayTeam], D$1)+SUMIFS(Table2[NewPointsHome],Table2[GameDate], "&lt;=" &amp; $A94, Table2[HomeTeam], D$1)</f>
        <v>26</v>
      </c>
      <c r="E94" s="145">
        <f>SUMIFS(Table2[NewPointsAway],Table2[GameDate], "&lt;=" &amp; $A94, Table2[AwayTeam], E$1)+SUMIFS(Table2[NewPointsHome],Table2[GameDate], "&lt;=" &amp; $A94, Table2[HomeTeam], E$1)</f>
        <v>36</v>
      </c>
      <c r="F94" s="145">
        <f>SUMIFS(Table2[NewPointsAway],Table2[GameDate], "&lt;=" &amp; $A94, Table2[AwayTeam], F$1)+SUMIFS(Table2[NewPointsHome],Table2[GameDate], "&lt;=" &amp; $A94, Table2[HomeTeam], F$1)</f>
        <v>32</v>
      </c>
      <c r="G94" s="145">
        <f>SUMIFS(Table2[NewPointsAway],Table2[GameDate], "&lt;=" &amp; $A94, Table2[AwayTeam], G$1)+SUMIFS(Table2[NewPointsHome],Table2[GameDate], "&lt;=" &amp; $A94, Table2[HomeTeam], G$1)</f>
        <v>28</v>
      </c>
      <c r="H94" s="145">
        <f>SUMIFS(Table2[NewPointsAway],Table2[GameDate], "&lt;=" &amp; $A94, Table2[AwayTeam], H$1)+SUMIFS(Table2[NewPointsHome],Table2[GameDate], "&lt;=" &amp; $A94, Table2[HomeTeam], H$1)</f>
        <v>30</v>
      </c>
      <c r="I94" s="145">
        <f>SUMIFS(Table2[NewPointsAway],Table2[GameDate], "&lt;=" &amp; $A94, Table2[AwayTeam], I$1)+SUMIFS(Table2[NewPointsHome],Table2[GameDate], "&lt;=" &amp; $A94, Table2[HomeTeam], I$1)</f>
        <v>48</v>
      </c>
      <c r="J94" s="145">
        <f>SUMIFS(Table2[NewPointsAway],Table2[GameDate], "&lt;=" &amp; $A94, Table2[AwayTeam], J$1)+SUMIFS(Table2[NewPointsHome],Table2[GameDate], "&lt;=" &amp; $A94, Table2[HomeTeam], J$1)</f>
        <v>45</v>
      </c>
      <c r="K94" s="145">
        <f>SUMIFS(Table2[NewPointsAway],Table2[GameDate], "&lt;=" &amp; $A94, Table2[AwayTeam], K$1)+SUMIFS(Table2[NewPointsHome],Table2[GameDate], "&lt;=" &amp; $A94, Table2[HomeTeam], K$1)</f>
        <v>35</v>
      </c>
      <c r="L94" s="145">
        <f>SUMIFS(Table2[NewPointsAway],Table2[GameDate], "&lt;=" &amp; $A94, Table2[AwayTeam], L$1)+SUMIFS(Table2[NewPointsHome],Table2[GameDate], "&lt;=" &amp; $A94, Table2[HomeTeam], L$1)</f>
        <v>31</v>
      </c>
      <c r="M94" s="145">
        <f>SUMIFS(Table2[NewPointsAway],Table2[GameDate], "&lt;=" &amp; $A94, Table2[AwayTeam], M$1)+SUMIFS(Table2[NewPointsHome],Table2[GameDate], "&lt;=" &amp; $A94, Table2[HomeTeam], M$1)</f>
        <v>30</v>
      </c>
      <c r="N94" s="145">
        <f>SUMIFS(Table2[NewPointsAway],Table2[GameDate], "&lt;=" &amp; $A94, Table2[AwayTeam], N$1)+SUMIFS(Table2[NewPointsHome],Table2[GameDate], "&lt;=" &amp; $A94, Table2[HomeTeam], N$1)</f>
        <v>35</v>
      </c>
      <c r="O94" s="145">
        <f>SUMIFS(Table2[NewPointsAway],Table2[GameDate], "&lt;=" &amp; $A94, Table2[AwayTeam], O$1)+SUMIFS(Table2[NewPointsHome],Table2[GameDate], "&lt;=" &amp; $A94, Table2[HomeTeam], O$1)</f>
        <v>37</v>
      </c>
      <c r="P94" s="145">
        <f>SUMIFS(Table2[NewPointsAway],Table2[GameDate], "&lt;=" &amp; $A94, Table2[AwayTeam], P$1)+SUMIFS(Table2[NewPointsHome],Table2[GameDate], "&lt;=" &amp; $A94, Table2[HomeTeam], P$1)</f>
        <v>33</v>
      </c>
      <c r="Q94" s="145">
        <f>SUMIFS(Table2[NewPointsAway],Table2[GameDate], "&lt;=" &amp; $A94, Table2[AwayTeam], Q$1)+SUMIFS(Table2[NewPointsHome],Table2[GameDate], "&lt;=" &amp; $A94, Table2[HomeTeam], Q$1)</f>
        <v>33</v>
      </c>
      <c r="R94" s="145">
        <f>SUMIFS(Table2[NewPointsAway],Table2[GameDate], "&lt;=" &amp; $A94, Table2[AwayTeam], R$1)+SUMIFS(Table2[NewPointsHome],Table2[GameDate], "&lt;=" &amp; $A94, Table2[HomeTeam], R$1)</f>
        <v>24</v>
      </c>
      <c r="S94" s="145">
        <f>SUMIFS(Table2[NewPointsAway],Table2[GameDate], "&lt;=" &amp; $A94, Table2[AwayTeam], S$1)+SUMIFS(Table2[NewPointsHome],Table2[GameDate], "&lt;=" &amp; $A94, Table2[HomeTeam], S$1)</f>
        <v>35</v>
      </c>
      <c r="T94" s="145">
        <f>SUMIFS(Table2[NewPointsAway],Table2[GameDate], "&lt;=" &amp; $A94, Table2[AwayTeam], T$1)+SUMIFS(Table2[NewPointsHome],Table2[GameDate], "&lt;=" &amp; $A94, Table2[HomeTeam], T$1)</f>
        <v>34</v>
      </c>
      <c r="U94" s="145">
        <f>SUMIFS(Table2[NewPointsAway],Table2[GameDate], "&lt;=" &amp; $A94, Table2[AwayTeam], U$1)+SUMIFS(Table2[NewPointsHome],Table2[GameDate], "&lt;=" &amp; $A94, Table2[HomeTeam], U$1)</f>
        <v>30</v>
      </c>
      <c r="V94" s="145">
        <f>SUMIFS(Table2[NewPointsAway],Table2[GameDate], "&lt;=" &amp; $A94, Table2[AwayTeam], V$1)+SUMIFS(Table2[NewPointsHome],Table2[GameDate], "&lt;=" &amp; $A94, Table2[HomeTeam], V$1)</f>
        <v>32</v>
      </c>
      <c r="W94" s="145">
        <f>SUMIFS(Table2[NewPointsAway],Table2[GameDate], "&lt;=" &amp; $A94, Table2[AwayTeam], W$1)+SUMIFS(Table2[NewPointsHome],Table2[GameDate], "&lt;=" &amp; $A94, Table2[HomeTeam], W$1)</f>
        <v>34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31</v>
      </c>
      <c r="Z94" s="145">
        <f>SUMIFS(Table2[NewPointsAway],Table2[GameDate], "&lt;=" &amp; $A94, Table2[AwayTeam], Z$1)+SUMIFS(Table2[NewPointsHome],Table2[GameDate], "&lt;=" &amp; $A94, Table2[HomeTeam], Z$1)</f>
        <v>30</v>
      </c>
      <c r="AA94" s="145">
        <f>SUMIFS(Table2[NewPointsAway],Table2[GameDate], "&lt;=" &amp; $A94, Table2[AwayTeam], AA$1)+SUMIFS(Table2[NewPointsHome],Table2[GameDate], "&lt;=" &amp; $A94, Table2[HomeTeam], AA$1)</f>
        <v>34</v>
      </c>
      <c r="AB94" s="145">
        <f>SUMIFS(Table2[NewPointsAway],Table2[GameDate], "&lt;=" &amp; $A94, Table2[AwayTeam], AB$1)+SUMIFS(Table2[NewPointsHome],Table2[GameDate], "&lt;=" &amp; $A94, Table2[HomeTeam], AB$1)</f>
        <v>32</v>
      </c>
      <c r="AC94" s="145">
        <f>SUMIFS(Table2[NewPointsAway],Table2[GameDate], "&lt;=" &amp; $A94, Table2[AwayTeam], AC$1)+SUMIFS(Table2[NewPointsHome],Table2[GameDate], "&lt;=" &amp; $A94, Table2[HomeTeam], AC$1)</f>
        <v>31</v>
      </c>
      <c r="AD94" s="145">
        <f>SUMIFS(Table2[NewPointsAway],Table2[GameDate], "&lt;=" &amp; $A94, Table2[AwayTeam], AD$1)+SUMIFS(Table2[NewPointsHome],Table2[GameDate], "&lt;=" &amp; $A94, Table2[HomeTeam], AD$1)</f>
        <v>25</v>
      </c>
      <c r="AE94" s="145">
        <f>SUMIFS(Table2[NewPointsAway],Table2[GameDate], "&lt;=" &amp; $A94, Table2[AwayTeam], AE$1)+SUMIFS(Table2[NewPointsHome],Table2[GameDate], "&lt;=" &amp; $A94, Table2[HomeTeam], AE$1)</f>
        <v>36</v>
      </c>
      <c r="AF94" s="145">
        <f>SUMIFS(Table2[NewPointsAway],Table2[GameDate], "&lt;=" &amp; $A94, Table2[AwayTeam], AF$1)+SUMIFS(Table2[NewPointsHome],Table2[GameDate], "&lt;=" &amp; $A94, Table2[HomeTeam], AF$1)</f>
        <v>29</v>
      </c>
      <c r="AG94" s="145">
        <f>SUMIFS(Table2[NewPointsAway],Table2[GameDate], "&lt;=" &amp; $A94, Table2[AwayTeam], AG$1)+SUMIFS(Table2[NewPointsHome],Table2[GameDate], "&lt;=" &amp; $A94, Table2[HomeTeam], AG$1)</f>
        <v>39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37</v>
      </c>
      <c r="C95" s="145">
        <f>SUMIFS(Table2[NewPointsAway],Table2[GameDate], "&lt;=" &amp; $A95, Table2[AwayTeam], C$1)+SUMIFS(Table2[NewPointsHome],Table2[GameDate], "&lt;=" &amp; $A95, Table2[HomeTeam], C$1)</f>
        <v>34</v>
      </c>
      <c r="D95" s="145">
        <f>SUMIFS(Table2[NewPointsAway],Table2[GameDate], "&lt;=" &amp; $A95, Table2[AwayTeam], D$1)+SUMIFS(Table2[NewPointsHome],Table2[GameDate], "&lt;=" &amp; $A95, Table2[HomeTeam], D$1)</f>
        <v>26</v>
      </c>
      <c r="E95" s="145">
        <f>SUMIFS(Table2[NewPointsAway],Table2[GameDate], "&lt;=" &amp; $A95, Table2[AwayTeam], E$1)+SUMIFS(Table2[NewPointsHome],Table2[GameDate], "&lt;=" &amp; $A95, Table2[HomeTeam], E$1)</f>
        <v>36</v>
      </c>
      <c r="F95" s="145">
        <f>SUMIFS(Table2[NewPointsAway],Table2[GameDate], "&lt;=" &amp; $A95, Table2[AwayTeam], F$1)+SUMIFS(Table2[NewPointsHome],Table2[GameDate], "&lt;=" &amp; $A95, Table2[HomeTeam], F$1)</f>
        <v>32</v>
      </c>
      <c r="G95" s="145">
        <f>SUMIFS(Table2[NewPointsAway],Table2[GameDate], "&lt;=" &amp; $A95, Table2[AwayTeam], G$1)+SUMIFS(Table2[NewPointsHome],Table2[GameDate], "&lt;=" &amp; $A95, Table2[HomeTeam], G$1)</f>
        <v>28</v>
      </c>
      <c r="H95" s="145">
        <f>SUMIFS(Table2[NewPointsAway],Table2[GameDate], "&lt;=" &amp; $A95, Table2[AwayTeam], H$1)+SUMIFS(Table2[NewPointsHome],Table2[GameDate], "&lt;=" &amp; $A95, Table2[HomeTeam], H$1)</f>
        <v>30</v>
      </c>
      <c r="I95" s="145">
        <f>SUMIFS(Table2[NewPointsAway],Table2[GameDate], "&lt;=" &amp; $A95, Table2[AwayTeam], I$1)+SUMIFS(Table2[NewPointsHome],Table2[GameDate], "&lt;=" &amp; $A95, Table2[HomeTeam], I$1)</f>
        <v>48</v>
      </c>
      <c r="J95" s="145">
        <f>SUMIFS(Table2[NewPointsAway],Table2[GameDate], "&lt;=" &amp; $A95, Table2[AwayTeam], J$1)+SUMIFS(Table2[NewPointsHome],Table2[GameDate], "&lt;=" &amp; $A95, Table2[HomeTeam], J$1)</f>
        <v>45</v>
      </c>
      <c r="K95" s="145">
        <f>SUMIFS(Table2[NewPointsAway],Table2[GameDate], "&lt;=" &amp; $A95, Table2[AwayTeam], K$1)+SUMIFS(Table2[NewPointsHome],Table2[GameDate], "&lt;=" &amp; $A95, Table2[HomeTeam], K$1)</f>
        <v>35</v>
      </c>
      <c r="L95" s="145">
        <f>SUMIFS(Table2[NewPointsAway],Table2[GameDate], "&lt;=" &amp; $A95, Table2[AwayTeam], L$1)+SUMIFS(Table2[NewPointsHome],Table2[GameDate], "&lt;=" &amp; $A95, Table2[HomeTeam], L$1)</f>
        <v>31</v>
      </c>
      <c r="M95" s="145">
        <f>SUMIFS(Table2[NewPointsAway],Table2[GameDate], "&lt;=" &amp; $A95, Table2[AwayTeam], M$1)+SUMIFS(Table2[NewPointsHome],Table2[GameDate], "&lt;=" &amp; $A95, Table2[HomeTeam], M$1)</f>
        <v>30</v>
      </c>
      <c r="N95" s="145">
        <f>SUMIFS(Table2[NewPointsAway],Table2[GameDate], "&lt;=" &amp; $A95, Table2[AwayTeam], N$1)+SUMIFS(Table2[NewPointsHome],Table2[GameDate], "&lt;=" &amp; $A95, Table2[HomeTeam], N$1)</f>
        <v>35</v>
      </c>
      <c r="O95" s="145">
        <f>SUMIFS(Table2[NewPointsAway],Table2[GameDate], "&lt;=" &amp; $A95, Table2[AwayTeam], O$1)+SUMIFS(Table2[NewPointsHome],Table2[GameDate], "&lt;=" &amp; $A95, Table2[HomeTeam], O$1)</f>
        <v>37</v>
      </c>
      <c r="P95" s="145">
        <f>SUMIFS(Table2[NewPointsAway],Table2[GameDate], "&lt;=" &amp; $A95, Table2[AwayTeam], P$1)+SUMIFS(Table2[NewPointsHome],Table2[GameDate], "&lt;=" &amp; $A95, Table2[HomeTeam], P$1)</f>
        <v>33</v>
      </c>
      <c r="Q95" s="145">
        <f>SUMIFS(Table2[NewPointsAway],Table2[GameDate], "&lt;=" &amp; $A95, Table2[AwayTeam], Q$1)+SUMIFS(Table2[NewPointsHome],Table2[GameDate], "&lt;=" &amp; $A95, Table2[HomeTeam], Q$1)</f>
        <v>33</v>
      </c>
      <c r="R95" s="145">
        <f>SUMIFS(Table2[NewPointsAway],Table2[GameDate], "&lt;=" &amp; $A95, Table2[AwayTeam], R$1)+SUMIFS(Table2[NewPointsHome],Table2[GameDate], "&lt;=" &amp; $A95, Table2[HomeTeam], R$1)</f>
        <v>24</v>
      </c>
      <c r="S95" s="145">
        <f>SUMIFS(Table2[NewPointsAway],Table2[GameDate], "&lt;=" &amp; $A95, Table2[AwayTeam], S$1)+SUMIFS(Table2[NewPointsHome],Table2[GameDate], "&lt;=" &amp; $A95, Table2[HomeTeam], S$1)</f>
        <v>35</v>
      </c>
      <c r="T95" s="145">
        <f>SUMIFS(Table2[NewPointsAway],Table2[GameDate], "&lt;=" &amp; $A95, Table2[AwayTeam], T$1)+SUMIFS(Table2[NewPointsHome],Table2[GameDate], "&lt;=" &amp; $A95, Table2[HomeTeam], T$1)</f>
        <v>34</v>
      </c>
      <c r="U95" s="145">
        <f>SUMIFS(Table2[NewPointsAway],Table2[GameDate], "&lt;=" &amp; $A95, Table2[AwayTeam], U$1)+SUMIFS(Table2[NewPointsHome],Table2[GameDate], "&lt;=" &amp; $A95, Table2[HomeTeam], U$1)</f>
        <v>30</v>
      </c>
      <c r="V95" s="145">
        <f>SUMIFS(Table2[NewPointsAway],Table2[GameDate], "&lt;=" &amp; $A95, Table2[AwayTeam], V$1)+SUMIFS(Table2[NewPointsHome],Table2[GameDate], "&lt;=" &amp; $A95, Table2[HomeTeam], V$1)</f>
        <v>32</v>
      </c>
      <c r="W95" s="145">
        <f>SUMIFS(Table2[NewPointsAway],Table2[GameDate], "&lt;=" &amp; $A95, Table2[AwayTeam], W$1)+SUMIFS(Table2[NewPointsHome],Table2[GameDate], "&lt;=" &amp; $A95, Table2[HomeTeam], W$1)</f>
        <v>34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31</v>
      </c>
      <c r="Z95" s="145">
        <f>SUMIFS(Table2[NewPointsAway],Table2[GameDate], "&lt;=" &amp; $A95, Table2[AwayTeam], Z$1)+SUMIFS(Table2[NewPointsHome],Table2[GameDate], "&lt;=" &amp; $A95, Table2[HomeTeam], Z$1)</f>
        <v>30</v>
      </c>
      <c r="AA95" s="145">
        <f>SUMIFS(Table2[NewPointsAway],Table2[GameDate], "&lt;=" &amp; $A95, Table2[AwayTeam], AA$1)+SUMIFS(Table2[NewPointsHome],Table2[GameDate], "&lt;=" &amp; $A95, Table2[HomeTeam], AA$1)</f>
        <v>34</v>
      </c>
      <c r="AB95" s="145">
        <f>SUMIFS(Table2[NewPointsAway],Table2[GameDate], "&lt;=" &amp; $A95, Table2[AwayTeam], AB$1)+SUMIFS(Table2[NewPointsHome],Table2[GameDate], "&lt;=" &amp; $A95, Table2[HomeTeam], AB$1)</f>
        <v>32</v>
      </c>
      <c r="AC95" s="145">
        <f>SUMIFS(Table2[NewPointsAway],Table2[GameDate], "&lt;=" &amp; $A95, Table2[AwayTeam], AC$1)+SUMIFS(Table2[NewPointsHome],Table2[GameDate], "&lt;=" &amp; $A95, Table2[HomeTeam], AC$1)</f>
        <v>31</v>
      </c>
      <c r="AD95" s="145">
        <f>SUMIFS(Table2[NewPointsAway],Table2[GameDate], "&lt;=" &amp; $A95, Table2[AwayTeam], AD$1)+SUMIFS(Table2[NewPointsHome],Table2[GameDate], "&lt;=" &amp; $A95, Table2[HomeTeam], AD$1)</f>
        <v>25</v>
      </c>
      <c r="AE95" s="145">
        <f>SUMIFS(Table2[NewPointsAway],Table2[GameDate], "&lt;=" &amp; $A95, Table2[AwayTeam], AE$1)+SUMIFS(Table2[NewPointsHome],Table2[GameDate], "&lt;=" &amp; $A95, Table2[HomeTeam], AE$1)</f>
        <v>36</v>
      </c>
      <c r="AF95" s="145">
        <f>SUMIFS(Table2[NewPointsAway],Table2[GameDate], "&lt;=" &amp; $A95, Table2[AwayTeam], AF$1)+SUMIFS(Table2[NewPointsHome],Table2[GameDate], "&lt;=" &amp; $A95, Table2[HomeTeam], AF$1)</f>
        <v>29</v>
      </c>
      <c r="AG95" s="145">
        <f>SUMIFS(Table2[NewPointsAway],Table2[GameDate], "&lt;=" &amp; $A95, Table2[AwayTeam], AG$1)+SUMIFS(Table2[NewPointsHome],Table2[GameDate], "&lt;=" &amp; $A95, Table2[HomeTeam], AG$1)</f>
        <v>39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37</v>
      </c>
      <c r="C96" s="145">
        <f>SUMIFS(Table2[NewPointsAway],Table2[GameDate], "&lt;=" &amp; $A96, Table2[AwayTeam], C$1)+SUMIFS(Table2[NewPointsHome],Table2[GameDate], "&lt;=" &amp; $A96, Table2[HomeTeam], C$1)</f>
        <v>34</v>
      </c>
      <c r="D96" s="145">
        <f>SUMIFS(Table2[NewPointsAway],Table2[GameDate], "&lt;=" &amp; $A96, Table2[AwayTeam], D$1)+SUMIFS(Table2[NewPointsHome],Table2[GameDate], "&lt;=" &amp; $A96, Table2[HomeTeam], D$1)</f>
        <v>26</v>
      </c>
      <c r="E96" s="145">
        <f>SUMIFS(Table2[NewPointsAway],Table2[GameDate], "&lt;=" &amp; $A96, Table2[AwayTeam], E$1)+SUMIFS(Table2[NewPointsHome],Table2[GameDate], "&lt;=" &amp; $A96, Table2[HomeTeam], E$1)</f>
        <v>36</v>
      </c>
      <c r="F96" s="145">
        <f>SUMIFS(Table2[NewPointsAway],Table2[GameDate], "&lt;=" &amp; $A96, Table2[AwayTeam], F$1)+SUMIFS(Table2[NewPointsHome],Table2[GameDate], "&lt;=" &amp; $A96, Table2[HomeTeam], F$1)</f>
        <v>32</v>
      </c>
      <c r="G96" s="145">
        <f>SUMIFS(Table2[NewPointsAway],Table2[GameDate], "&lt;=" &amp; $A96, Table2[AwayTeam], G$1)+SUMIFS(Table2[NewPointsHome],Table2[GameDate], "&lt;=" &amp; $A96, Table2[HomeTeam], G$1)</f>
        <v>28</v>
      </c>
      <c r="H96" s="145">
        <f>SUMIFS(Table2[NewPointsAway],Table2[GameDate], "&lt;=" &amp; $A96, Table2[AwayTeam], H$1)+SUMIFS(Table2[NewPointsHome],Table2[GameDate], "&lt;=" &amp; $A96, Table2[HomeTeam], H$1)</f>
        <v>30</v>
      </c>
      <c r="I96" s="145">
        <f>SUMIFS(Table2[NewPointsAway],Table2[GameDate], "&lt;=" &amp; $A96, Table2[AwayTeam], I$1)+SUMIFS(Table2[NewPointsHome],Table2[GameDate], "&lt;=" &amp; $A96, Table2[HomeTeam], I$1)</f>
        <v>48</v>
      </c>
      <c r="J96" s="145">
        <f>SUMIFS(Table2[NewPointsAway],Table2[GameDate], "&lt;=" &amp; $A96, Table2[AwayTeam], J$1)+SUMIFS(Table2[NewPointsHome],Table2[GameDate], "&lt;=" &amp; $A96, Table2[HomeTeam], J$1)</f>
        <v>45</v>
      </c>
      <c r="K96" s="145">
        <f>SUMIFS(Table2[NewPointsAway],Table2[GameDate], "&lt;=" &amp; $A96, Table2[AwayTeam], K$1)+SUMIFS(Table2[NewPointsHome],Table2[GameDate], "&lt;=" &amp; $A96, Table2[HomeTeam], K$1)</f>
        <v>35</v>
      </c>
      <c r="L96" s="145">
        <f>SUMIFS(Table2[NewPointsAway],Table2[GameDate], "&lt;=" &amp; $A96, Table2[AwayTeam], L$1)+SUMIFS(Table2[NewPointsHome],Table2[GameDate], "&lt;=" &amp; $A96, Table2[HomeTeam], L$1)</f>
        <v>31</v>
      </c>
      <c r="M96" s="145">
        <f>SUMIFS(Table2[NewPointsAway],Table2[GameDate], "&lt;=" &amp; $A96, Table2[AwayTeam], M$1)+SUMIFS(Table2[NewPointsHome],Table2[GameDate], "&lt;=" &amp; $A96, Table2[HomeTeam], M$1)</f>
        <v>30</v>
      </c>
      <c r="N96" s="145">
        <f>SUMIFS(Table2[NewPointsAway],Table2[GameDate], "&lt;=" &amp; $A96, Table2[AwayTeam], N$1)+SUMIFS(Table2[NewPointsHome],Table2[GameDate], "&lt;=" &amp; $A96, Table2[HomeTeam], N$1)</f>
        <v>35</v>
      </c>
      <c r="O96" s="145">
        <f>SUMIFS(Table2[NewPointsAway],Table2[GameDate], "&lt;=" &amp; $A96, Table2[AwayTeam], O$1)+SUMIFS(Table2[NewPointsHome],Table2[GameDate], "&lt;=" &amp; $A96, Table2[HomeTeam], O$1)</f>
        <v>37</v>
      </c>
      <c r="P96" s="145">
        <f>SUMIFS(Table2[NewPointsAway],Table2[GameDate], "&lt;=" &amp; $A96, Table2[AwayTeam], P$1)+SUMIFS(Table2[NewPointsHome],Table2[GameDate], "&lt;=" &amp; $A96, Table2[HomeTeam], P$1)</f>
        <v>33</v>
      </c>
      <c r="Q96" s="145">
        <f>SUMIFS(Table2[NewPointsAway],Table2[GameDate], "&lt;=" &amp; $A96, Table2[AwayTeam], Q$1)+SUMIFS(Table2[NewPointsHome],Table2[GameDate], "&lt;=" &amp; $A96, Table2[HomeTeam], Q$1)</f>
        <v>33</v>
      </c>
      <c r="R96" s="145">
        <f>SUMIFS(Table2[NewPointsAway],Table2[GameDate], "&lt;=" &amp; $A96, Table2[AwayTeam], R$1)+SUMIFS(Table2[NewPointsHome],Table2[GameDate], "&lt;=" &amp; $A96, Table2[HomeTeam], R$1)</f>
        <v>24</v>
      </c>
      <c r="S96" s="145">
        <f>SUMIFS(Table2[NewPointsAway],Table2[GameDate], "&lt;=" &amp; $A96, Table2[AwayTeam], S$1)+SUMIFS(Table2[NewPointsHome],Table2[GameDate], "&lt;=" &amp; $A96, Table2[HomeTeam], S$1)</f>
        <v>35</v>
      </c>
      <c r="T96" s="145">
        <f>SUMIFS(Table2[NewPointsAway],Table2[GameDate], "&lt;=" &amp; $A96, Table2[AwayTeam], T$1)+SUMIFS(Table2[NewPointsHome],Table2[GameDate], "&lt;=" &amp; $A96, Table2[HomeTeam], T$1)</f>
        <v>34</v>
      </c>
      <c r="U96" s="145">
        <f>SUMIFS(Table2[NewPointsAway],Table2[GameDate], "&lt;=" &amp; $A96, Table2[AwayTeam], U$1)+SUMIFS(Table2[NewPointsHome],Table2[GameDate], "&lt;=" &amp; $A96, Table2[HomeTeam], U$1)</f>
        <v>30</v>
      </c>
      <c r="V96" s="145">
        <f>SUMIFS(Table2[NewPointsAway],Table2[GameDate], "&lt;=" &amp; $A96, Table2[AwayTeam], V$1)+SUMIFS(Table2[NewPointsHome],Table2[GameDate], "&lt;=" &amp; $A96, Table2[HomeTeam], V$1)</f>
        <v>32</v>
      </c>
      <c r="W96" s="145">
        <f>SUMIFS(Table2[NewPointsAway],Table2[GameDate], "&lt;=" &amp; $A96, Table2[AwayTeam], W$1)+SUMIFS(Table2[NewPointsHome],Table2[GameDate], "&lt;=" &amp; $A96, Table2[HomeTeam], W$1)</f>
        <v>34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31</v>
      </c>
      <c r="Z96" s="145">
        <f>SUMIFS(Table2[NewPointsAway],Table2[GameDate], "&lt;=" &amp; $A96, Table2[AwayTeam], Z$1)+SUMIFS(Table2[NewPointsHome],Table2[GameDate], "&lt;=" &amp; $A96, Table2[HomeTeam], Z$1)</f>
        <v>30</v>
      </c>
      <c r="AA96" s="145">
        <f>SUMIFS(Table2[NewPointsAway],Table2[GameDate], "&lt;=" &amp; $A96, Table2[AwayTeam], AA$1)+SUMIFS(Table2[NewPointsHome],Table2[GameDate], "&lt;=" &amp; $A96, Table2[HomeTeam], AA$1)</f>
        <v>34</v>
      </c>
      <c r="AB96" s="145">
        <f>SUMIFS(Table2[NewPointsAway],Table2[GameDate], "&lt;=" &amp; $A96, Table2[AwayTeam], AB$1)+SUMIFS(Table2[NewPointsHome],Table2[GameDate], "&lt;=" &amp; $A96, Table2[HomeTeam], AB$1)</f>
        <v>32</v>
      </c>
      <c r="AC96" s="145">
        <f>SUMIFS(Table2[NewPointsAway],Table2[GameDate], "&lt;=" &amp; $A96, Table2[AwayTeam], AC$1)+SUMIFS(Table2[NewPointsHome],Table2[GameDate], "&lt;=" &amp; $A96, Table2[HomeTeam], AC$1)</f>
        <v>31</v>
      </c>
      <c r="AD96" s="145">
        <f>SUMIFS(Table2[NewPointsAway],Table2[GameDate], "&lt;=" &amp; $A96, Table2[AwayTeam], AD$1)+SUMIFS(Table2[NewPointsHome],Table2[GameDate], "&lt;=" &amp; $A96, Table2[HomeTeam], AD$1)</f>
        <v>25</v>
      </c>
      <c r="AE96" s="145">
        <f>SUMIFS(Table2[NewPointsAway],Table2[GameDate], "&lt;=" &amp; $A96, Table2[AwayTeam], AE$1)+SUMIFS(Table2[NewPointsHome],Table2[GameDate], "&lt;=" &amp; $A96, Table2[HomeTeam], AE$1)</f>
        <v>36</v>
      </c>
      <c r="AF96" s="145">
        <f>SUMIFS(Table2[NewPointsAway],Table2[GameDate], "&lt;=" &amp; $A96, Table2[AwayTeam], AF$1)+SUMIFS(Table2[NewPointsHome],Table2[GameDate], "&lt;=" &amp; $A96, Table2[HomeTeam], AF$1)</f>
        <v>29</v>
      </c>
      <c r="AG96" s="145">
        <f>SUMIFS(Table2[NewPointsAway],Table2[GameDate], "&lt;=" &amp; $A96, Table2[AwayTeam], AG$1)+SUMIFS(Table2[NewPointsHome],Table2[GameDate], "&lt;=" &amp; $A96, Table2[HomeTeam], AG$1)</f>
        <v>39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37</v>
      </c>
      <c r="C97" s="145">
        <f>SUMIFS(Table2[NewPointsAway],Table2[GameDate], "&lt;=" &amp; $A97, Table2[AwayTeam], C$1)+SUMIFS(Table2[NewPointsHome],Table2[GameDate], "&lt;=" &amp; $A97, Table2[HomeTeam], C$1)</f>
        <v>34</v>
      </c>
      <c r="D97" s="145">
        <f>SUMIFS(Table2[NewPointsAway],Table2[GameDate], "&lt;=" &amp; $A97, Table2[AwayTeam], D$1)+SUMIFS(Table2[NewPointsHome],Table2[GameDate], "&lt;=" &amp; $A97, Table2[HomeTeam], D$1)</f>
        <v>26</v>
      </c>
      <c r="E97" s="145">
        <f>SUMIFS(Table2[NewPointsAway],Table2[GameDate], "&lt;=" &amp; $A97, Table2[AwayTeam], E$1)+SUMIFS(Table2[NewPointsHome],Table2[GameDate], "&lt;=" &amp; $A97, Table2[HomeTeam], E$1)</f>
        <v>36</v>
      </c>
      <c r="F97" s="145">
        <f>SUMIFS(Table2[NewPointsAway],Table2[GameDate], "&lt;=" &amp; $A97, Table2[AwayTeam], F$1)+SUMIFS(Table2[NewPointsHome],Table2[GameDate], "&lt;=" &amp; $A97, Table2[HomeTeam], F$1)</f>
        <v>32</v>
      </c>
      <c r="G97" s="145">
        <f>SUMIFS(Table2[NewPointsAway],Table2[GameDate], "&lt;=" &amp; $A97, Table2[AwayTeam], G$1)+SUMIFS(Table2[NewPointsHome],Table2[GameDate], "&lt;=" &amp; $A97, Table2[HomeTeam], G$1)</f>
        <v>28</v>
      </c>
      <c r="H97" s="145">
        <f>SUMIFS(Table2[NewPointsAway],Table2[GameDate], "&lt;=" &amp; $A97, Table2[AwayTeam], H$1)+SUMIFS(Table2[NewPointsHome],Table2[GameDate], "&lt;=" &amp; $A97, Table2[HomeTeam], H$1)</f>
        <v>30</v>
      </c>
      <c r="I97" s="145">
        <f>SUMIFS(Table2[NewPointsAway],Table2[GameDate], "&lt;=" &amp; $A97, Table2[AwayTeam], I$1)+SUMIFS(Table2[NewPointsHome],Table2[GameDate], "&lt;=" &amp; $A97, Table2[HomeTeam], I$1)</f>
        <v>48</v>
      </c>
      <c r="J97" s="145">
        <f>SUMIFS(Table2[NewPointsAway],Table2[GameDate], "&lt;=" &amp; $A97, Table2[AwayTeam], J$1)+SUMIFS(Table2[NewPointsHome],Table2[GameDate], "&lt;=" &amp; $A97, Table2[HomeTeam], J$1)</f>
        <v>45</v>
      </c>
      <c r="K97" s="145">
        <f>SUMIFS(Table2[NewPointsAway],Table2[GameDate], "&lt;=" &amp; $A97, Table2[AwayTeam], K$1)+SUMIFS(Table2[NewPointsHome],Table2[GameDate], "&lt;=" &amp; $A97, Table2[HomeTeam], K$1)</f>
        <v>35</v>
      </c>
      <c r="L97" s="145">
        <f>SUMIFS(Table2[NewPointsAway],Table2[GameDate], "&lt;=" &amp; $A97, Table2[AwayTeam], L$1)+SUMIFS(Table2[NewPointsHome],Table2[GameDate], "&lt;=" &amp; $A97, Table2[HomeTeam], L$1)</f>
        <v>31</v>
      </c>
      <c r="M97" s="145">
        <f>SUMIFS(Table2[NewPointsAway],Table2[GameDate], "&lt;=" &amp; $A97, Table2[AwayTeam], M$1)+SUMIFS(Table2[NewPointsHome],Table2[GameDate], "&lt;=" &amp; $A97, Table2[HomeTeam], M$1)</f>
        <v>30</v>
      </c>
      <c r="N97" s="145">
        <f>SUMIFS(Table2[NewPointsAway],Table2[GameDate], "&lt;=" &amp; $A97, Table2[AwayTeam], N$1)+SUMIFS(Table2[NewPointsHome],Table2[GameDate], "&lt;=" &amp; $A97, Table2[HomeTeam], N$1)</f>
        <v>35</v>
      </c>
      <c r="O97" s="145">
        <f>SUMIFS(Table2[NewPointsAway],Table2[GameDate], "&lt;=" &amp; $A97, Table2[AwayTeam], O$1)+SUMIFS(Table2[NewPointsHome],Table2[GameDate], "&lt;=" &amp; $A97, Table2[HomeTeam], O$1)</f>
        <v>37</v>
      </c>
      <c r="P97" s="145">
        <f>SUMIFS(Table2[NewPointsAway],Table2[GameDate], "&lt;=" &amp; $A97, Table2[AwayTeam], P$1)+SUMIFS(Table2[NewPointsHome],Table2[GameDate], "&lt;=" &amp; $A97, Table2[HomeTeam], P$1)</f>
        <v>33</v>
      </c>
      <c r="Q97" s="145">
        <f>SUMIFS(Table2[NewPointsAway],Table2[GameDate], "&lt;=" &amp; $A97, Table2[AwayTeam], Q$1)+SUMIFS(Table2[NewPointsHome],Table2[GameDate], "&lt;=" &amp; $A97, Table2[HomeTeam], Q$1)</f>
        <v>33</v>
      </c>
      <c r="R97" s="145">
        <f>SUMIFS(Table2[NewPointsAway],Table2[GameDate], "&lt;=" &amp; $A97, Table2[AwayTeam], R$1)+SUMIFS(Table2[NewPointsHome],Table2[GameDate], "&lt;=" &amp; $A97, Table2[HomeTeam], R$1)</f>
        <v>24</v>
      </c>
      <c r="S97" s="145">
        <f>SUMIFS(Table2[NewPointsAway],Table2[GameDate], "&lt;=" &amp; $A97, Table2[AwayTeam], S$1)+SUMIFS(Table2[NewPointsHome],Table2[GameDate], "&lt;=" &amp; $A97, Table2[HomeTeam], S$1)</f>
        <v>35</v>
      </c>
      <c r="T97" s="145">
        <f>SUMIFS(Table2[NewPointsAway],Table2[GameDate], "&lt;=" &amp; $A97, Table2[AwayTeam], T$1)+SUMIFS(Table2[NewPointsHome],Table2[GameDate], "&lt;=" &amp; $A97, Table2[HomeTeam], T$1)</f>
        <v>34</v>
      </c>
      <c r="U97" s="145">
        <f>SUMIFS(Table2[NewPointsAway],Table2[GameDate], "&lt;=" &amp; $A97, Table2[AwayTeam], U$1)+SUMIFS(Table2[NewPointsHome],Table2[GameDate], "&lt;=" &amp; $A97, Table2[HomeTeam], U$1)</f>
        <v>30</v>
      </c>
      <c r="V97" s="145">
        <f>SUMIFS(Table2[NewPointsAway],Table2[GameDate], "&lt;=" &amp; $A97, Table2[AwayTeam], V$1)+SUMIFS(Table2[NewPointsHome],Table2[GameDate], "&lt;=" &amp; $A97, Table2[HomeTeam], V$1)</f>
        <v>32</v>
      </c>
      <c r="W97" s="145">
        <f>SUMIFS(Table2[NewPointsAway],Table2[GameDate], "&lt;=" &amp; $A97, Table2[AwayTeam], W$1)+SUMIFS(Table2[NewPointsHome],Table2[GameDate], "&lt;=" &amp; $A97, Table2[HomeTeam], W$1)</f>
        <v>34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31</v>
      </c>
      <c r="Z97" s="145">
        <f>SUMIFS(Table2[NewPointsAway],Table2[GameDate], "&lt;=" &amp; $A97, Table2[AwayTeam], Z$1)+SUMIFS(Table2[NewPointsHome],Table2[GameDate], "&lt;=" &amp; $A97, Table2[HomeTeam], Z$1)</f>
        <v>30</v>
      </c>
      <c r="AA97" s="145">
        <f>SUMIFS(Table2[NewPointsAway],Table2[GameDate], "&lt;=" &amp; $A97, Table2[AwayTeam], AA$1)+SUMIFS(Table2[NewPointsHome],Table2[GameDate], "&lt;=" &amp; $A97, Table2[HomeTeam], AA$1)</f>
        <v>34</v>
      </c>
      <c r="AB97" s="145">
        <f>SUMIFS(Table2[NewPointsAway],Table2[GameDate], "&lt;=" &amp; $A97, Table2[AwayTeam], AB$1)+SUMIFS(Table2[NewPointsHome],Table2[GameDate], "&lt;=" &amp; $A97, Table2[HomeTeam], AB$1)</f>
        <v>32</v>
      </c>
      <c r="AC97" s="145">
        <f>SUMIFS(Table2[NewPointsAway],Table2[GameDate], "&lt;=" &amp; $A97, Table2[AwayTeam], AC$1)+SUMIFS(Table2[NewPointsHome],Table2[GameDate], "&lt;=" &amp; $A97, Table2[HomeTeam], AC$1)</f>
        <v>31</v>
      </c>
      <c r="AD97" s="145">
        <f>SUMIFS(Table2[NewPointsAway],Table2[GameDate], "&lt;=" &amp; $A97, Table2[AwayTeam], AD$1)+SUMIFS(Table2[NewPointsHome],Table2[GameDate], "&lt;=" &amp; $A97, Table2[HomeTeam], AD$1)</f>
        <v>25</v>
      </c>
      <c r="AE97" s="145">
        <f>SUMIFS(Table2[NewPointsAway],Table2[GameDate], "&lt;=" &amp; $A97, Table2[AwayTeam], AE$1)+SUMIFS(Table2[NewPointsHome],Table2[GameDate], "&lt;=" &amp; $A97, Table2[HomeTeam], AE$1)</f>
        <v>36</v>
      </c>
      <c r="AF97" s="145">
        <f>SUMIFS(Table2[NewPointsAway],Table2[GameDate], "&lt;=" &amp; $A97, Table2[AwayTeam], AF$1)+SUMIFS(Table2[NewPointsHome],Table2[GameDate], "&lt;=" &amp; $A97, Table2[HomeTeam], AF$1)</f>
        <v>29</v>
      </c>
      <c r="AG97" s="145">
        <f>SUMIFS(Table2[NewPointsAway],Table2[GameDate], "&lt;=" &amp; $A97, Table2[AwayTeam], AG$1)+SUMIFS(Table2[NewPointsHome],Table2[GameDate], "&lt;=" &amp; $A97, Table2[HomeTeam], AG$1)</f>
        <v>39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37</v>
      </c>
      <c r="C98" s="145">
        <f>SUMIFS(Table2[NewPointsAway],Table2[GameDate], "&lt;=" &amp; $A98, Table2[AwayTeam], C$1)+SUMIFS(Table2[NewPointsHome],Table2[GameDate], "&lt;=" &amp; $A98, Table2[HomeTeam], C$1)</f>
        <v>34</v>
      </c>
      <c r="D98" s="145">
        <f>SUMIFS(Table2[NewPointsAway],Table2[GameDate], "&lt;=" &amp; $A98, Table2[AwayTeam], D$1)+SUMIFS(Table2[NewPointsHome],Table2[GameDate], "&lt;=" &amp; $A98, Table2[HomeTeam], D$1)</f>
        <v>26</v>
      </c>
      <c r="E98" s="145">
        <f>SUMIFS(Table2[NewPointsAway],Table2[GameDate], "&lt;=" &amp; $A98, Table2[AwayTeam], E$1)+SUMIFS(Table2[NewPointsHome],Table2[GameDate], "&lt;=" &amp; $A98, Table2[HomeTeam], E$1)</f>
        <v>36</v>
      </c>
      <c r="F98" s="145">
        <f>SUMIFS(Table2[NewPointsAway],Table2[GameDate], "&lt;=" &amp; $A98, Table2[AwayTeam], F$1)+SUMIFS(Table2[NewPointsHome],Table2[GameDate], "&lt;=" &amp; $A98, Table2[HomeTeam], F$1)</f>
        <v>32</v>
      </c>
      <c r="G98" s="145">
        <f>SUMIFS(Table2[NewPointsAway],Table2[GameDate], "&lt;=" &amp; $A98, Table2[AwayTeam], G$1)+SUMIFS(Table2[NewPointsHome],Table2[GameDate], "&lt;=" &amp; $A98, Table2[HomeTeam], G$1)</f>
        <v>28</v>
      </c>
      <c r="H98" s="145">
        <f>SUMIFS(Table2[NewPointsAway],Table2[GameDate], "&lt;=" &amp; $A98, Table2[AwayTeam], H$1)+SUMIFS(Table2[NewPointsHome],Table2[GameDate], "&lt;=" &amp; $A98, Table2[HomeTeam], H$1)</f>
        <v>30</v>
      </c>
      <c r="I98" s="145">
        <f>SUMIFS(Table2[NewPointsAway],Table2[GameDate], "&lt;=" &amp; $A98, Table2[AwayTeam], I$1)+SUMIFS(Table2[NewPointsHome],Table2[GameDate], "&lt;=" &amp; $A98, Table2[HomeTeam], I$1)</f>
        <v>48</v>
      </c>
      <c r="J98" s="145">
        <f>SUMIFS(Table2[NewPointsAway],Table2[GameDate], "&lt;=" &amp; $A98, Table2[AwayTeam], J$1)+SUMIFS(Table2[NewPointsHome],Table2[GameDate], "&lt;=" &amp; $A98, Table2[HomeTeam], J$1)</f>
        <v>45</v>
      </c>
      <c r="K98" s="145">
        <f>SUMIFS(Table2[NewPointsAway],Table2[GameDate], "&lt;=" &amp; $A98, Table2[AwayTeam], K$1)+SUMIFS(Table2[NewPointsHome],Table2[GameDate], "&lt;=" &amp; $A98, Table2[HomeTeam], K$1)</f>
        <v>35</v>
      </c>
      <c r="L98" s="145">
        <f>SUMIFS(Table2[NewPointsAway],Table2[GameDate], "&lt;=" &amp; $A98, Table2[AwayTeam], L$1)+SUMIFS(Table2[NewPointsHome],Table2[GameDate], "&lt;=" &amp; $A98, Table2[HomeTeam], L$1)</f>
        <v>31</v>
      </c>
      <c r="M98" s="145">
        <f>SUMIFS(Table2[NewPointsAway],Table2[GameDate], "&lt;=" &amp; $A98, Table2[AwayTeam], M$1)+SUMIFS(Table2[NewPointsHome],Table2[GameDate], "&lt;=" &amp; $A98, Table2[HomeTeam], M$1)</f>
        <v>30</v>
      </c>
      <c r="N98" s="145">
        <f>SUMIFS(Table2[NewPointsAway],Table2[GameDate], "&lt;=" &amp; $A98, Table2[AwayTeam], N$1)+SUMIFS(Table2[NewPointsHome],Table2[GameDate], "&lt;=" &amp; $A98, Table2[HomeTeam], N$1)</f>
        <v>35</v>
      </c>
      <c r="O98" s="145">
        <f>SUMIFS(Table2[NewPointsAway],Table2[GameDate], "&lt;=" &amp; $A98, Table2[AwayTeam], O$1)+SUMIFS(Table2[NewPointsHome],Table2[GameDate], "&lt;=" &amp; $A98, Table2[HomeTeam], O$1)</f>
        <v>37</v>
      </c>
      <c r="P98" s="145">
        <f>SUMIFS(Table2[NewPointsAway],Table2[GameDate], "&lt;=" &amp; $A98, Table2[AwayTeam], P$1)+SUMIFS(Table2[NewPointsHome],Table2[GameDate], "&lt;=" &amp; $A98, Table2[HomeTeam], P$1)</f>
        <v>33</v>
      </c>
      <c r="Q98" s="145">
        <f>SUMIFS(Table2[NewPointsAway],Table2[GameDate], "&lt;=" &amp; $A98, Table2[AwayTeam], Q$1)+SUMIFS(Table2[NewPointsHome],Table2[GameDate], "&lt;=" &amp; $A98, Table2[HomeTeam], Q$1)</f>
        <v>33</v>
      </c>
      <c r="R98" s="145">
        <f>SUMIFS(Table2[NewPointsAway],Table2[GameDate], "&lt;=" &amp; $A98, Table2[AwayTeam], R$1)+SUMIFS(Table2[NewPointsHome],Table2[GameDate], "&lt;=" &amp; $A98, Table2[HomeTeam], R$1)</f>
        <v>24</v>
      </c>
      <c r="S98" s="145">
        <f>SUMIFS(Table2[NewPointsAway],Table2[GameDate], "&lt;=" &amp; $A98, Table2[AwayTeam], S$1)+SUMIFS(Table2[NewPointsHome],Table2[GameDate], "&lt;=" &amp; $A98, Table2[HomeTeam], S$1)</f>
        <v>35</v>
      </c>
      <c r="T98" s="145">
        <f>SUMIFS(Table2[NewPointsAway],Table2[GameDate], "&lt;=" &amp; $A98, Table2[AwayTeam], T$1)+SUMIFS(Table2[NewPointsHome],Table2[GameDate], "&lt;=" &amp; $A98, Table2[HomeTeam], T$1)</f>
        <v>34</v>
      </c>
      <c r="U98" s="145">
        <f>SUMIFS(Table2[NewPointsAway],Table2[GameDate], "&lt;=" &amp; $A98, Table2[AwayTeam], U$1)+SUMIFS(Table2[NewPointsHome],Table2[GameDate], "&lt;=" &amp; $A98, Table2[HomeTeam], U$1)</f>
        <v>30</v>
      </c>
      <c r="V98" s="145">
        <f>SUMIFS(Table2[NewPointsAway],Table2[GameDate], "&lt;=" &amp; $A98, Table2[AwayTeam], V$1)+SUMIFS(Table2[NewPointsHome],Table2[GameDate], "&lt;=" &amp; $A98, Table2[HomeTeam], V$1)</f>
        <v>32</v>
      </c>
      <c r="W98" s="145">
        <f>SUMIFS(Table2[NewPointsAway],Table2[GameDate], "&lt;=" &amp; $A98, Table2[AwayTeam], W$1)+SUMIFS(Table2[NewPointsHome],Table2[GameDate], "&lt;=" &amp; $A98, Table2[HomeTeam], W$1)</f>
        <v>34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31</v>
      </c>
      <c r="Z98" s="145">
        <f>SUMIFS(Table2[NewPointsAway],Table2[GameDate], "&lt;=" &amp; $A98, Table2[AwayTeam], Z$1)+SUMIFS(Table2[NewPointsHome],Table2[GameDate], "&lt;=" &amp; $A98, Table2[HomeTeam], Z$1)</f>
        <v>30</v>
      </c>
      <c r="AA98" s="145">
        <f>SUMIFS(Table2[NewPointsAway],Table2[GameDate], "&lt;=" &amp; $A98, Table2[AwayTeam], AA$1)+SUMIFS(Table2[NewPointsHome],Table2[GameDate], "&lt;=" &amp; $A98, Table2[HomeTeam], AA$1)</f>
        <v>34</v>
      </c>
      <c r="AB98" s="145">
        <f>SUMIFS(Table2[NewPointsAway],Table2[GameDate], "&lt;=" &amp; $A98, Table2[AwayTeam], AB$1)+SUMIFS(Table2[NewPointsHome],Table2[GameDate], "&lt;=" &amp; $A98, Table2[HomeTeam], AB$1)</f>
        <v>32</v>
      </c>
      <c r="AC98" s="145">
        <f>SUMIFS(Table2[NewPointsAway],Table2[GameDate], "&lt;=" &amp; $A98, Table2[AwayTeam], AC$1)+SUMIFS(Table2[NewPointsHome],Table2[GameDate], "&lt;=" &amp; $A98, Table2[HomeTeam], AC$1)</f>
        <v>31</v>
      </c>
      <c r="AD98" s="145">
        <f>SUMIFS(Table2[NewPointsAway],Table2[GameDate], "&lt;=" &amp; $A98, Table2[AwayTeam], AD$1)+SUMIFS(Table2[NewPointsHome],Table2[GameDate], "&lt;=" &amp; $A98, Table2[HomeTeam], AD$1)</f>
        <v>25</v>
      </c>
      <c r="AE98" s="145">
        <f>SUMIFS(Table2[NewPointsAway],Table2[GameDate], "&lt;=" &amp; $A98, Table2[AwayTeam], AE$1)+SUMIFS(Table2[NewPointsHome],Table2[GameDate], "&lt;=" &amp; $A98, Table2[HomeTeam], AE$1)</f>
        <v>36</v>
      </c>
      <c r="AF98" s="145">
        <f>SUMIFS(Table2[NewPointsAway],Table2[GameDate], "&lt;=" &amp; $A98, Table2[AwayTeam], AF$1)+SUMIFS(Table2[NewPointsHome],Table2[GameDate], "&lt;=" &amp; $A98, Table2[HomeTeam], AF$1)</f>
        <v>29</v>
      </c>
      <c r="AG98" s="145">
        <f>SUMIFS(Table2[NewPointsAway],Table2[GameDate], "&lt;=" &amp; $A98, Table2[AwayTeam], AG$1)+SUMIFS(Table2[NewPointsHome],Table2[GameDate], "&lt;=" &amp; $A98, Table2[HomeTeam], AG$1)</f>
        <v>39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37</v>
      </c>
      <c r="C99" s="145">
        <f>SUMIFS(Table2[NewPointsAway],Table2[GameDate], "&lt;=" &amp; $A99, Table2[AwayTeam], C$1)+SUMIFS(Table2[NewPointsHome],Table2[GameDate], "&lt;=" &amp; $A99, Table2[HomeTeam], C$1)</f>
        <v>34</v>
      </c>
      <c r="D99" s="145">
        <f>SUMIFS(Table2[NewPointsAway],Table2[GameDate], "&lt;=" &amp; $A99, Table2[AwayTeam], D$1)+SUMIFS(Table2[NewPointsHome],Table2[GameDate], "&lt;=" &amp; $A99, Table2[HomeTeam], D$1)</f>
        <v>26</v>
      </c>
      <c r="E99" s="145">
        <f>SUMIFS(Table2[NewPointsAway],Table2[GameDate], "&lt;=" &amp; $A99, Table2[AwayTeam], E$1)+SUMIFS(Table2[NewPointsHome],Table2[GameDate], "&lt;=" &amp; $A99, Table2[HomeTeam], E$1)</f>
        <v>36</v>
      </c>
      <c r="F99" s="145">
        <f>SUMIFS(Table2[NewPointsAway],Table2[GameDate], "&lt;=" &amp; $A99, Table2[AwayTeam], F$1)+SUMIFS(Table2[NewPointsHome],Table2[GameDate], "&lt;=" &amp; $A99, Table2[HomeTeam], F$1)</f>
        <v>32</v>
      </c>
      <c r="G99" s="145">
        <f>SUMIFS(Table2[NewPointsAway],Table2[GameDate], "&lt;=" &amp; $A99, Table2[AwayTeam], G$1)+SUMIFS(Table2[NewPointsHome],Table2[GameDate], "&lt;=" &amp; $A99, Table2[HomeTeam], G$1)</f>
        <v>28</v>
      </c>
      <c r="H99" s="145">
        <f>SUMIFS(Table2[NewPointsAway],Table2[GameDate], "&lt;=" &amp; $A99, Table2[AwayTeam], H$1)+SUMIFS(Table2[NewPointsHome],Table2[GameDate], "&lt;=" &amp; $A99, Table2[HomeTeam], H$1)</f>
        <v>30</v>
      </c>
      <c r="I99" s="145">
        <f>SUMIFS(Table2[NewPointsAway],Table2[GameDate], "&lt;=" &amp; $A99, Table2[AwayTeam], I$1)+SUMIFS(Table2[NewPointsHome],Table2[GameDate], "&lt;=" &amp; $A99, Table2[HomeTeam], I$1)</f>
        <v>48</v>
      </c>
      <c r="J99" s="145">
        <f>SUMIFS(Table2[NewPointsAway],Table2[GameDate], "&lt;=" &amp; $A99, Table2[AwayTeam], J$1)+SUMIFS(Table2[NewPointsHome],Table2[GameDate], "&lt;=" &amp; $A99, Table2[HomeTeam], J$1)</f>
        <v>45</v>
      </c>
      <c r="K99" s="145">
        <f>SUMIFS(Table2[NewPointsAway],Table2[GameDate], "&lt;=" &amp; $A99, Table2[AwayTeam], K$1)+SUMIFS(Table2[NewPointsHome],Table2[GameDate], "&lt;=" &amp; $A99, Table2[HomeTeam], K$1)</f>
        <v>35</v>
      </c>
      <c r="L99" s="145">
        <f>SUMIFS(Table2[NewPointsAway],Table2[GameDate], "&lt;=" &amp; $A99, Table2[AwayTeam], L$1)+SUMIFS(Table2[NewPointsHome],Table2[GameDate], "&lt;=" &amp; $A99, Table2[HomeTeam], L$1)</f>
        <v>31</v>
      </c>
      <c r="M99" s="145">
        <f>SUMIFS(Table2[NewPointsAway],Table2[GameDate], "&lt;=" &amp; $A99, Table2[AwayTeam], M$1)+SUMIFS(Table2[NewPointsHome],Table2[GameDate], "&lt;=" &amp; $A99, Table2[HomeTeam], M$1)</f>
        <v>30</v>
      </c>
      <c r="N99" s="145">
        <f>SUMIFS(Table2[NewPointsAway],Table2[GameDate], "&lt;=" &amp; $A99, Table2[AwayTeam], N$1)+SUMIFS(Table2[NewPointsHome],Table2[GameDate], "&lt;=" &amp; $A99, Table2[HomeTeam], N$1)</f>
        <v>35</v>
      </c>
      <c r="O99" s="145">
        <f>SUMIFS(Table2[NewPointsAway],Table2[GameDate], "&lt;=" &amp; $A99, Table2[AwayTeam], O$1)+SUMIFS(Table2[NewPointsHome],Table2[GameDate], "&lt;=" &amp; $A99, Table2[HomeTeam], O$1)</f>
        <v>37</v>
      </c>
      <c r="P99" s="145">
        <f>SUMIFS(Table2[NewPointsAway],Table2[GameDate], "&lt;=" &amp; $A99, Table2[AwayTeam], P$1)+SUMIFS(Table2[NewPointsHome],Table2[GameDate], "&lt;=" &amp; $A99, Table2[HomeTeam], P$1)</f>
        <v>33</v>
      </c>
      <c r="Q99" s="145">
        <f>SUMIFS(Table2[NewPointsAway],Table2[GameDate], "&lt;=" &amp; $A99, Table2[AwayTeam], Q$1)+SUMIFS(Table2[NewPointsHome],Table2[GameDate], "&lt;=" &amp; $A99, Table2[HomeTeam], Q$1)</f>
        <v>33</v>
      </c>
      <c r="R99" s="145">
        <f>SUMIFS(Table2[NewPointsAway],Table2[GameDate], "&lt;=" &amp; $A99, Table2[AwayTeam], R$1)+SUMIFS(Table2[NewPointsHome],Table2[GameDate], "&lt;=" &amp; $A99, Table2[HomeTeam], R$1)</f>
        <v>24</v>
      </c>
      <c r="S99" s="145">
        <f>SUMIFS(Table2[NewPointsAway],Table2[GameDate], "&lt;=" &amp; $A99, Table2[AwayTeam], S$1)+SUMIFS(Table2[NewPointsHome],Table2[GameDate], "&lt;=" &amp; $A99, Table2[HomeTeam], S$1)</f>
        <v>35</v>
      </c>
      <c r="T99" s="145">
        <f>SUMIFS(Table2[NewPointsAway],Table2[GameDate], "&lt;=" &amp; $A99, Table2[AwayTeam], T$1)+SUMIFS(Table2[NewPointsHome],Table2[GameDate], "&lt;=" &amp; $A99, Table2[HomeTeam], T$1)</f>
        <v>34</v>
      </c>
      <c r="U99" s="145">
        <f>SUMIFS(Table2[NewPointsAway],Table2[GameDate], "&lt;=" &amp; $A99, Table2[AwayTeam], U$1)+SUMIFS(Table2[NewPointsHome],Table2[GameDate], "&lt;=" &amp; $A99, Table2[HomeTeam], U$1)</f>
        <v>30</v>
      </c>
      <c r="V99" s="145">
        <f>SUMIFS(Table2[NewPointsAway],Table2[GameDate], "&lt;=" &amp; $A99, Table2[AwayTeam], V$1)+SUMIFS(Table2[NewPointsHome],Table2[GameDate], "&lt;=" &amp; $A99, Table2[HomeTeam], V$1)</f>
        <v>32</v>
      </c>
      <c r="W99" s="145">
        <f>SUMIFS(Table2[NewPointsAway],Table2[GameDate], "&lt;=" &amp; $A99, Table2[AwayTeam], W$1)+SUMIFS(Table2[NewPointsHome],Table2[GameDate], "&lt;=" &amp; $A99, Table2[HomeTeam], W$1)</f>
        <v>34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31</v>
      </c>
      <c r="Z99" s="145">
        <f>SUMIFS(Table2[NewPointsAway],Table2[GameDate], "&lt;=" &amp; $A99, Table2[AwayTeam], Z$1)+SUMIFS(Table2[NewPointsHome],Table2[GameDate], "&lt;=" &amp; $A99, Table2[HomeTeam], Z$1)</f>
        <v>30</v>
      </c>
      <c r="AA99" s="145">
        <f>SUMIFS(Table2[NewPointsAway],Table2[GameDate], "&lt;=" &amp; $A99, Table2[AwayTeam], AA$1)+SUMIFS(Table2[NewPointsHome],Table2[GameDate], "&lt;=" &amp; $A99, Table2[HomeTeam], AA$1)</f>
        <v>34</v>
      </c>
      <c r="AB99" s="145">
        <f>SUMIFS(Table2[NewPointsAway],Table2[GameDate], "&lt;=" &amp; $A99, Table2[AwayTeam], AB$1)+SUMIFS(Table2[NewPointsHome],Table2[GameDate], "&lt;=" &amp; $A99, Table2[HomeTeam], AB$1)</f>
        <v>32</v>
      </c>
      <c r="AC99" s="145">
        <f>SUMIFS(Table2[NewPointsAway],Table2[GameDate], "&lt;=" &amp; $A99, Table2[AwayTeam], AC$1)+SUMIFS(Table2[NewPointsHome],Table2[GameDate], "&lt;=" &amp; $A99, Table2[HomeTeam], AC$1)</f>
        <v>31</v>
      </c>
      <c r="AD99" s="145">
        <f>SUMIFS(Table2[NewPointsAway],Table2[GameDate], "&lt;=" &amp; $A99, Table2[AwayTeam], AD$1)+SUMIFS(Table2[NewPointsHome],Table2[GameDate], "&lt;=" &amp; $A99, Table2[HomeTeam], AD$1)</f>
        <v>25</v>
      </c>
      <c r="AE99" s="145">
        <f>SUMIFS(Table2[NewPointsAway],Table2[GameDate], "&lt;=" &amp; $A99, Table2[AwayTeam], AE$1)+SUMIFS(Table2[NewPointsHome],Table2[GameDate], "&lt;=" &amp; $A99, Table2[HomeTeam], AE$1)</f>
        <v>36</v>
      </c>
      <c r="AF99" s="145">
        <f>SUMIFS(Table2[NewPointsAway],Table2[GameDate], "&lt;=" &amp; $A99, Table2[AwayTeam], AF$1)+SUMIFS(Table2[NewPointsHome],Table2[GameDate], "&lt;=" &amp; $A99, Table2[HomeTeam], AF$1)</f>
        <v>29</v>
      </c>
      <c r="AG99" s="145">
        <f>SUMIFS(Table2[NewPointsAway],Table2[GameDate], "&lt;=" &amp; $A99, Table2[AwayTeam], AG$1)+SUMIFS(Table2[NewPointsHome],Table2[GameDate], "&lt;=" &amp; $A99, Table2[HomeTeam], AG$1)</f>
        <v>39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37</v>
      </c>
      <c r="C100" s="145">
        <f>SUMIFS(Table2[NewPointsAway],Table2[GameDate], "&lt;=" &amp; $A100, Table2[AwayTeam], C$1)+SUMIFS(Table2[NewPointsHome],Table2[GameDate], "&lt;=" &amp; $A100, Table2[HomeTeam], C$1)</f>
        <v>34</v>
      </c>
      <c r="D100" s="145">
        <f>SUMIFS(Table2[NewPointsAway],Table2[GameDate], "&lt;=" &amp; $A100, Table2[AwayTeam], D$1)+SUMIFS(Table2[NewPointsHome],Table2[GameDate], "&lt;=" &amp; $A100, Table2[HomeTeam], D$1)</f>
        <v>26</v>
      </c>
      <c r="E100" s="145">
        <f>SUMIFS(Table2[NewPointsAway],Table2[GameDate], "&lt;=" &amp; $A100, Table2[AwayTeam], E$1)+SUMIFS(Table2[NewPointsHome],Table2[GameDate], "&lt;=" &amp; $A100, Table2[HomeTeam], E$1)</f>
        <v>36</v>
      </c>
      <c r="F100" s="145">
        <f>SUMIFS(Table2[NewPointsAway],Table2[GameDate], "&lt;=" &amp; $A100, Table2[AwayTeam], F$1)+SUMIFS(Table2[NewPointsHome],Table2[GameDate], "&lt;=" &amp; $A100, Table2[HomeTeam], F$1)</f>
        <v>32</v>
      </c>
      <c r="G100" s="145">
        <f>SUMIFS(Table2[NewPointsAway],Table2[GameDate], "&lt;=" &amp; $A100, Table2[AwayTeam], G$1)+SUMIFS(Table2[NewPointsHome],Table2[GameDate], "&lt;=" &amp; $A100, Table2[HomeTeam], G$1)</f>
        <v>28</v>
      </c>
      <c r="H100" s="145">
        <f>SUMIFS(Table2[NewPointsAway],Table2[GameDate], "&lt;=" &amp; $A100, Table2[AwayTeam], H$1)+SUMIFS(Table2[NewPointsHome],Table2[GameDate], "&lt;=" &amp; $A100, Table2[HomeTeam], H$1)</f>
        <v>30</v>
      </c>
      <c r="I100" s="145">
        <f>SUMIFS(Table2[NewPointsAway],Table2[GameDate], "&lt;=" &amp; $A100, Table2[AwayTeam], I$1)+SUMIFS(Table2[NewPointsHome],Table2[GameDate], "&lt;=" &amp; $A100, Table2[HomeTeam], I$1)</f>
        <v>48</v>
      </c>
      <c r="J100" s="145">
        <f>SUMIFS(Table2[NewPointsAway],Table2[GameDate], "&lt;=" &amp; $A100, Table2[AwayTeam], J$1)+SUMIFS(Table2[NewPointsHome],Table2[GameDate], "&lt;=" &amp; $A100, Table2[HomeTeam], J$1)</f>
        <v>45</v>
      </c>
      <c r="K100" s="145">
        <f>SUMIFS(Table2[NewPointsAway],Table2[GameDate], "&lt;=" &amp; $A100, Table2[AwayTeam], K$1)+SUMIFS(Table2[NewPointsHome],Table2[GameDate], "&lt;=" &amp; $A100, Table2[HomeTeam], K$1)</f>
        <v>35</v>
      </c>
      <c r="L100" s="145">
        <f>SUMIFS(Table2[NewPointsAway],Table2[GameDate], "&lt;=" &amp; $A100, Table2[AwayTeam], L$1)+SUMIFS(Table2[NewPointsHome],Table2[GameDate], "&lt;=" &amp; $A100, Table2[HomeTeam], L$1)</f>
        <v>31</v>
      </c>
      <c r="M100" s="145">
        <f>SUMIFS(Table2[NewPointsAway],Table2[GameDate], "&lt;=" &amp; $A100, Table2[AwayTeam], M$1)+SUMIFS(Table2[NewPointsHome],Table2[GameDate], "&lt;=" &amp; $A100, Table2[HomeTeam], M$1)</f>
        <v>30</v>
      </c>
      <c r="N100" s="145">
        <f>SUMIFS(Table2[NewPointsAway],Table2[GameDate], "&lt;=" &amp; $A100, Table2[AwayTeam], N$1)+SUMIFS(Table2[NewPointsHome],Table2[GameDate], "&lt;=" &amp; $A100, Table2[HomeTeam], N$1)</f>
        <v>35</v>
      </c>
      <c r="O100" s="145">
        <f>SUMIFS(Table2[NewPointsAway],Table2[GameDate], "&lt;=" &amp; $A100, Table2[AwayTeam], O$1)+SUMIFS(Table2[NewPointsHome],Table2[GameDate], "&lt;=" &amp; $A100, Table2[HomeTeam], O$1)</f>
        <v>37</v>
      </c>
      <c r="P100" s="145">
        <f>SUMIFS(Table2[NewPointsAway],Table2[GameDate], "&lt;=" &amp; $A100, Table2[AwayTeam], P$1)+SUMIFS(Table2[NewPointsHome],Table2[GameDate], "&lt;=" &amp; $A100, Table2[HomeTeam], P$1)</f>
        <v>33</v>
      </c>
      <c r="Q100" s="145">
        <f>SUMIFS(Table2[NewPointsAway],Table2[GameDate], "&lt;=" &amp; $A100, Table2[AwayTeam], Q$1)+SUMIFS(Table2[NewPointsHome],Table2[GameDate], "&lt;=" &amp; $A100, Table2[HomeTeam], Q$1)</f>
        <v>33</v>
      </c>
      <c r="R100" s="145">
        <f>SUMIFS(Table2[NewPointsAway],Table2[GameDate], "&lt;=" &amp; $A100, Table2[AwayTeam], R$1)+SUMIFS(Table2[NewPointsHome],Table2[GameDate], "&lt;=" &amp; $A100, Table2[HomeTeam], R$1)</f>
        <v>24</v>
      </c>
      <c r="S100" s="145">
        <f>SUMIFS(Table2[NewPointsAway],Table2[GameDate], "&lt;=" &amp; $A100, Table2[AwayTeam], S$1)+SUMIFS(Table2[NewPointsHome],Table2[GameDate], "&lt;=" &amp; $A100, Table2[HomeTeam], S$1)</f>
        <v>35</v>
      </c>
      <c r="T100" s="145">
        <f>SUMIFS(Table2[NewPointsAway],Table2[GameDate], "&lt;=" &amp; $A100, Table2[AwayTeam], T$1)+SUMIFS(Table2[NewPointsHome],Table2[GameDate], "&lt;=" &amp; $A100, Table2[HomeTeam], T$1)</f>
        <v>34</v>
      </c>
      <c r="U100" s="145">
        <f>SUMIFS(Table2[NewPointsAway],Table2[GameDate], "&lt;=" &amp; $A100, Table2[AwayTeam], U$1)+SUMIFS(Table2[NewPointsHome],Table2[GameDate], "&lt;=" &amp; $A100, Table2[HomeTeam], U$1)</f>
        <v>30</v>
      </c>
      <c r="V100" s="145">
        <f>SUMIFS(Table2[NewPointsAway],Table2[GameDate], "&lt;=" &amp; $A100, Table2[AwayTeam], V$1)+SUMIFS(Table2[NewPointsHome],Table2[GameDate], "&lt;=" &amp; $A100, Table2[HomeTeam], V$1)</f>
        <v>32</v>
      </c>
      <c r="W100" s="145">
        <f>SUMIFS(Table2[NewPointsAway],Table2[GameDate], "&lt;=" &amp; $A100, Table2[AwayTeam], W$1)+SUMIFS(Table2[NewPointsHome],Table2[GameDate], "&lt;=" &amp; $A100, Table2[HomeTeam], W$1)</f>
        <v>34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31</v>
      </c>
      <c r="Z100" s="145">
        <f>SUMIFS(Table2[NewPointsAway],Table2[GameDate], "&lt;=" &amp; $A100, Table2[AwayTeam], Z$1)+SUMIFS(Table2[NewPointsHome],Table2[GameDate], "&lt;=" &amp; $A100, Table2[HomeTeam], Z$1)</f>
        <v>30</v>
      </c>
      <c r="AA100" s="145">
        <f>SUMIFS(Table2[NewPointsAway],Table2[GameDate], "&lt;=" &amp; $A100, Table2[AwayTeam], AA$1)+SUMIFS(Table2[NewPointsHome],Table2[GameDate], "&lt;=" &amp; $A100, Table2[HomeTeam], AA$1)</f>
        <v>34</v>
      </c>
      <c r="AB100" s="145">
        <f>SUMIFS(Table2[NewPointsAway],Table2[GameDate], "&lt;=" &amp; $A100, Table2[AwayTeam], AB$1)+SUMIFS(Table2[NewPointsHome],Table2[GameDate], "&lt;=" &amp; $A100, Table2[HomeTeam], AB$1)</f>
        <v>32</v>
      </c>
      <c r="AC100" s="145">
        <f>SUMIFS(Table2[NewPointsAway],Table2[GameDate], "&lt;=" &amp; $A100, Table2[AwayTeam], AC$1)+SUMIFS(Table2[NewPointsHome],Table2[GameDate], "&lt;=" &amp; $A100, Table2[HomeTeam], AC$1)</f>
        <v>31</v>
      </c>
      <c r="AD100" s="145">
        <f>SUMIFS(Table2[NewPointsAway],Table2[GameDate], "&lt;=" &amp; $A100, Table2[AwayTeam], AD$1)+SUMIFS(Table2[NewPointsHome],Table2[GameDate], "&lt;=" &amp; $A100, Table2[HomeTeam], AD$1)</f>
        <v>25</v>
      </c>
      <c r="AE100" s="145">
        <f>SUMIFS(Table2[NewPointsAway],Table2[GameDate], "&lt;=" &amp; $A100, Table2[AwayTeam], AE$1)+SUMIFS(Table2[NewPointsHome],Table2[GameDate], "&lt;=" &amp; $A100, Table2[HomeTeam], AE$1)</f>
        <v>36</v>
      </c>
      <c r="AF100" s="145">
        <f>SUMIFS(Table2[NewPointsAway],Table2[GameDate], "&lt;=" &amp; $A100, Table2[AwayTeam], AF$1)+SUMIFS(Table2[NewPointsHome],Table2[GameDate], "&lt;=" &amp; $A100, Table2[HomeTeam], AF$1)</f>
        <v>29</v>
      </c>
      <c r="AG100" s="145">
        <f>SUMIFS(Table2[NewPointsAway],Table2[GameDate], "&lt;=" &amp; $A100, Table2[AwayTeam], AG$1)+SUMIFS(Table2[NewPointsHome],Table2[GameDate], "&lt;=" &amp; $A100, Table2[HomeTeam], AG$1)</f>
        <v>39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37</v>
      </c>
      <c r="C101" s="145">
        <f>SUMIFS(Table2[NewPointsAway],Table2[GameDate], "&lt;=" &amp; $A101, Table2[AwayTeam], C$1)+SUMIFS(Table2[NewPointsHome],Table2[GameDate], "&lt;=" &amp; $A101, Table2[HomeTeam], C$1)</f>
        <v>34</v>
      </c>
      <c r="D101" s="145">
        <f>SUMIFS(Table2[NewPointsAway],Table2[GameDate], "&lt;=" &amp; $A101, Table2[AwayTeam], D$1)+SUMIFS(Table2[NewPointsHome],Table2[GameDate], "&lt;=" &amp; $A101, Table2[HomeTeam], D$1)</f>
        <v>26</v>
      </c>
      <c r="E101" s="145">
        <f>SUMIFS(Table2[NewPointsAway],Table2[GameDate], "&lt;=" &amp; $A101, Table2[AwayTeam], E$1)+SUMIFS(Table2[NewPointsHome],Table2[GameDate], "&lt;=" &amp; $A101, Table2[HomeTeam], E$1)</f>
        <v>36</v>
      </c>
      <c r="F101" s="145">
        <f>SUMIFS(Table2[NewPointsAway],Table2[GameDate], "&lt;=" &amp; $A101, Table2[AwayTeam], F$1)+SUMIFS(Table2[NewPointsHome],Table2[GameDate], "&lt;=" &amp; $A101, Table2[HomeTeam], F$1)</f>
        <v>32</v>
      </c>
      <c r="G101" s="145">
        <f>SUMIFS(Table2[NewPointsAway],Table2[GameDate], "&lt;=" &amp; $A101, Table2[AwayTeam], G$1)+SUMIFS(Table2[NewPointsHome],Table2[GameDate], "&lt;=" &amp; $A101, Table2[HomeTeam], G$1)</f>
        <v>28</v>
      </c>
      <c r="H101" s="145">
        <f>SUMIFS(Table2[NewPointsAway],Table2[GameDate], "&lt;=" &amp; $A101, Table2[AwayTeam], H$1)+SUMIFS(Table2[NewPointsHome],Table2[GameDate], "&lt;=" &amp; $A101, Table2[HomeTeam], H$1)</f>
        <v>30</v>
      </c>
      <c r="I101" s="145">
        <f>SUMIFS(Table2[NewPointsAway],Table2[GameDate], "&lt;=" &amp; $A101, Table2[AwayTeam], I$1)+SUMIFS(Table2[NewPointsHome],Table2[GameDate], "&lt;=" &amp; $A101, Table2[HomeTeam], I$1)</f>
        <v>48</v>
      </c>
      <c r="J101" s="145">
        <f>SUMIFS(Table2[NewPointsAway],Table2[GameDate], "&lt;=" &amp; $A101, Table2[AwayTeam], J$1)+SUMIFS(Table2[NewPointsHome],Table2[GameDate], "&lt;=" &amp; $A101, Table2[HomeTeam], J$1)</f>
        <v>45</v>
      </c>
      <c r="K101" s="145">
        <f>SUMIFS(Table2[NewPointsAway],Table2[GameDate], "&lt;=" &amp; $A101, Table2[AwayTeam], K$1)+SUMIFS(Table2[NewPointsHome],Table2[GameDate], "&lt;=" &amp; $A101, Table2[HomeTeam], K$1)</f>
        <v>35</v>
      </c>
      <c r="L101" s="145">
        <f>SUMIFS(Table2[NewPointsAway],Table2[GameDate], "&lt;=" &amp; $A101, Table2[AwayTeam], L$1)+SUMIFS(Table2[NewPointsHome],Table2[GameDate], "&lt;=" &amp; $A101, Table2[HomeTeam], L$1)</f>
        <v>31</v>
      </c>
      <c r="M101" s="145">
        <f>SUMIFS(Table2[NewPointsAway],Table2[GameDate], "&lt;=" &amp; $A101, Table2[AwayTeam], M$1)+SUMIFS(Table2[NewPointsHome],Table2[GameDate], "&lt;=" &amp; $A101, Table2[HomeTeam], M$1)</f>
        <v>30</v>
      </c>
      <c r="N101" s="145">
        <f>SUMIFS(Table2[NewPointsAway],Table2[GameDate], "&lt;=" &amp; $A101, Table2[AwayTeam], N$1)+SUMIFS(Table2[NewPointsHome],Table2[GameDate], "&lt;=" &amp; $A101, Table2[HomeTeam], N$1)</f>
        <v>35</v>
      </c>
      <c r="O101" s="145">
        <f>SUMIFS(Table2[NewPointsAway],Table2[GameDate], "&lt;=" &amp; $A101, Table2[AwayTeam], O$1)+SUMIFS(Table2[NewPointsHome],Table2[GameDate], "&lt;=" &amp; $A101, Table2[HomeTeam], O$1)</f>
        <v>37</v>
      </c>
      <c r="P101" s="145">
        <f>SUMIFS(Table2[NewPointsAway],Table2[GameDate], "&lt;=" &amp; $A101, Table2[AwayTeam], P$1)+SUMIFS(Table2[NewPointsHome],Table2[GameDate], "&lt;=" &amp; $A101, Table2[HomeTeam], P$1)</f>
        <v>33</v>
      </c>
      <c r="Q101" s="145">
        <f>SUMIFS(Table2[NewPointsAway],Table2[GameDate], "&lt;=" &amp; $A101, Table2[AwayTeam], Q$1)+SUMIFS(Table2[NewPointsHome],Table2[GameDate], "&lt;=" &amp; $A101, Table2[HomeTeam], Q$1)</f>
        <v>33</v>
      </c>
      <c r="R101" s="145">
        <f>SUMIFS(Table2[NewPointsAway],Table2[GameDate], "&lt;=" &amp; $A101, Table2[AwayTeam], R$1)+SUMIFS(Table2[NewPointsHome],Table2[GameDate], "&lt;=" &amp; $A101, Table2[HomeTeam], R$1)</f>
        <v>24</v>
      </c>
      <c r="S101" s="145">
        <f>SUMIFS(Table2[NewPointsAway],Table2[GameDate], "&lt;=" &amp; $A101, Table2[AwayTeam], S$1)+SUMIFS(Table2[NewPointsHome],Table2[GameDate], "&lt;=" &amp; $A101, Table2[HomeTeam], S$1)</f>
        <v>35</v>
      </c>
      <c r="T101" s="145">
        <f>SUMIFS(Table2[NewPointsAway],Table2[GameDate], "&lt;=" &amp; $A101, Table2[AwayTeam], T$1)+SUMIFS(Table2[NewPointsHome],Table2[GameDate], "&lt;=" &amp; $A101, Table2[HomeTeam], T$1)</f>
        <v>34</v>
      </c>
      <c r="U101" s="145">
        <f>SUMIFS(Table2[NewPointsAway],Table2[GameDate], "&lt;=" &amp; $A101, Table2[AwayTeam], U$1)+SUMIFS(Table2[NewPointsHome],Table2[GameDate], "&lt;=" &amp; $A101, Table2[HomeTeam], U$1)</f>
        <v>30</v>
      </c>
      <c r="V101" s="145">
        <f>SUMIFS(Table2[NewPointsAway],Table2[GameDate], "&lt;=" &amp; $A101, Table2[AwayTeam], V$1)+SUMIFS(Table2[NewPointsHome],Table2[GameDate], "&lt;=" &amp; $A101, Table2[HomeTeam], V$1)</f>
        <v>32</v>
      </c>
      <c r="W101" s="145">
        <f>SUMIFS(Table2[NewPointsAway],Table2[GameDate], "&lt;=" &amp; $A101, Table2[AwayTeam], W$1)+SUMIFS(Table2[NewPointsHome],Table2[GameDate], "&lt;=" &amp; $A101, Table2[HomeTeam], W$1)</f>
        <v>34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31</v>
      </c>
      <c r="Z101" s="145">
        <f>SUMIFS(Table2[NewPointsAway],Table2[GameDate], "&lt;=" &amp; $A101, Table2[AwayTeam], Z$1)+SUMIFS(Table2[NewPointsHome],Table2[GameDate], "&lt;=" &amp; $A101, Table2[HomeTeam], Z$1)</f>
        <v>30</v>
      </c>
      <c r="AA101" s="145">
        <f>SUMIFS(Table2[NewPointsAway],Table2[GameDate], "&lt;=" &amp; $A101, Table2[AwayTeam], AA$1)+SUMIFS(Table2[NewPointsHome],Table2[GameDate], "&lt;=" &amp; $A101, Table2[HomeTeam], AA$1)</f>
        <v>34</v>
      </c>
      <c r="AB101" s="145">
        <f>SUMIFS(Table2[NewPointsAway],Table2[GameDate], "&lt;=" &amp; $A101, Table2[AwayTeam], AB$1)+SUMIFS(Table2[NewPointsHome],Table2[GameDate], "&lt;=" &amp; $A101, Table2[HomeTeam], AB$1)</f>
        <v>32</v>
      </c>
      <c r="AC101" s="145">
        <f>SUMIFS(Table2[NewPointsAway],Table2[GameDate], "&lt;=" &amp; $A101, Table2[AwayTeam], AC$1)+SUMIFS(Table2[NewPointsHome],Table2[GameDate], "&lt;=" &amp; $A101, Table2[HomeTeam], AC$1)</f>
        <v>31</v>
      </c>
      <c r="AD101" s="145">
        <f>SUMIFS(Table2[NewPointsAway],Table2[GameDate], "&lt;=" &amp; $A101, Table2[AwayTeam], AD$1)+SUMIFS(Table2[NewPointsHome],Table2[GameDate], "&lt;=" &amp; $A101, Table2[HomeTeam], AD$1)</f>
        <v>25</v>
      </c>
      <c r="AE101" s="145">
        <f>SUMIFS(Table2[NewPointsAway],Table2[GameDate], "&lt;=" &amp; $A101, Table2[AwayTeam], AE$1)+SUMIFS(Table2[NewPointsHome],Table2[GameDate], "&lt;=" &amp; $A101, Table2[HomeTeam], AE$1)</f>
        <v>36</v>
      </c>
      <c r="AF101" s="145">
        <f>SUMIFS(Table2[NewPointsAway],Table2[GameDate], "&lt;=" &amp; $A101, Table2[AwayTeam], AF$1)+SUMIFS(Table2[NewPointsHome],Table2[GameDate], "&lt;=" &amp; $A101, Table2[HomeTeam], AF$1)</f>
        <v>29</v>
      </c>
      <c r="AG101" s="145">
        <f>SUMIFS(Table2[NewPointsAway],Table2[GameDate], "&lt;=" &amp; $A101, Table2[AwayTeam], AG$1)+SUMIFS(Table2[NewPointsHome],Table2[GameDate], "&lt;=" &amp; $A101, Table2[HomeTeam], AG$1)</f>
        <v>39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37</v>
      </c>
      <c r="C102" s="145">
        <f>SUMIFS(Table2[NewPointsAway],Table2[GameDate], "&lt;=" &amp; $A102, Table2[AwayTeam], C$1)+SUMIFS(Table2[NewPointsHome],Table2[GameDate], "&lt;=" &amp; $A102, Table2[HomeTeam], C$1)</f>
        <v>34</v>
      </c>
      <c r="D102" s="145">
        <f>SUMIFS(Table2[NewPointsAway],Table2[GameDate], "&lt;=" &amp; $A102, Table2[AwayTeam], D$1)+SUMIFS(Table2[NewPointsHome],Table2[GameDate], "&lt;=" &amp; $A102, Table2[HomeTeam], D$1)</f>
        <v>26</v>
      </c>
      <c r="E102" s="145">
        <f>SUMIFS(Table2[NewPointsAway],Table2[GameDate], "&lt;=" &amp; $A102, Table2[AwayTeam], E$1)+SUMIFS(Table2[NewPointsHome],Table2[GameDate], "&lt;=" &amp; $A102, Table2[HomeTeam], E$1)</f>
        <v>36</v>
      </c>
      <c r="F102" s="145">
        <f>SUMIFS(Table2[NewPointsAway],Table2[GameDate], "&lt;=" &amp; $A102, Table2[AwayTeam], F$1)+SUMIFS(Table2[NewPointsHome],Table2[GameDate], "&lt;=" &amp; $A102, Table2[HomeTeam], F$1)</f>
        <v>32</v>
      </c>
      <c r="G102" s="145">
        <f>SUMIFS(Table2[NewPointsAway],Table2[GameDate], "&lt;=" &amp; $A102, Table2[AwayTeam], G$1)+SUMIFS(Table2[NewPointsHome],Table2[GameDate], "&lt;=" &amp; $A102, Table2[HomeTeam], G$1)</f>
        <v>28</v>
      </c>
      <c r="H102" s="145">
        <f>SUMIFS(Table2[NewPointsAway],Table2[GameDate], "&lt;=" &amp; $A102, Table2[AwayTeam], H$1)+SUMIFS(Table2[NewPointsHome],Table2[GameDate], "&lt;=" &amp; $A102, Table2[HomeTeam], H$1)</f>
        <v>30</v>
      </c>
      <c r="I102" s="145">
        <f>SUMIFS(Table2[NewPointsAway],Table2[GameDate], "&lt;=" &amp; $A102, Table2[AwayTeam], I$1)+SUMIFS(Table2[NewPointsHome],Table2[GameDate], "&lt;=" &amp; $A102, Table2[HomeTeam], I$1)</f>
        <v>48</v>
      </c>
      <c r="J102" s="145">
        <f>SUMIFS(Table2[NewPointsAway],Table2[GameDate], "&lt;=" &amp; $A102, Table2[AwayTeam], J$1)+SUMIFS(Table2[NewPointsHome],Table2[GameDate], "&lt;=" &amp; $A102, Table2[HomeTeam], J$1)</f>
        <v>45</v>
      </c>
      <c r="K102" s="145">
        <f>SUMIFS(Table2[NewPointsAway],Table2[GameDate], "&lt;=" &amp; $A102, Table2[AwayTeam], K$1)+SUMIFS(Table2[NewPointsHome],Table2[GameDate], "&lt;=" &amp; $A102, Table2[HomeTeam], K$1)</f>
        <v>35</v>
      </c>
      <c r="L102" s="145">
        <f>SUMIFS(Table2[NewPointsAway],Table2[GameDate], "&lt;=" &amp; $A102, Table2[AwayTeam], L$1)+SUMIFS(Table2[NewPointsHome],Table2[GameDate], "&lt;=" &amp; $A102, Table2[HomeTeam], L$1)</f>
        <v>31</v>
      </c>
      <c r="M102" s="145">
        <f>SUMIFS(Table2[NewPointsAway],Table2[GameDate], "&lt;=" &amp; $A102, Table2[AwayTeam], M$1)+SUMIFS(Table2[NewPointsHome],Table2[GameDate], "&lt;=" &amp; $A102, Table2[HomeTeam], M$1)</f>
        <v>30</v>
      </c>
      <c r="N102" s="145">
        <f>SUMIFS(Table2[NewPointsAway],Table2[GameDate], "&lt;=" &amp; $A102, Table2[AwayTeam], N$1)+SUMIFS(Table2[NewPointsHome],Table2[GameDate], "&lt;=" &amp; $A102, Table2[HomeTeam], N$1)</f>
        <v>35</v>
      </c>
      <c r="O102" s="145">
        <f>SUMIFS(Table2[NewPointsAway],Table2[GameDate], "&lt;=" &amp; $A102, Table2[AwayTeam], O$1)+SUMIFS(Table2[NewPointsHome],Table2[GameDate], "&lt;=" &amp; $A102, Table2[HomeTeam], O$1)</f>
        <v>37</v>
      </c>
      <c r="P102" s="145">
        <f>SUMIFS(Table2[NewPointsAway],Table2[GameDate], "&lt;=" &amp; $A102, Table2[AwayTeam], P$1)+SUMIFS(Table2[NewPointsHome],Table2[GameDate], "&lt;=" &amp; $A102, Table2[HomeTeam], P$1)</f>
        <v>33</v>
      </c>
      <c r="Q102" s="145">
        <f>SUMIFS(Table2[NewPointsAway],Table2[GameDate], "&lt;=" &amp; $A102, Table2[AwayTeam], Q$1)+SUMIFS(Table2[NewPointsHome],Table2[GameDate], "&lt;=" &amp; $A102, Table2[HomeTeam], Q$1)</f>
        <v>33</v>
      </c>
      <c r="R102" s="145">
        <f>SUMIFS(Table2[NewPointsAway],Table2[GameDate], "&lt;=" &amp; $A102, Table2[AwayTeam], R$1)+SUMIFS(Table2[NewPointsHome],Table2[GameDate], "&lt;=" &amp; $A102, Table2[HomeTeam], R$1)</f>
        <v>24</v>
      </c>
      <c r="S102" s="145">
        <f>SUMIFS(Table2[NewPointsAway],Table2[GameDate], "&lt;=" &amp; $A102, Table2[AwayTeam], S$1)+SUMIFS(Table2[NewPointsHome],Table2[GameDate], "&lt;=" &amp; $A102, Table2[HomeTeam], S$1)</f>
        <v>35</v>
      </c>
      <c r="T102" s="145">
        <f>SUMIFS(Table2[NewPointsAway],Table2[GameDate], "&lt;=" &amp; $A102, Table2[AwayTeam], T$1)+SUMIFS(Table2[NewPointsHome],Table2[GameDate], "&lt;=" &amp; $A102, Table2[HomeTeam], T$1)</f>
        <v>34</v>
      </c>
      <c r="U102" s="145">
        <f>SUMIFS(Table2[NewPointsAway],Table2[GameDate], "&lt;=" &amp; $A102, Table2[AwayTeam], U$1)+SUMIFS(Table2[NewPointsHome],Table2[GameDate], "&lt;=" &amp; $A102, Table2[HomeTeam], U$1)</f>
        <v>30</v>
      </c>
      <c r="V102" s="145">
        <f>SUMIFS(Table2[NewPointsAway],Table2[GameDate], "&lt;=" &amp; $A102, Table2[AwayTeam], V$1)+SUMIFS(Table2[NewPointsHome],Table2[GameDate], "&lt;=" &amp; $A102, Table2[HomeTeam], V$1)</f>
        <v>32</v>
      </c>
      <c r="W102" s="145">
        <f>SUMIFS(Table2[NewPointsAway],Table2[GameDate], "&lt;=" &amp; $A102, Table2[AwayTeam], W$1)+SUMIFS(Table2[NewPointsHome],Table2[GameDate], "&lt;=" &amp; $A102, Table2[HomeTeam], W$1)</f>
        <v>34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31</v>
      </c>
      <c r="Z102" s="145">
        <f>SUMIFS(Table2[NewPointsAway],Table2[GameDate], "&lt;=" &amp; $A102, Table2[AwayTeam], Z$1)+SUMIFS(Table2[NewPointsHome],Table2[GameDate], "&lt;=" &amp; $A102, Table2[HomeTeam], Z$1)</f>
        <v>30</v>
      </c>
      <c r="AA102" s="145">
        <f>SUMIFS(Table2[NewPointsAway],Table2[GameDate], "&lt;=" &amp; $A102, Table2[AwayTeam], AA$1)+SUMIFS(Table2[NewPointsHome],Table2[GameDate], "&lt;=" &amp; $A102, Table2[HomeTeam], AA$1)</f>
        <v>34</v>
      </c>
      <c r="AB102" s="145">
        <f>SUMIFS(Table2[NewPointsAway],Table2[GameDate], "&lt;=" &amp; $A102, Table2[AwayTeam], AB$1)+SUMIFS(Table2[NewPointsHome],Table2[GameDate], "&lt;=" &amp; $A102, Table2[HomeTeam], AB$1)</f>
        <v>32</v>
      </c>
      <c r="AC102" s="145">
        <f>SUMIFS(Table2[NewPointsAway],Table2[GameDate], "&lt;=" &amp; $A102, Table2[AwayTeam], AC$1)+SUMIFS(Table2[NewPointsHome],Table2[GameDate], "&lt;=" &amp; $A102, Table2[HomeTeam], AC$1)</f>
        <v>31</v>
      </c>
      <c r="AD102" s="145">
        <f>SUMIFS(Table2[NewPointsAway],Table2[GameDate], "&lt;=" &amp; $A102, Table2[AwayTeam], AD$1)+SUMIFS(Table2[NewPointsHome],Table2[GameDate], "&lt;=" &amp; $A102, Table2[HomeTeam], AD$1)</f>
        <v>25</v>
      </c>
      <c r="AE102" s="145">
        <f>SUMIFS(Table2[NewPointsAway],Table2[GameDate], "&lt;=" &amp; $A102, Table2[AwayTeam], AE$1)+SUMIFS(Table2[NewPointsHome],Table2[GameDate], "&lt;=" &amp; $A102, Table2[HomeTeam], AE$1)</f>
        <v>36</v>
      </c>
      <c r="AF102" s="145">
        <f>SUMIFS(Table2[NewPointsAway],Table2[GameDate], "&lt;=" &amp; $A102, Table2[AwayTeam], AF$1)+SUMIFS(Table2[NewPointsHome],Table2[GameDate], "&lt;=" &amp; $A102, Table2[HomeTeam], AF$1)</f>
        <v>29</v>
      </c>
      <c r="AG102" s="145">
        <f>SUMIFS(Table2[NewPointsAway],Table2[GameDate], "&lt;=" &amp; $A102, Table2[AwayTeam], AG$1)+SUMIFS(Table2[NewPointsHome],Table2[GameDate], "&lt;=" &amp; $A102, Table2[HomeTeam], AG$1)</f>
        <v>39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37</v>
      </c>
      <c r="C103" s="145">
        <f>SUMIFS(Table2[NewPointsAway],Table2[GameDate], "&lt;=" &amp; $A103, Table2[AwayTeam], C$1)+SUMIFS(Table2[NewPointsHome],Table2[GameDate], "&lt;=" &amp; $A103, Table2[HomeTeam], C$1)</f>
        <v>34</v>
      </c>
      <c r="D103" s="145">
        <f>SUMIFS(Table2[NewPointsAway],Table2[GameDate], "&lt;=" &amp; $A103, Table2[AwayTeam], D$1)+SUMIFS(Table2[NewPointsHome],Table2[GameDate], "&lt;=" &amp; $A103, Table2[HomeTeam], D$1)</f>
        <v>26</v>
      </c>
      <c r="E103" s="145">
        <f>SUMIFS(Table2[NewPointsAway],Table2[GameDate], "&lt;=" &amp; $A103, Table2[AwayTeam], E$1)+SUMIFS(Table2[NewPointsHome],Table2[GameDate], "&lt;=" &amp; $A103, Table2[HomeTeam], E$1)</f>
        <v>36</v>
      </c>
      <c r="F103" s="145">
        <f>SUMIFS(Table2[NewPointsAway],Table2[GameDate], "&lt;=" &amp; $A103, Table2[AwayTeam], F$1)+SUMIFS(Table2[NewPointsHome],Table2[GameDate], "&lt;=" &amp; $A103, Table2[HomeTeam], F$1)</f>
        <v>32</v>
      </c>
      <c r="G103" s="145">
        <f>SUMIFS(Table2[NewPointsAway],Table2[GameDate], "&lt;=" &amp; $A103, Table2[AwayTeam], G$1)+SUMIFS(Table2[NewPointsHome],Table2[GameDate], "&lt;=" &amp; $A103, Table2[HomeTeam], G$1)</f>
        <v>28</v>
      </c>
      <c r="H103" s="145">
        <f>SUMIFS(Table2[NewPointsAway],Table2[GameDate], "&lt;=" &amp; $A103, Table2[AwayTeam], H$1)+SUMIFS(Table2[NewPointsHome],Table2[GameDate], "&lt;=" &amp; $A103, Table2[HomeTeam], H$1)</f>
        <v>30</v>
      </c>
      <c r="I103" s="145">
        <f>SUMIFS(Table2[NewPointsAway],Table2[GameDate], "&lt;=" &amp; $A103, Table2[AwayTeam], I$1)+SUMIFS(Table2[NewPointsHome],Table2[GameDate], "&lt;=" &amp; $A103, Table2[HomeTeam], I$1)</f>
        <v>48</v>
      </c>
      <c r="J103" s="145">
        <f>SUMIFS(Table2[NewPointsAway],Table2[GameDate], "&lt;=" &amp; $A103, Table2[AwayTeam], J$1)+SUMIFS(Table2[NewPointsHome],Table2[GameDate], "&lt;=" &amp; $A103, Table2[HomeTeam], J$1)</f>
        <v>45</v>
      </c>
      <c r="K103" s="145">
        <f>SUMIFS(Table2[NewPointsAway],Table2[GameDate], "&lt;=" &amp; $A103, Table2[AwayTeam], K$1)+SUMIFS(Table2[NewPointsHome],Table2[GameDate], "&lt;=" &amp; $A103, Table2[HomeTeam], K$1)</f>
        <v>35</v>
      </c>
      <c r="L103" s="145">
        <f>SUMIFS(Table2[NewPointsAway],Table2[GameDate], "&lt;=" &amp; $A103, Table2[AwayTeam], L$1)+SUMIFS(Table2[NewPointsHome],Table2[GameDate], "&lt;=" &amp; $A103, Table2[HomeTeam], L$1)</f>
        <v>31</v>
      </c>
      <c r="M103" s="145">
        <f>SUMIFS(Table2[NewPointsAway],Table2[GameDate], "&lt;=" &amp; $A103, Table2[AwayTeam], M$1)+SUMIFS(Table2[NewPointsHome],Table2[GameDate], "&lt;=" &amp; $A103, Table2[HomeTeam], M$1)</f>
        <v>30</v>
      </c>
      <c r="N103" s="145">
        <f>SUMIFS(Table2[NewPointsAway],Table2[GameDate], "&lt;=" &amp; $A103, Table2[AwayTeam], N$1)+SUMIFS(Table2[NewPointsHome],Table2[GameDate], "&lt;=" &amp; $A103, Table2[HomeTeam], N$1)</f>
        <v>35</v>
      </c>
      <c r="O103" s="145">
        <f>SUMIFS(Table2[NewPointsAway],Table2[GameDate], "&lt;=" &amp; $A103, Table2[AwayTeam], O$1)+SUMIFS(Table2[NewPointsHome],Table2[GameDate], "&lt;=" &amp; $A103, Table2[HomeTeam], O$1)</f>
        <v>37</v>
      </c>
      <c r="P103" s="145">
        <f>SUMIFS(Table2[NewPointsAway],Table2[GameDate], "&lt;=" &amp; $A103, Table2[AwayTeam], P$1)+SUMIFS(Table2[NewPointsHome],Table2[GameDate], "&lt;=" &amp; $A103, Table2[HomeTeam], P$1)</f>
        <v>33</v>
      </c>
      <c r="Q103" s="145">
        <f>SUMIFS(Table2[NewPointsAway],Table2[GameDate], "&lt;=" &amp; $A103, Table2[AwayTeam], Q$1)+SUMIFS(Table2[NewPointsHome],Table2[GameDate], "&lt;=" &amp; $A103, Table2[HomeTeam], Q$1)</f>
        <v>33</v>
      </c>
      <c r="R103" s="145">
        <f>SUMIFS(Table2[NewPointsAway],Table2[GameDate], "&lt;=" &amp; $A103, Table2[AwayTeam], R$1)+SUMIFS(Table2[NewPointsHome],Table2[GameDate], "&lt;=" &amp; $A103, Table2[HomeTeam], R$1)</f>
        <v>24</v>
      </c>
      <c r="S103" s="145">
        <f>SUMIFS(Table2[NewPointsAway],Table2[GameDate], "&lt;=" &amp; $A103, Table2[AwayTeam], S$1)+SUMIFS(Table2[NewPointsHome],Table2[GameDate], "&lt;=" &amp; $A103, Table2[HomeTeam], S$1)</f>
        <v>35</v>
      </c>
      <c r="T103" s="145">
        <f>SUMIFS(Table2[NewPointsAway],Table2[GameDate], "&lt;=" &amp; $A103, Table2[AwayTeam], T$1)+SUMIFS(Table2[NewPointsHome],Table2[GameDate], "&lt;=" &amp; $A103, Table2[HomeTeam], T$1)</f>
        <v>34</v>
      </c>
      <c r="U103" s="145">
        <f>SUMIFS(Table2[NewPointsAway],Table2[GameDate], "&lt;=" &amp; $A103, Table2[AwayTeam], U$1)+SUMIFS(Table2[NewPointsHome],Table2[GameDate], "&lt;=" &amp; $A103, Table2[HomeTeam], U$1)</f>
        <v>30</v>
      </c>
      <c r="V103" s="145">
        <f>SUMIFS(Table2[NewPointsAway],Table2[GameDate], "&lt;=" &amp; $A103, Table2[AwayTeam], V$1)+SUMIFS(Table2[NewPointsHome],Table2[GameDate], "&lt;=" &amp; $A103, Table2[HomeTeam], V$1)</f>
        <v>32</v>
      </c>
      <c r="W103" s="145">
        <f>SUMIFS(Table2[NewPointsAway],Table2[GameDate], "&lt;=" &amp; $A103, Table2[AwayTeam], W$1)+SUMIFS(Table2[NewPointsHome],Table2[GameDate], "&lt;=" &amp; $A103, Table2[HomeTeam], W$1)</f>
        <v>34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31</v>
      </c>
      <c r="Z103" s="145">
        <f>SUMIFS(Table2[NewPointsAway],Table2[GameDate], "&lt;=" &amp; $A103, Table2[AwayTeam], Z$1)+SUMIFS(Table2[NewPointsHome],Table2[GameDate], "&lt;=" &amp; $A103, Table2[HomeTeam], Z$1)</f>
        <v>30</v>
      </c>
      <c r="AA103" s="145">
        <f>SUMIFS(Table2[NewPointsAway],Table2[GameDate], "&lt;=" &amp; $A103, Table2[AwayTeam], AA$1)+SUMIFS(Table2[NewPointsHome],Table2[GameDate], "&lt;=" &amp; $A103, Table2[HomeTeam], AA$1)</f>
        <v>34</v>
      </c>
      <c r="AB103" s="145">
        <f>SUMIFS(Table2[NewPointsAway],Table2[GameDate], "&lt;=" &amp; $A103, Table2[AwayTeam], AB$1)+SUMIFS(Table2[NewPointsHome],Table2[GameDate], "&lt;=" &amp; $A103, Table2[HomeTeam], AB$1)</f>
        <v>32</v>
      </c>
      <c r="AC103" s="145">
        <f>SUMIFS(Table2[NewPointsAway],Table2[GameDate], "&lt;=" &amp; $A103, Table2[AwayTeam], AC$1)+SUMIFS(Table2[NewPointsHome],Table2[GameDate], "&lt;=" &amp; $A103, Table2[HomeTeam], AC$1)</f>
        <v>31</v>
      </c>
      <c r="AD103" s="145">
        <f>SUMIFS(Table2[NewPointsAway],Table2[GameDate], "&lt;=" &amp; $A103, Table2[AwayTeam], AD$1)+SUMIFS(Table2[NewPointsHome],Table2[GameDate], "&lt;=" &amp; $A103, Table2[HomeTeam], AD$1)</f>
        <v>25</v>
      </c>
      <c r="AE103" s="145">
        <f>SUMIFS(Table2[NewPointsAway],Table2[GameDate], "&lt;=" &amp; $A103, Table2[AwayTeam], AE$1)+SUMIFS(Table2[NewPointsHome],Table2[GameDate], "&lt;=" &amp; $A103, Table2[HomeTeam], AE$1)</f>
        <v>36</v>
      </c>
      <c r="AF103" s="145">
        <f>SUMIFS(Table2[NewPointsAway],Table2[GameDate], "&lt;=" &amp; $A103, Table2[AwayTeam], AF$1)+SUMIFS(Table2[NewPointsHome],Table2[GameDate], "&lt;=" &amp; $A103, Table2[HomeTeam], AF$1)</f>
        <v>29</v>
      </c>
      <c r="AG103" s="145">
        <f>SUMIFS(Table2[NewPointsAway],Table2[GameDate], "&lt;=" &amp; $A103, Table2[AwayTeam], AG$1)+SUMIFS(Table2[NewPointsHome],Table2[GameDate], "&lt;=" &amp; $A103, Table2[HomeTeam], AG$1)</f>
        <v>39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37</v>
      </c>
      <c r="C104" s="145">
        <f>SUMIFS(Table2[NewPointsAway],Table2[GameDate], "&lt;=" &amp; $A104, Table2[AwayTeam], C$1)+SUMIFS(Table2[NewPointsHome],Table2[GameDate], "&lt;=" &amp; $A104, Table2[HomeTeam], C$1)</f>
        <v>34</v>
      </c>
      <c r="D104" s="145">
        <f>SUMIFS(Table2[NewPointsAway],Table2[GameDate], "&lt;=" &amp; $A104, Table2[AwayTeam], D$1)+SUMIFS(Table2[NewPointsHome],Table2[GameDate], "&lt;=" &amp; $A104, Table2[HomeTeam], D$1)</f>
        <v>26</v>
      </c>
      <c r="E104" s="145">
        <f>SUMIFS(Table2[NewPointsAway],Table2[GameDate], "&lt;=" &amp; $A104, Table2[AwayTeam], E$1)+SUMIFS(Table2[NewPointsHome],Table2[GameDate], "&lt;=" &amp; $A104, Table2[HomeTeam], E$1)</f>
        <v>36</v>
      </c>
      <c r="F104" s="145">
        <f>SUMIFS(Table2[NewPointsAway],Table2[GameDate], "&lt;=" &amp; $A104, Table2[AwayTeam], F$1)+SUMIFS(Table2[NewPointsHome],Table2[GameDate], "&lt;=" &amp; $A104, Table2[HomeTeam], F$1)</f>
        <v>32</v>
      </c>
      <c r="G104" s="145">
        <f>SUMIFS(Table2[NewPointsAway],Table2[GameDate], "&lt;=" &amp; $A104, Table2[AwayTeam], G$1)+SUMIFS(Table2[NewPointsHome],Table2[GameDate], "&lt;=" &amp; $A104, Table2[HomeTeam], G$1)</f>
        <v>28</v>
      </c>
      <c r="H104" s="145">
        <f>SUMIFS(Table2[NewPointsAway],Table2[GameDate], "&lt;=" &amp; $A104, Table2[AwayTeam], H$1)+SUMIFS(Table2[NewPointsHome],Table2[GameDate], "&lt;=" &amp; $A104, Table2[HomeTeam], H$1)</f>
        <v>30</v>
      </c>
      <c r="I104" s="145">
        <f>SUMIFS(Table2[NewPointsAway],Table2[GameDate], "&lt;=" &amp; $A104, Table2[AwayTeam], I$1)+SUMIFS(Table2[NewPointsHome],Table2[GameDate], "&lt;=" &amp; $A104, Table2[HomeTeam], I$1)</f>
        <v>48</v>
      </c>
      <c r="J104" s="145">
        <f>SUMIFS(Table2[NewPointsAway],Table2[GameDate], "&lt;=" &amp; $A104, Table2[AwayTeam], J$1)+SUMIFS(Table2[NewPointsHome],Table2[GameDate], "&lt;=" &amp; $A104, Table2[HomeTeam], J$1)</f>
        <v>45</v>
      </c>
      <c r="K104" s="145">
        <f>SUMIFS(Table2[NewPointsAway],Table2[GameDate], "&lt;=" &amp; $A104, Table2[AwayTeam], K$1)+SUMIFS(Table2[NewPointsHome],Table2[GameDate], "&lt;=" &amp; $A104, Table2[HomeTeam], K$1)</f>
        <v>35</v>
      </c>
      <c r="L104" s="145">
        <f>SUMIFS(Table2[NewPointsAway],Table2[GameDate], "&lt;=" &amp; $A104, Table2[AwayTeam], L$1)+SUMIFS(Table2[NewPointsHome],Table2[GameDate], "&lt;=" &amp; $A104, Table2[HomeTeam], L$1)</f>
        <v>31</v>
      </c>
      <c r="M104" s="145">
        <f>SUMIFS(Table2[NewPointsAway],Table2[GameDate], "&lt;=" &amp; $A104, Table2[AwayTeam], M$1)+SUMIFS(Table2[NewPointsHome],Table2[GameDate], "&lt;=" &amp; $A104, Table2[HomeTeam], M$1)</f>
        <v>30</v>
      </c>
      <c r="N104" s="145">
        <f>SUMIFS(Table2[NewPointsAway],Table2[GameDate], "&lt;=" &amp; $A104, Table2[AwayTeam], N$1)+SUMIFS(Table2[NewPointsHome],Table2[GameDate], "&lt;=" &amp; $A104, Table2[HomeTeam], N$1)</f>
        <v>35</v>
      </c>
      <c r="O104" s="145">
        <f>SUMIFS(Table2[NewPointsAway],Table2[GameDate], "&lt;=" &amp; $A104, Table2[AwayTeam], O$1)+SUMIFS(Table2[NewPointsHome],Table2[GameDate], "&lt;=" &amp; $A104, Table2[HomeTeam], O$1)</f>
        <v>37</v>
      </c>
      <c r="P104" s="145">
        <f>SUMIFS(Table2[NewPointsAway],Table2[GameDate], "&lt;=" &amp; $A104, Table2[AwayTeam], P$1)+SUMIFS(Table2[NewPointsHome],Table2[GameDate], "&lt;=" &amp; $A104, Table2[HomeTeam], P$1)</f>
        <v>33</v>
      </c>
      <c r="Q104" s="145">
        <f>SUMIFS(Table2[NewPointsAway],Table2[GameDate], "&lt;=" &amp; $A104, Table2[AwayTeam], Q$1)+SUMIFS(Table2[NewPointsHome],Table2[GameDate], "&lt;=" &amp; $A104, Table2[HomeTeam], Q$1)</f>
        <v>33</v>
      </c>
      <c r="R104" s="145">
        <f>SUMIFS(Table2[NewPointsAway],Table2[GameDate], "&lt;=" &amp; $A104, Table2[AwayTeam], R$1)+SUMIFS(Table2[NewPointsHome],Table2[GameDate], "&lt;=" &amp; $A104, Table2[HomeTeam], R$1)</f>
        <v>24</v>
      </c>
      <c r="S104" s="145">
        <f>SUMIFS(Table2[NewPointsAway],Table2[GameDate], "&lt;=" &amp; $A104, Table2[AwayTeam], S$1)+SUMIFS(Table2[NewPointsHome],Table2[GameDate], "&lt;=" &amp; $A104, Table2[HomeTeam], S$1)</f>
        <v>35</v>
      </c>
      <c r="T104" s="145">
        <f>SUMIFS(Table2[NewPointsAway],Table2[GameDate], "&lt;=" &amp; $A104, Table2[AwayTeam], T$1)+SUMIFS(Table2[NewPointsHome],Table2[GameDate], "&lt;=" &amp; $A104, Table2[HomeTeam], T$1)</f>
        <v>34</v>
      </c>
      <c r="U104" s="145">
        <f>SUMIFS(Table2[NewPointsAway],Table2[GameDate], "&lt;=" &amp; $A104, Table2[AwayTeam], U$1)+SUMIFS(Table2[NewPointsHome],Table2[GameDate], "&lt;=" &amp; $A104, Table2[HomeTeam], U$1)</f>
        <v>30</v>
      </c>
      <c r="V104" s="145">
        <f>SUMIFS(Table2[NewPointsAway],Table2[GameDate], "&lt;=" &amp; $A104, Table2[AwayTeam], V$1)+SUMIFS(Table2[NewPointsHome],Table2[GameDate], "&lt;=" &amp; $A104, Table2[HomeTeam], V$1)</f>
        <v>32</v>
      </c>
      <c r="W104" s="145">
        <f>SUMIFS(Table2[NewPointsAway],Table2[GameDate], "&lt;=" &amp; $A104, Table2[AwayTeam], W$1)+SUMIFS(Table2[NewPointsHome],Table2[GameDate], "&lt;=" &amp; $A104, Table2[HomeTeam], W$1)</f>
        <v>34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31</v>
      </c>
      <c r="Z104" s="145">
        <f>SUMIFS(Table2[NewPointsAway],Table2[GameDate], "&lt;=" &amp; $A104, Table2[AwayTeam], Z$1)+SUMIFS(Table2[NewPointsHome],Table2[GameDate], "&lt;=" &amp; $A104, Table2[HomeTeam], Z$1)</f>
        <v>30</v>
      </c>
      <c r="AA104" s="145">
        <f>SUMIFS(Table2[NewPointsAway],Table2[GameDate], "&lt;=" &amp; $A104, Table2[AwayTeam], AA$1)+SUMIFS(Table2[NewPointsHome],Table2[GameDate], "&lt;=" &amp; $A104, Table2[HomeTeam], AA$1)</f>
        <v>34</v>
      </c>
      <c r="AB104" s="145">
        <f>SUMIFS(Table2[NewPointsAway],Table2[GameDate], "&lt;=" &amp; $A104, Table2[AwayTeam], AB$1)+SUMIFS(Table2[NewPointsHome],Table2[GameDate], "&lt;=" &amp; $A104, Table2[HomeTeam], AB$1)</f>
        <v>32</v>
      </c>
      <c r="AC104" s="145">
        <f>SUMIFS(Table2[NewPointsAway],Table2[GameDate], "&lt;=" &amp; $A104, Table2[AwayTeam], AC$1)+SUMIFS(Table2[NewPointsHome],Table2[GameDate], "&lt;=" &amp; $A104, Table2[HomeTeam], AC$1)</f>
        <v>31</v>
      </c>
      <c r="AD104" s="145">
        <f>SUMIFS(Table2[NewPointsAway],Table2[GameDate], "&lt;=" &amp; $A104, Table2[AwayTeam], AD$1)+SUMIFS(Table2[NewPointsHome],Table2[GameDate], "&lt;=" &amp; $A104, Table2[HomeTeam], AD$1)</f>
        <v>25</v>
      </c>
      <c r="AE104" s="145">
        <f>SUMIFS(Table2[NewPointsAway],Table2[GameDate], "&lt;=" &amp; $A104, Table2[AwayTeam], AE$1)+SUMIFS(Table2[NewPointsHome],Table2[GameDate], "&lt;=" &amp; $A104, Table2[HomeTeam], AE$1)</f>
        <v>36</v>
      </c>
      <c r="AF104" s="145">
        <f>SUMIFS(Table2[NewPointsAway],Table2[GameDate], "&lt;=" &amp; $A104, Table2[AwayTeam], AF$1)+SUMIFS(Table2[NewPointsHome],Table2[GameDate], "&lt;=" &amp; $A104, Table2[HomeTeam], AF$1)</f>
        <v>29</v>
      </c>
      <c r="AG104" s="145">
        <f>SUMIFS(Table2[NewPointsAway],Table2[GameDate], "&lt;=" &amp; $A104, Table2[AwayTeam], AG$1)+SUMIFS(Table2[NewPointsHome],Table2[GameDate], "&lt;=" &amp; $A104, Table2[HomeTeam], AG$1)</f>
        <v>39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37</v>
      </c>
      <c r="C105" s="145">
        <f>SUMIFS(Table2[NewPointsAway],Table2[GameDate], "&lt;=" &amp; $A105, Table2[AwayTeam], C$1)+SUMIFS(Table2[NewPointsHome],Table2[GameDate], "&lt;=" &amp; $A105, Table2[HomeTeam], C$1)</f>
        <v>34</v>
      </c>
      <c r="D105" s="145">
        <f>SUMIFS(Table2[NewPointsAway],Table2[GameDate], "&lt;=" &amp; $A105, Table2[AwayTeam], D$1)+SUMIFS(Table2[NewPointsHome],Table2[GameDate], "&lt;=" &amp; $A105, Table2[HomeTeam], D$1)</f>
        <v>26</v>
      </c>
      <c r="E105" s="145">
        <f>SUMIFS(Table2[NewPointsAway],Table2[GameDate], "&lt;=" &amp; $A105, Table2[AwayTeam], E$1)+SUMIFS(Table2[NewPointsHome],Table2[GameDate], "&lt;=" &amp; $A105, Table2[HomeTeam], E$1)</f>
        <v>36</v>
      </c>
      <c r="F105" s="145">
        <f>SUMIFS(Table2[NewPointsAway],Table2[GameDate], "&lt;=" &amp; $A105, Table2[AwayTeam], F$1)+SUMIFS(Table2[NewPointsHome],Table2[GameDate], "&lt;=" &amp; $A105, Table2[HomeTeam], F$1)</f>
        <v>32</v>
      </c>
      <c r="G105" s="145">
        <f>SUMIFS(Table2[NewPointsAway],Table2[GameDate], "&lt;=" &amp; $A105, Table2[AwayTeam], G$1)+SUMIFS(Table2[NewPointsHome],Table2[GameDate], "&lt;=" &amp; $A105, Table2[HomeTeam], G$1)</f>
        <v>28</v>
      </c>
      <c r="H105" s="145">
        <f>SUMIFS(Table2[NewPointsAway],Table2[GameDate], "&lt;=" &amp; $A105, Table2[AwayTeam], H$1)+SUMIFS(Table2[NewPointsHome],Table2[GameDate], "&lt;=" &amp; $A105, Table2[HomeTeam], H$1)</f>
        <v>30</v>
      </c>
      <c r="I105" s="145">
        <f>SUMIFS(Table2[NewPointsAway],Table2[GameDate], "&lt;=" &amp; $A105, Table2[AwayTeam], I$1)+SUMIFS(Table2[NewPointsHome],Table2[GameDate], "&lt;=" &amp; $A105, Table2[HomeTeam], I$1)</f>
        <v>48</v>
      </c>
      <c r="J105" s="145">
        <f>SUMIFS(Table2[NewPointsAway],Table2[GameDate], "&lt;=" &amp; $A105, Table2[AwayTeam], J$1)+SUMIFS(Table2[NewPointsHome],Table2[GameDate], "&lt;=" &amp; $A105, Table2[HomeTeam], J$1)</f>
        <v>45</v>
      </c>
      <c r="K105" s="145">
        <f>SUMIFS(Table2[NewPointsAway],Table2[GameDate], "&lt;=" &amp; $A105, Table2[AwayTeam], K$1)+SUMIFS(Table2[NewPointsHome],Table2[GameDate], "&lt;=" &amp; $A105, Table2[HomeTeam], K$1)</f>
        <v>35</v>
      </c>
      <c r="L105" s="145">
        <f>SUMIFS(Table2[NewPointsAway],Table2[GameDate], "&lt;=" &amp; $A105, Table2[AwayTeam], L$1)+SUMIFS(Table2[NewPointsHome],Table2[GameDate], "&lt;=" &amp; $A105, Table2[HomeTeam], L$1)</f>
        <v>31</v>
      </c>
      <c r="M105" s="145">
        <f>SUMIFS(Table2[NewPointsAway],Table2[GameDate], "&lt;=" &amp; $A105, Table2[AwayTeam], M$1)+SUMIFS(Table2[NewPointsHome],Table2[GameDate], "&lt;=" &amp; $A105, Table2[HomeTeam], M$1)</f>
        <v>30</v>
      </c>
      <c r="N105" s="145">
        <f>SUMIFS(Table2[NewPointsAway],Table2[GameDate], "&lt;=" &amp; $A105, Table2[AwayTeam], N$1)+SUMIFS(Table2[NewPointsHome],Table2[GameDate], "&lt;=" &amp; $A105, Table2[HomeTeam], N$1)</f>
        <v>35</v>
      </c>
      <c r="O105" s="145">
        <f>SUMIFS(Table2[NewPointsAway],Table2[GameDate], "&lt;=" &amp; $A105, Table2[AwayTeam], O$1)+SUMIFS(Table2[NewPointsHome],Table2[GameDate], "&lt;=" &amp; $A105, Table2[HomeTeam], O$1)</f>
        <v>37</v>
      </c>
      <c r="P105" s="145">
        <f>SUMIFS(Table2[NewPointsAway],Table2[GameDate], "&lt;=" &amp; $A105, Table2[AwayTeam], P$1)+SUMIFS(Table2[NewPointsHome],Table2[GameDate], "&lt;=" &amp; $A105, Table2[HomeTeam], P$1)</f>
        <v>33</v>
      </c>
      <c r="Q105" s="145">
        <f>SUMIFS(Table2[NewPointsAway],Table2[GameDate], "&lt;=" &amp; $A105, Table2[AwayTeam], Q$1)+SUMIFS(Table2[NewPointsHome],Table2[GameDate], "&lt;=" &amp; $A105, Table2[HomeTeam], Q$1)</f>
        <v>33</v>
      </c>
      <c r="R105" s="145">
        <f>SUMIFS(Table2[NewPointsAway],Table2[GameDate], "&lt;=" &amp; $A105, Table2[AwayTeam], R$1)+SUMIFS(Table2[NewPointsHome],Table2[GameDate], "&lt;=" &amp; $A105, Table2[HomeTeam], R$1)</f>
        <v>24</v>
      </c>
      <c r="S105" s="145">
        <f>SUMIFS(Table2[NewPointsAway],Table2[GameDate], "&lt;=" &amp; $A105, Table2[AwayTeam], S$1)+SUMIFS(Table2[NewPointsHome],Table2[GameDate], "&lt;=" &amp; $A105, Table2[HomeTeam], S$1)</f>
        <v>35</v>
      </c>
      <c r="T105" s="145">
        <f>SUMIFS(Table2[NewPointsAway],Table2[GameDate], "&lt;=" &amp; $A105, Table2[AwayTeam], T$1)+SUMIFS(Table2[NewPointsHome],Table2[GameDate], "&lt;=" &amp; $A105, Table2[HomeTeam], T$1)</f>
        <v>34</v>
      </c>
      <c r="U105" s="145">
        <f>SUMIFS(Table2[NewPointsAway],Table2[GameDate], "&lt;=" &amp; $A105, Table2[AwayTeam], U$1)+SUMIFS(Table2[NewPointsHome],Table2[GameDate], "&lt;=" &amp; $A105, Table2[HomeTeam], U$1)</f>
        <v>30</v>
      </c>
      <c r="V105" s="145">
        <f>SUMIFS(Table2[NewPointsAway],Table2[GameDate], "&lt;=" &amp; $A105, Table2[AwayTeam], V$1)+SUMIFS(Table2[NewPointsHome],Table2[GameDate], "&lt;=" &amp; $A105, Table2[HomeTeam], V$1)</f>
        <v>32</v>
      </c>
      <c r="W105" s="145">
        <f>SUMIFS(Table2[NewPointsAway],Table2[GameDate], "&lt;=" &amp; $A105, Table2[AwayTeam], W$1)+SUMIFS(Table2[NewPointsHome],Table2[GameDate], "&lt;=" &amp; $A105, Table2[HomeTeam], W$1)</f>
        <v>34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31</v>
      </c>
      <c r="Z105" s="145">
        <f>SUMIFS(Table2[NewPointsAway],Table2[GameDate], "&lt;=" &amp; $A105, Table2[AwayTeam], Z$1)+SUMIFS(Table2[NewPointsHome],Table2[GameDate], "&lt;=" &amp; $A105, Table2[HomeTeam], Z$1)</f>
        <v>30</v>
      </c>
      <c r="AA105" s="145">
        <f>SUMIFS(Table2[NewPointsAway],Table2[GameDate], "&lt;=" &amp; $A105, Table2[AwayTeam], AA$1)+SUMIFS(Table2[NewPointsHome],Table2[GameDate], "&lt;=" &amp; $A105, Table2[HomeTeam], AA$1)</f>
        <v>34</v>
      </c>
      <c r="AB105" s="145">
        <f>SUMIFS(Table2[NewPointsAway],Table2[GameDate], "&lt;=" &amp; $A105, Table2[AwayTeam], AB$1)+SUMIFS(Table2[NewPointsHome],Table2[GameDate], "&lt;=" &amp; $A105, Table2[HomeTeam], AB$1)</f>
        <v>32</v>
      </c>
      <c r="AC105" s="145">
        <f>SUMIFS(Table2[NewPointsAway],Table2[GameDate], "&lt;=" &amp; $A105, Table2[AwayTeam], AC$1)+SUMIFS(Table2[NewPointsHome],Table2[GameDate], "&lt;=" &amp; $A105, Table2[HomeTeam], AC$1)</f>
        <v>31</v>
      </c>
      <c r="AD105" s="145">
        <f>SUMIFS(Table2[NewPointsAway],Table2[GameDate], "&lt;=" &amp; $A105, Table2[AwayTeam], AD$1)+SUMIFS(Table2[NewPointsHome],Table2[GameDate], "&lt;=" &amp; $A105, Table2[HomeTeam], AD$1)</f>
        <v>25</v>
      </c>
      <c r="AE105" s="145">
        <f>SUMIFS(Table2[NewPointsAway],Table2[GameDate], "&lt;=" &amp; $A105, Table2[AwayTeam], AE$1)+SUMIFS(Table2[NewPointsHome],Table2[GameDate], "&lt;=" &amp; $A105, Table2[HomeTeam], AE$1)</f>
        <v>36</v>
      </c>
      <c r="AF105" s="145">
        <f>SUMIFS(Table2[NewPointsAway],Table2[GameDate], "&lt;=" &amp; $A105, Table2[AwayTeam], AF$1)+SUMIFS(Table2[NewPointsHome],Table2[GameDate], "&lt;=" &amp; $A105, Table2[HomeTeam], AF$1)</f>
        <v>29</v>
      </c>
      <c r="AG105" s="145">
        <f>SUMIFS(Table2[NewPointsAway],Table2[GameDate], "&lt;=" &amp; $A105, Table2[AwayTeam], AG$1)+SUMIFS(Table2[NewPointsHome],Table2[GameDate], "&lt;=" &amp; $A105, Table2[HomeTeam], AG$1)</f>
        <v>39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37</v>
      </c>
      <c r="C106" s="145">
        <f>SUMIFS(Table2[NewPointsAway],Table2[GameDate], "&lt;=" &amp; $A106, Table2[AwayTeam], C$1)+SUMIFS(Table2[NewPointsHome],Table2[GameDate], "&lt;=" &amp; $A106, Table2[HomeTeam], C$1)</f>
        <v>34</v>
      </c>
      <c r="D106" s="145">
        <f>SUMIFS(Table2[NewPointsAway],Table2[GameDate], "&lt;=" &amp; $A106, Table2[AwayTeam], D$1)+SUMIFS(Table2[NewPointsHome],Table2[GameDate], "&lt;=" &amp; $A106, Table2[HomeTeam], D$1)</f>
        <v>26</v>
      </c>
      <c r="E106" s="145">
        <f>SUMIFS(Table2[NewPointsAway],Table2[GameDate], "&lt;=" &amp; $A106, Table2[AwayTeam], E$1)+SUMIFS(Table2[NewPointsHome],Table2[GameDate], "&lt;=" &amp; $A106, Table2[HomeTeam], E$1)</f>
        <v>36</v>
      </c>
      <c r="F106" s="145">
        <f>SUMIFS(Table2[NewPointsAway],Table2[GameDate], "&lt;=" &amp; $A106, Table2[AwayTeam], F$1)+SUMIFS(Table2[NewPointsHome],Table2[GameDate], "&lt;=" &amp; $A106, Table2[HomeTeam], F$1)</f>
        <v>32</v>
      </c>
      <c r="G106" s="145">
        <f>SUMIFS(Table2[NewPointsAway],Table2[GameDate], "&lt;=" &amp; $A106, Table2[AwayTeam], G$1)+SUMIFS(Table2[NewPointsHome],Table2[GameDate], "&lt;=" &amp; $A106, Table2[HomeTeam], G$1)</f>
        <v>28</v>
      </c>
      <c r="H106" s="145">
        <f>SUMIFS(Table2[NewPointsAway],Table2[GameDate], "&lt;=" &amp; $A106, Table2[AwayTeam], H$1)+SUMIFS(Table2[NewPointsHome],Table2[GameDate], "&lt;=" &amp; $A106, Table2[HomeTeam], H$1)</f>
        <v>30</v>
      </c>
      <c r="I106" s="145">
        <f>SUMIFS(Table2[NewPointsAway],Table2[GameDate], "&lt;=" &amp; $A106, Table2[AwayTeam], I$1)+SUMIFS(Table2[NewPointsHome],Table2[GameDate], "&lt;=" &amp; $A106, Table2[HomeTeam], I$1)</f>
        <v>48</v>
      </c>
      <c r="J106" s="145">
        <f>SUMIFS(Table2[NewPointsAway],Table2[GameDate], "&lt;=" &amp; $A106, Table2[AwayTeam], J$1)+SUMIFS(Table2[NewPointsHome],Table2[GameDate], "&lt;=" &amp; $A106, Table2[HomeTeam], J$1)</f>
        <v>45</v>
      </c>
      <c r="K106" s="145">
        <f>SUMIFS(Table2[NewPointsAway],Table2[GameDate], "&lt;=" &amp; $A106, Table2[AwayTeam], K$1)+SUMIFS(Table2[NewPointsHome],Table2[GameDate], "&lt;=" &amp; $A106, Table2[HomeTeam], K$1)</f>
        <v>35</v>
      </c>
      <c r="L106" s="145">
        <f>SUMIFS(Table2[NewPointsAway],Table2[GameDate], "&lt;=" &amp; $A106, Table2[AwayTeam], L$1)+SUMIFS(Table2[NewPointsHome],Table2[GameDate], "&lt;=" &amp; $A106, Table2[HomeTeam], L$1)</f>
        <v>31</v>
      </c>
      <c r="M106" s="145">
        <f>SUMIFS(Table2[NewPointsAway],Table2[GameDate], "&lt;=" &amp; $A106, Table2[AwayTeam], M$1)+SUMIFS(Table2[NewPointsHome],Table2[GameDate], "&lt;=" &amp; $A106, Table2[HomeTeam], M$1)</f>
        <v>30</v>
      </c>
      <c r="N106" s="145">
        <f>SUMIFS(Table2[NewPointsAway],Table2[GameDate], "&lt;=" &amp; $A106, Table2[AwayTeam], N$1)+SUMIFS(Table2[NewPointsHome],Table2[GameDate], "&lt;=" &amp; $A106, Table2[HomeTeam], N$1)</f>
        <v>35</v>
      </c>
      <c r="O106" s="145">
        <f>SUMIFS(Table2[NewPointsAway],Table2[GameDate], "&lt;=" &amp; $A106, Table2[AwayTeam], O$1)+SUMIFS(Table2[NewPointsHome],Table2[GameDate], "&lt;=" &amp; $A106, Table2[HomeTeam], O$1)</f>
        <v>37</v>
      </c>
      <c r="P106" s="145">
        <f>SUMIFS(Table2[NewPointsAway],Table2[GameDate], "&lt;=" &amp; $A106, Table2[AwayTeam], P$1)+SUMIFS(Table2[NewPointsHome],Table2[GameDate], "&lt;=" &amp; $A106, Table2[HomeTeam], P$1)</f>
        <v>33</v>
      </c>
      <c r="Q106" s="145">
        <f>SUMIFS(Table2[NewPointsAway],Table2[GameDate], "&lt;=" &amp; $A106, Table2[AwayTeam], Q$1)+SUMIFS(Table2[NewPointsHome],Table2[GameDate], "&lt;=" &amp; $A106, Table2[HomeTeam], Q$1)</f>
        <v>33</v>
      </c>
      <c r="R106" s="145">
        <f>SUMIFS(Table2[NewPointsAway],Table2[GameDate], "&lt;=" &amp; $A106, Table2[AwayTeam], R$1)+SUMIFS(Table2[NewPointsHome],Table2[GameDate], "&lt;=" &amp; $A106, Table2[HomeTeam], R$1)</f>
        <v>24</v>
      </c>
      <c r="S106" s="145">
        <f>SUMIFS(Table2[NewPointsAway],Table2[GameDate], "&lt;=" &amp; $A106, Table2[AwayTeam], S$1)+SUMIFS(Table2[NewPointsHome],Table2[GameDate], "&lt;=" &amp; $A106, Table2[HomeTeam], S$1)</f>
        <v>35</v>
      </c>
      <c r="T106" s="145">
        <f>SUMIFS(Table2[NewPointsAway],Table2[GameDate], "&lt;=" &amp; $A106, Table2[AwayTeam], T$1)+SUMIFS(Table2[NewPointsHome],Table2[GameDate], "&lt;=" &amp; $A106, Table2[HomeTeam], T$1)</f>
        <v>34</v>
      </c>
      <c r="U106" s="145">
        <f>SUMIFS(Table2[NewPointsAway],Table2[GameDate], "&lt;=" &amp; $A106, Table2[AwayTeam], U$1)+SUMIFS(Table2[NewPointsHome],Table2[GameDate], "&lt;=" &amp; $A106, Table2[HomeTeam], U$1)</f>
        <v>30</v>
      </c>
      <c r="V106" s="145">
        <f>SUMIFS(Table2[NewPointsAway],Table2[GameDate], "&lt;=" &amp; $A106, Table2[AwayTeam], V$1)+SUMIFS(Table2[NewPointsHome],Table2[GameDate], "&lt;=" &amp; $A106, Table2[HomeTeam], V$1)</f>
        <v>32</v>
      </c>
      <c r="W106" s="145">
        <f>SUMIFS(Table2[NewPointsAway],Table2[GameDate], "&lt;=" &amp; $A106, Table2[AwayTeam], W$1)+SUMIFS(Table2[NewPointsHome],Table2[GameDate], "&lt;=" &amp; $A106, Table2[HomeTeam], W$1)</f>
        <v>34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31</v>
      </c>
      <c r="Z106" s="145">
        <f>SUMIFS(Table2[NewPointsAway],Table2[GameDate], "&lt;=" &amp; $A106, Table2[AwayTeam], Z$1)+SUMIFS(Table2[NewPointsHome],Table2[GameDate], "&lt;=" &amp; $A106, Table2[HomeTeam], Z$1)</f>
        <v>30</v>
      </c>
      <c r="AA106" s="145">
        <f>SUMIFS(Table2[NewPointsAway],Table2[GameDate], "&lt;=" &amp; $A106, Table2[AwayTeam], AA$1)+SUMIFS(Table2[NewPointsHome],Table2[GameDate], "&lt;=" &amp; $A106, Table2[HomeTeam], AA$1)</f>
        <v>34</v>
      </c>
      <c r="AB106" s="145">
        <f>SUMIFS(Table2[NewPointsAway],Table2[GameDate], "&lt;=" &amp; $A106, Table2[AwayTeam], AB$1)+SUMIFS(Table2[NewPointsHome],Table2[GameDate], "&lt;=" &amp; $A106, Table2[HomeTeam], AB$1)</f>
        <v>32</v>
      </c>
      <c r="AC106" s="145">
        <f>SUMIFS(Table2[NewPointsAway],Table2[GameDate], "&lt;=" &amp; $A106, Table2[AwayTeam], AC$1)+SUMIFS(Table2[NewPointsHome],Table2[GameDate], "&lt;=" &amp; $A106, Table2[HomeTeam], AC$1)</f>
        <v>31</v>
      </c>
      <c r="AD106" s="145">
        <f>SUMIFS(Table2[NewPointsAway],Table2[GameDate], "&lt;=" &amp; $A106, Table2[AwayTeam], AD$1)+SUMIFS(Table2[NewPointsHome],Table2[GameDate], "&lt;=" &amp; $A106, Table2[HomeTeam], AD$1)</f>
        <v>25</v>
      </c>
      <c r="AE106" s="145">
        <f>SUMIFS(Table2[NewPointsAway],Table2[GameDate], "&lt;=" &amp; $A106, Table2[AwayTeam], AE$1)+SUMIFS(Table2[NewPointsHome],Table2[GameDate], "&lt;=" &amp; $A106, Table2[HomeTeam], AE$1)</f>
        <v>36</v>
      </c>
      <c r="AF106" s="145">
        <f>SUMIFS(Table2[NewPointsAway],Table2[GameDate], "&lt;=" &amp; $A106, Table2[AwayTeam], AF$1)+SUMIFS(Table2[NewPointsHome],Table2[GameDate], "&lt;=" &amp; $A106, Table2[HomeTeam], AF$1)</f>
        <v>29</v>
      </c>
      <c r="AG106" s="145">
        <f>SUMIFS(Table2[NewPointsAway],Table2[GameDate], "&lt;=" &amp; $A106, Table2[AwayTeam], AG$1)+SUMIFS(Table2[NewPointsHome],Table2[GameDate], "&lt;=" &amp; $A106, Table2[HomeTeam], AG$1)</f>
        <v>39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37</v>
      </c>
      <c r="C107" s="145">
        <f>SUMIFS(Table2[NewPointsAway],Table2[GameDate], "&lt;=" &amp; $A107, Table2[AwayTeam], C$1)+SUMIFS(Table2[NewPointsHome],Table2[GameDate], "&lt;=" &amp; $A107, Table2[HomeTeam], C$1)</f>
        <v>34</v>
      </c>
      <c r="D107" s="145">
        <f>SUMIFS(Table2[NewPointsAway],Table2[GameDate], "&lt;=" &amp; $A107, Table2[AwayTeam], D$1)+SUMIFS(Table2[NewPointsHome],Table2[GameDate], "&lt;=" &amp; $A107, Table2[HomeTeam], D$1)</f>
        <v>26</v>
      </c>
      <c r="E107" s="145">
        <f>SUMIFS(Table2[NewPointsAway],Table2[GameDate], "&lt;=" &amp; $A107, Table2[AwayTeam], E$1)+SUMIFS(Table2[NewPointsHome],Table2[GameDate], "&lt;=" &amp; $A107, Table2[HomeTeam], E$1)</f>
        <v>36</v>
      </c>
      <c r="F107" s="145">
        <f>SUMIFS(Table2[NewPointsAway],Table2[GameDate], "&lt;=" &amp; $A107, Table2[AwayTeam], F$1)+SUMIFS(Table2[NewPointsHome],Table2[GameDate], "&lt;=" &amp; $A107, Table2[HomeTeam], F$1)</f>
        <v>32</v>
      </c>
      <c r="G107" s="145">
        <f>SUMIFS(Table2[NewPointsAway],Table2[GameDate], "&lt;=" &amp; $A107, Table2[AwayTeam], G$1)+SUMIFS(Table2[NewPointsHome],Table2[GameDate], "&lt;=" &amp; $A107, Table2[HomeTeam], G$1)</f>
        <v>28</v>
      </c>
      <c r="H107" s="145">
        <f>SUMIFS(Table2[NewPointsAway],Table2[GameDate], "&lt;=" &amp; $A107, Table2[AwayTeam], H$1)+SUMIFS(Table2[NewPointsHome],Table2[GameDate], "&lt;=" &amp; $A107, Table2[HomeTeam], H$1)</f>
        <v>30</v>
      </c>
      <c r="I107" s="145">
        <f>SUMIFS(Table2[NewPointsAway],Table2[GameDate], "&lt;=" &amp; $A107, Table2[AwayTeam], I$1)+SUMIFS(Table2[NewPointsHome],Table2[GameDate], "&lt;=" &amp; $A107, Table2[HomeTeam], I$1)</f>
        <v>48</v>
      </c>
      <c r="J107" s="145">
        <f>SUMIFS(Table2[NewPointsAway],Table2[GameDate], "&lt;=" &amp; $A107, Table2[AwayTeam], J$1)+SUMIFS(Table2[NewPointsHome],Table2[GameDate], "&lt;=" &amp; $A107, Table2[HomeTeam], J$1)</f>
        <v>45</v>
      </c>
      <c r="K107" s="145">
        <f>SUMIFS(Table2[NewPointsAway],Table2[GameDate], "&lt;=" &amp; $A107, Table2[AwayTeam], K$1)+SUMIFS(Table2[NewPointsHome],Table2[GameDate], "&lt;=" &amp; $A107, Table2[HomeTeam], K$1)</f>
        <v>35</v>
      </c>
      <c r="L107" s="145">
        <f>SUMIFS(Table2[NewPointsAway],Table2[GameDate], "&lt;=" &amp; $A107, Table2[AwayTeam], L$1)+SUMIFS(Table2[NewPointsHome],Table2[GameDate], "&lt;=" &amp; $A107, Table2[HomeTeam], L$1)</f>
        <v>31</v>
      </c>
      <c r="M107" s="145">
        <f>SUMIFS(Table2[NewPointsAway],Table2[GameDate], "&lt;=" &amp; $A107, Table2[AwayTeam], M$1)+SUMIFS(Table2[NewPointsHome],Table2[GameDate], "&lt;=" &amp; $A107, Table2[HomeTeam], M$1)</f>
        <v>30</v>
      </c>
      <c r="N107" s="145">
        <f>SUMIFS(Table2[NewPointsAway],Table2[GameDate], "&lt;=" &amp; $A107, Table2[AwayTeam], N$1)+SUMIFS(Table2[NewPointsHome],Table2[GameDate], "&lt;=" &amp; $A107, Table2[HomeTeam], N$1)</f>
        <v>35</v>
      </c>
      <c r="O107" s="145">
        <f>SUMIFS(Table2[NewPointsAway],Table2[GameDate], "&lt;=" &amp; $A107, Table2[AwayTeam], O$1)+SUMIFS(Table2[NewPointsHome],Table2[GameDate], "&lt;=" &amp; $A107, Table2[HomeTeam], O$1)</f>
        <v>37</v>
      </c>
      <c r="P107" s="145">
        <f>SUMIFS(Table2[NewPointsAway],Table2[GameDate], "&lt;=" &amp; $A107, Table2[AwayTeam], P$1)+SUMIFS(Table2[NewPointsHome],Table2[GameDate], "&lt;=" &amp; $A107, Table2[HomeTeam], P$1)</f>
        <v>33</v>
      </c>
      <c r="Q107" s="145">
        <f>SUMIFS(Table2[NewPointsAway],Table2[GameDate], "&lt;=" &amp; $A107, Table2[AwayTeam], Q$1)+SUMIFS(Table2[NewPointsHome],Table2[GameDate], "&lt;=" &amp; $A107, Table2[HomeTeam], Q$1)</f>
        <v>33</v>
      </c>
      <c r="R107" s="145">
        <f>SUMIFS(Table2[NewPointsAway],Table2[GameDate], "&lt;=" &amp; $A107, Table2[AwayTeam], R$1)+SUMIFS(Table2[NewPointsHome],Table2[GameDate], "&lt;=" &amp; $A107, Table2[HomeTeam], R$1)</f>
        <v>24</v>
      </c>
      <c r="S107" s="145">
        <f>SUMIFS(Table2[NewPointsAway],Table2[GameDate], "&lt;=" &amp; $A107, Table2[AwayTeam], S$1)+SUMIFS(Table2[NewPointsHome],Table2[GameDate], "&lt;=" &amp; $A107, Table2[HomeTeam], S$1)</f>
        <v>35</v>
      </c>
      <c r="T107" s="145">
        <f>SUMIFS(Table2[NewPointsAway],Table2[GameDate], "&lt;=" &amp; $A107, Table2[AwayTeam], T$1)+SUMIFS(Table2[NewPointsHome],Table2[GameDate], "&lt;=" &amp; $A107, Table2[HomeTeam], T$1)</f>
        <v>34</v>
      </c>
      <c r="U107" s="145">
        <f>SUMIFS(Table2[NewPointsAway],Table2[GameDate], "&lt;=" &amp; $A107, Table2[AwayTeam], U$1)+SUMIFS(Table2[NewPointsHome],Table2[GameDate], "&lt;=" &amp; $A107, Table2[HomeTeam], U$1)</f>
        <v>30</v>
      </c>
      <c r="V107" s="145">
        <f>SUMIFS(Table2[NewPointsAway],Table2[GameDate], "&lt;=" &amp; $A107, Table2[AwayTeam], V$1)+SUMIFS(Table2[NewPointsHome],Table2[GameDate], "&lt;=" &amp; $A107, Table2[HomeTeam], V$1)</f>
        <v>32</v>
      </c>
      <c r="W107" s="145">
        <f>SUMIFS(Table2[NewPointsAway],Table2[GameDate], "&lt;=" &amp; $A107, Table2[AwayTeam], W$1)+SUMIFS(Table2[NewPointsHome],Table2[GameDate], "&lt;=" &amp; $A107, Table2[HomeTeam], W$1)</f>
        <v>34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31</v>
      </c>
      <c r="Z107" s="145">
        <f>SUMIFS(Table2[NewPointsAway],Table2[GameDate], "&lt;=" &amp; $A107, Table2[AwayTeam], Z$1)+SUMIFS(Table2[NewPointsHome],Table2[GameDate], "&lt;=" &amp; $A107, Table2[HomeTeam], Z$1)</f>
        <v>30</v>
      </c>
      <c r="AA107" s="145">
        <f>SUMIFS(Table2[NewPointsAway],Table2[GameDate], "&lt;=" &amp; $A107, Table2[AwayTeam], AA$1)+SUMIFS(Table2[NewPointsHome],Table2[GameDate], "&lt;=" &amp; $A107, Table2[HomeTeam], AA$1)</f>
        <v>34</v>
      </c>
      <c r="AB107" s="145">
        <f>SUMIFS(Table2[NewPointsAway],Table2[GameDate], "&lt;=" &amp; $A107, Table2[AwayTeam], AB$1)+SUMIFS(Table2[NewPointsHome],Table2[GameDate], "&lt;=" &amp; $A107, Table2[HomeTeam], AB$1)</f>
        <v>32</v>
      </c>
      <c r="AC107" s="145">
        <f>SUMIFS(Table2[NewPointsAway],Table2[GameDate], "&lt;=" &amp; $A107, Table2[AwayTeam], AC$1)+SUMIFS(Table2[NewPointsHome],Table2[GameDate], "&lt;=" &amp; $A107, Table2[HomeTeam], AC$1)</f>
        <v>31</v>
      </c>
      <c r="AD107" s="145">
        <f>SUMIFS(Table2[NewPointsAway],Table2[GameDate], "&lt;=" &amp; $A107, Table2[AwayTeam], AD$1)+SUMIFS(Table2[NewPointsHome],Table2[GameDate], "&lt;=" &amp; $A107, Table2[HomeTeam], AD$1)</f>
        <v>25</v>
      </c>
      <c r="AE107" s="145">
        <f>SUMIFS(Table2[NewPointsAway],Table2[GameDate], "&lt;=" &amp; $A107, Table2[AwayTeam], AE$1)+SUMIFS(Table2[NewPointsHome],Table2[GameDate], "&lt;=" &amp; $A107, Table2[HomeTeam], AE$1)</f>
        <v>36</v>
      </c>
      <c r="AF107" s="145">
        <f>SUMIFS(Table2[NewPointsAway],Table2[GameDate], "&lt;=" &amp; $A107, Table2[AwayTeam], AF$1)+SUMIFS(Table2[NewPointsHome],Table2[GameDate], "&lt;=" &amp; $A107, Table2[HomeTeam], AF$1)</f>
        <v>29</v>
      </c>
      <c r="AG107" s="145">
        <f>SUMIFS(Table2[NewPointsAway],Table2[GameDate], "&lt;=" &amp; $A107, Table2[AwayTeam], AG$1)+SUMIFS(Table2[NewPointsHome],Table2[GameDate], "&lt;=" &amp; $A107, Table2[HomeTeam], AG$1)</f>
        <v>39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37</v>
      </c>
      <c r="C108" s="145">
        <f>SUMIFS(Table2[NewPointsAway],Table2[GameDate], "&lt;=" &amp; $A108, Table2[AwayTeam], C$1)+SUMIFS(Table2[NewPointsHome],Table2[GameDate], "&lt;=" &amp; $A108, Table2[HomeTeam], C$1)</f>
        <v>34</v>
      </c>
      <c r="D108" s="145">
        <f>SUMIFS(Table2[NewPointsAway],Table2[GameDate], "&lt;=" &amp; $A108, Table2[AwayTeam], D$1)+SUMIFS(Table2[NewPointsHome],Table2[GameDate], "&lt;=" &amp; $A108, Table2[HomeTeam], D$1)</f>
        <v>26</v>
      </c>
      <c r="E108" s="145">
        <f>SUMIFS(Table2[NewPointsAway],Table2[GameDate], "&lt;=" &amp; $A108, Table2[AwayTeam], E$1)+SUMIFS(Table2[NewPointsHome],Table2[GameDate], "&lt;=" &amp; $A108, Table2[HomeTeam], E$1)</f>
        <v>36</v>
      </c>
      <c r="F108" s="145">
        <f>SUMIFS(Table2[NewPointsAway],Table2[GameDate], "&lt;=" &amp; $A108, Table2[AwayTeam], F$1)+SUMIFS(Table2[NewPointsHome],Table2[GameDate], "&lt;=" &amp; $A108, Table2[HomeTeam], F$1)</f>
        <v>32</v>
      </c>
      <c r="G108" s="145">
        <f>SUMIFS(Table2[NewPointsAway],Table2[GameDate], "&lt;=" &amp; $A108, Table2[AwayTeam], G$1)+SUMIFS(Table2[NewPointsHome],Table2[GameDate], "&lt;=" &amp; $A108, Table2[HomeTeam], G$1)</f>
        <v>28</v>
      </c>
      <c r="H108" s="145">
        <f>SUMIFS(Table2[NewPointsAway],Table2[GameDate], "&lt;=" &amp; $A108, Table2[AwayTeam], H$1)+SUMIFS(Table2[NewPointsHome],Table2[GameDate], "&lt;=" &amp; $A108, Table2[HomeTeam], H$1)</f>
        <v>30</v>
      </c>
      <c r="I108" s="145">
        <f>SUMIFS(Table2[NewPointsAway],Table2[GameDate], "&lt;=" &amp; $A108, Table2[AwayTeam], I$1)+SUMIFS(Table2[NewPointsHome],Table2[GameDate], "&lt;=" &amp; $A108, Table2[HomeTeam], I$1)</f>
        <v>48</v>
      </c>
      <c r="J108" s="145">
        <f>SUMIFS(Table2[NewPointsAway],Table2[GameDate], "&lt;=" &amp; $A108, Table2[AwayTeam], J$1)+SUMIFS(Table2[NewPointsHome],Table2[GameDate], "&lt;=" &amp; $A108, Table2[HomeTeam], J$1)</f>
        <v>45</v>
      </c>
      <c r="K108" s="145">
        <f>SUMIFS(Table2[NewPointsAway],Table2[GameDate], "&lt;=" &amp; $A108, Table2[AwayTeam], K$1)+SUMIFS(Table2[NewPointsHome],Table2[GameDate], "&lt;=" &amp; $A108, Table2[HomeTeam], K$1)</f>
        <v>35</v>
      </c>
      <c r="L108" s="145">
        <f>SUMIFS(Table2[NewPointsAway],Table2[GameDate], "&lt;=" &amp; $A108, Table2[AwayTeam], L$1)+SUMIFS(Table2[NewPointsHome],Table2[GameDate], "&lt;=" &amp; $A108, Table2[HomeTeam], L$1)</f>
        <v>31</v>
      </c>
      <c r="M108" s="145">
        <f>SUMIFS(Table2[NewPointsAway],Table2[GameDate], "&lt;=" &amp; $A108, Table2[AwayTeam], M$1)+SUMIFS(Table2[NewPointsHome],Table2[GameDate], "&lt;=" &amp; $A108, Table2[HomeTeam], M$1)</f>
        <v>30</v>
      </c>
      <c r="N108" s="145">
        <f>SUMIFS(Table2[NewPointsAway],Table2[GameDate], "&lt;=" &amp; $A108, Table2[AwayTeam], N$1)+SUMIFS(Table2[NewPointsHome],Table2[GameDate], "&lt;=" &amp; $A108, Table2[HomeTeam], N$1)</f>
        <v>35</v>
      </c>
      <c r="O108" s="145">
        <f>SUMIFS(Table2[NewPointsAway],Table2[GameDate], "&lt;=" &amp; $A108, Table2[AwayTeam], O$1)+SUMIFS(Table2[NewPointsHome],Table2[GameDate], "&lt;=" &amp; $A108, Table2[HomeTeam], O$1)</f>
        <v>37</v>
      </c>
      <c r="P108" s="145">
        <f>SUMIFS(Table2[NewPointsAway],Table2[GameDate], "&lt;=" &amp; $A108, Table2[AwayTeam], P$1)+SUMIFS(Table2[NewPointsHome],Table2[GameDate], "&lt;=" &amp; $A108, Table2[HomeTeam], P$1)</f>
        <v>33</v>
      </c>
      <c r="Q108" s="145">
        <f>SUMIFS(Table2[NewPointsAway],Table2[GameDate], "&lt;=" &amp; $A108, Table2[AwayTeam], Q$1)+SUMIFS(Table2[NewPointsHome],Table2[GameDate], "&lt;=" &amp; $A108, Table2[HomeTeam], Q$1)</f>
        <v>33</v>
      </c>
      <c r="R108" s="145">
        <f>SUMIFS(Table2[NewPointsAway],Table2[GameDate], "&lt;=" &amp; $A108, Table2[AwayTeam], R$1)+SUMIFS(Table2[NewPointsHome],Table2[GameDate], "&lt;=" &amp; $A108, Table2[HomeTeam], R$1)</f>
        <v>24</v>
      </c>
      <c r="S108" s="145">
        <f>SUMIFS(Table2[NewPointsAway],Table2[GameDate], "&lt;=" &amp; $A108, Table2[AwayTeam], S$1)+SUMIFS(Table2[NewPointsHome],Table2[GameDate], "&lt;=" &amp; $A108, Table2[HomeTeam], S$1)</f>
        <v>35</v>
      </c>
      <c r="T108" s="145">
        <f>SUMIFS(Table2[NewPointsAway],Table2[GameDate], "&lt;=" &amp; $A108, Table2[AwayTeam], T$1)+SUMIFS(Table2[NewPointsHome],Table2[GameDate], "&lt;=" &amp; $A108, Table2[HomeTeam], T$1)</f>
        <v>34</v>
      </c>
      <c r="U108" s="145">
        <f>SUMIFS(Table2[NewPointsAway],Table2[GameDate], "&lt;=" &amp; $A108, Table2[AwayTeam], U$1)+SUMIFS(Table2[NewPointsHome],Table2[GameDate], "&lt;=" &amp; $A108, Table2[HomeTeam], U$1)</f>
        <v>30</v>
      </c>
      <c r="V108" s="145">
        <f>SUMIFS(Table2[NewPointsAway],Table2[GameDate], "&lt;=" &amp; $A108, Table2[AwayTeam], V$1)+SUMIFS(Table2[NewPointsHome],Table2[GameDate], "&lt;=" &amp; $A108, Table2[HomeTeam], V$1)</f>
        <v>32</v>
      </c>
      <c r="W108" s="145">
        <f>SUMIFS(Table2[NewPointsAway],Table2[GameDate], "&lt;=" &amp; $A108, Table2[AwayTeam], W$1)+SUMIFS(Table2[NewPointsHome],Table2[GameDate], "&lt;=" &amp; $A108, Table2[HomeTeam], W$1)</f>
        <v>34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31</v>
      </c>
      <c r="Z108" s="145">
        <f>SUMIFS(Table2[NewPointsAway],Table2[GameDate], "&lt;=" &amp; $A108, Table2[AwayTeam], Z$1)+SUMIFS(Table2[NewPointsHome],Table2[GameDate], "&lt;=" &amp; $A108, Table2[HomeTeam], Z$1)</f>
        <v>30</v>
      </c>
      <c r="AA108" s="145">
        <f>SUMIFS(Table2[NewPointsAway],Table2[GameDate], "&lt;=" &amp; $A108, Table2[AwayTeam], AA$1)+SUMIFS(Table2[NewPointsHome],Table2[GameDate], "&lt;=" &amp; $A108, Table2[HomeTeam], AA$1)</f>
        <v>34</v>
      </c>
      <c r="AB108" s="145">
        <f>SUMIFS(Table2[NewPointsAway],Table2[GameDate], "&lt;=" &amp; $A108, Table2[AwayTeam], AB$1)+SUMIFS(Table2[NewPointsHome],Table2[GameDate], "&lt;=" &amp; $A108, Table2[HomeTeam], AB$1)</f>
        <v>32</v>
      </c>
      <c r="AC108" s="145">
        <f>SUMIFS(Table2[NewPointsAway],Table2[GameDate], "&lt;=" &amp; $A108, Table2[AwayTeam], AC$1)+SUMIFS(Table2[NewPointsHome],Table2[GameDate], "&lt;=" &amp; $A108, Table2[HomeTeam], AC$1)</f>
        <v>31</v>
      </c>
      <c r="AD108" s="145">
        <f>SUMIFS(Table2[NewPointsAway],Table2[GameDate], "&lt;=" &amp; $A108, Table2[AwayTeam], AD$1)+SUMIFS(Table2[NewPointsHome],Table2[GameDate], "&lt;=" &amp; $A108, Table2[HomeTeam], AD$1)</f>
        <v>25</v>
      </c>
      <c r="AE108" s="145">
        <f>SUMIFS(Table2[NewPointsAway],Table2[GameDate], "&lt;=" &amp; $A108, Table2[AwayTeam], AE$1)+SUMIFS(Table2[NewPointsHome],Table2[GameDate], "&lt;=" &amp; $A108, Table2[HomeTeam], AE$1)</f>
        <v>36</v>
      </c>
      <c r="AF108" s="145">
        <f>SUMIFS(Table2[NewPointsAway],Table2[GameDate], "&lt;=" &amp; $A108, Table2[AwayTeam], AF$1)+SUMIFS(Table2[NewPointsHome],Table2[GameDate], "&lt;=" &amp; $A108, Table2[HomeTeam], AF$1)</f>
        <v>29</v>
      </c>
      <c r="AG108" s="145">
        <f>SUMIFS(Table2[NewPointsAway],Table2[GameDate], "&lt;=" &amp; $A108, Table2[AwayTeam], AG$1)+SUMIFS(Table2[NewPointsHome],Table2[GameDate], "&lt;=" &amp; $A108, Table2[HomeTeam], AG$1)</f>
        <v>39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37</v>
      </c>
      <c r="C109" s="145">
        <f>SUMIFS(Table2[NewPointsAway],Table2[GameDate], "&lt;=" &amp; $A109, Table2[AwayTeam], C$1)+SUMIFS(Table2[NewPointsHome],Table2[GameDate], "&lt;=" &amp; $A109, Table2[HomeTeam], C$1)</f>
        <v>34</v>
      </c>
      <c r="D109" s="145">
        <f>SUMIFS(Table2[NewPointsAway],Table2[GameDate], "&lt;=" &amp; $A109, Table2[AwayTeam], D$1)+SUMIFS(Table2[NewPointsHome],Table2[GameDate], "&lt;=" &amp; $A109, Table2[HomeTeam], D$1)</f>
        <v>26</v>
      </c>
      <c r="E109" s="145">
        <f>SUMIFS(Table2[NewPointsAway],Table2[GameDate], "&lt;=" &amp; $A109, Table2[AwayTeam], E$1)+SUMIFS(Table2[NewPointsHome],Table2[GameDate], "&lt;=" &amp; $A109, Table2[HomeTeam], E$1)</f>
        <v>36</v>
      </c>
      <c r="F109" s="145">
        <f>SUMIFS(Table2[NewPointsAway],Table2[GameDate], "&lt;=" &amp; $A109, Table2[AwayTeam], F$1)+SUMIFS(Table2[NewPointsHome],Table2[GameDate], "&lt;=" &amp; $A109, Table2[HomeTeam], F$1)</f>
        <v>32</v>
      </c>
      <c r="G109" s="145">
        <f>SUMIFS(Table2[NewPointsAway],Table2[GameDate], "&lt;=" &amp; $A109, Table2[AwayTeam], G$1)+SUMIFS(Table2[NewPointsHome],Table2[GameDate], "&lt;=" &amp; $A109, Table2[HomeTeam], G$1)</f>
        <v>28</v>
      </c>
      <c r="H109" s="145">
        <f>SUMIFS(Table2[NewPointsAway],Table2[GameDate], "&lt;=" &amp; $A109, Table2[AwayTeam], H$1)+SUMIFS(Table2[NewPointsHome],Table2[GameDate], "&lt;=" &amp; $A109, Table2[HomeTeam], H$1)</f>
        <v>30</v>
      </c>
      <c r="I109" s="145">
        <f>SUMIFS(Table2[NewPointsAway],Table2[GameDate], "&lt;=" &amp; $A109, Table2[AwayTeam], I$1)+SUMIFS(Table2[NewPointsHome],Table2[GameDate], "&lt;=" &amp; $A109, Table2[HomeTeam], I$1)</f>
        <v>48</v>
      </c>
      <c r="J109" s="145">
        <f>SUMIFS(Table2[NewPointsAway],Table2[GameDate], "&lt;=" &amp; $A109, Table2[AwayTeam], J$1)+SUMIFS(Table2[NewPointsHome],Table2[GameDate], "&lt;=" &amp; $A109, Table2[HomeTeam], J$1)</f>
        <v>45</v>
      </c>
      <c r="K109" s="145">
        <f>SUMIFS(Table2[NewPointsAway],Table2[GameDate], "&lt;=" &amp; $A109, Table2[AwayTeam], K$1)+SUMIFS(Table2[NewPointsHome],Table2[GameDate], "&lt;=" &amp; $A109, Table2[HomeTeam], K$1)</f>
        <v>35</v>
      </c>
      <c r="L109" s="145">
        <f>SUMIFS(Table2[NewPointsAway],Table2[GameDate], "&lt;=" &amp; $A109, Table2[AwayTeam], L$1)+SUMIFS(Table2[NewPointsHome],Table2[GameDate], "&lt;=" &amp; $A109, Table2[HomeTeam], L$1)</f>
        <v>31</v>
      </c>
      <c r="M109" s="145">
        <f>SUMIFS(Table2[NewPointsAway],Table2[GameDate], "&lt;=" &amp; $A109, Table2[AwayTeam], M$1)+SUMIFS(Table2[NewPointsHome],Table2[GameDate], "&lt;=" &amp; $A109, Table2[HomeTeam], M$1)</f>
        <v>30</v>
      </c>
      <c r="N109" s="145">
        <f>SUMIFS(Table2[NewPointsAway],Table2[GameDate], "&lt;=" &amp; $A109, Table2[AwayTeam], N$1)+SUMIFS(Table2[NewPointsHome],Table2[GameDate], "&lt;=" &amp; $A109, Table2[HomeTeam], N$1)</f>
        <v>35</v>
      </c>
      <c r="O109" s="145">
        <f>SUMIFS(Table2[NewPointsAway],Table2[GameDate], "&lt;=" &amp; $A109, Table2[AwayTeam], O$1)+SUMIFS(Table2[NewPointsHome],Table2[GameDate], "&lt;=" &amp; $A109, Table2[HomeTeam], O$1)</f>
        <v>37</v>
      </c>
      <c r="P109" s="145">
        <f>SUMIFS(Table2[NewPointsAway],Table2[GameDate], "&lt;=" &amp; $A109, Table2[AwayTeam], P$1)+SUMIFS(Table2[NewPointsHome],Table2[GameDate], "&lt;=" &amp; $A109, Table2[HomeTeam], P$1)</f>
        <v>33</v>
      </c>
      <c r="Q109" s="145">
        <f>SUMIFS(Table2[NewPointsAway],Table2[GameDate], "&lt;=" &amp; $A109, Table2[AwayTeam], Q$1)+SUMIFS(Table2[NewPointsHome],Table2[GameDate], "&lt;=" &amp; $A109, Table2[HomeTeam], Q$1)</f>
        <v>33</v>
      </c>
      <c r="R109" s="145">
        <f>SUMIFS(Table2[NewPointsAway],Table2[GameDate], "&lt;=" &amp; $A109, Table2[AwayTeam], R$1)+SUMIFS(Table2[NewPointsHome],Table2[GameDate], "&lt;=" &amp; $A109, Table2[HomeTeam], R$1)</f>
        <v>24</v>
      </c>
      <c r="S109" s="145">
        <f>SUMIFS(Table2[NewPointsAway],Table2[GameDate], "&lt;=" &amp; $A109, Table2[AwayTeam], S$1)+SUMIFS(Table2[NewPointsHome],Table2[GameDate], "&lt;=" &amp; $A109, Table2[HomeTeam], S$1)</f>
        <v>35</v>
      </c>
      <c r="T109" s="145">
        <f>SUMIFS(Table2[NewPointsAway],Table2[GameDate], "&lt;=" &amp; $A109, Table2[AwayTeam], T$1)+SUMIFS(Table2[NewPointsHome],Table2[GameDate], "&lt;=" &amp; $A109, Table2[HomeTeam], T$1)</f>
        <v>34</v>
      </c>
      <c r="U109" s="145">
        <f>SUMIFS(Table2[NewPointsAway],Table2[GameDate], "&lt;=" &amp; $A109, Table2[AwayTeam], U$1)+SUMIFS(Table2[NewPointsHome],Table2[GameDate], "&lt;=" &amp; $A109, Table2[HomeTeam], U$1)</f>
        <v>30</v>
      </c>
      <c r="V109" s="145">
        <f>SUMIFS(Table2[NewPointsAway],Table2[GameDate], "&lt;=" &amp; $A109, Table2[AwayTeam], V$1)+SUMIFS(Table2[NewPointsHome],Table2[GameDate], "&lt;=" &amp; $A109, Table2[HomeTeam], V$1)</f>
        <v>32</v>
      </c>
      <c r="W109" s="145">
        <f>SUMIFS(Table2[NewPointsAway],Table2[GameDate], "&lt;=" &amp; $A109, Table2[AwayTeam], W$1)+SUMIFS(Table2[NewPointsHome],Table2[GameDate], "&lt;=" &amp; $A109, Table2[HomeTeam], W$1)</f>
        <v>34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31</v>
      </c>
      <c r="Z109" s="145">
        <f>SUMIFS(Table2[NewPointsAway],Table2[GameDate], "&lt;=" &amp; $A109, Table2[AwayTeam], Z$1)+SUMIFS(Table2[NewPointsHome],Table2[GameDate], "&lt;=" &amp; $A109, Table2[HomeTeam], Z$1)</f>
        <v>30</v>
      </c>
      <c r="AA109" s="145">
        <f>SUMIFS(Table2[NewPointsAway],Table2[GameDate], "&lt;=" &amp; $A109, Table2[AwayTeam], AA$1)+SUMIFS(Table2[NewPointsHome],Table2[GameDate], "&lt;=" &amp; $A109, Table2[HomeTeam], AA$1)</f>
        <v>34</v>
      </c>
      <c r="AB109" s="145">
        <f>SUMIFS(Table2[NewPointsAway],Table2[GameDate], "&lt;=" &amp; $A109, Table2[AwayTeam], AB$1)+SUMIFS(Table2[NewPointsHome],Table2[GameDate], "&lt;=" &amp; $A109, Table2[HomeTeam], AB$1)</f>
        <v>32</v>
      </c>
      <c r="AC109" s="145">
        <f>SUMIFS(Table2[NewPointsAway],Table2[GameDate], "&lt;=" &amp; $A109, Table2[AwayTeam], AC$1)+SUMIFS(Table2[NewPointsHome],Table2[GameDate], "&lt;=" &amp; $A109, Table2[HomeTeam], AC$1)</f>
        <v>31</v>
      </c>
      <c r="AD109" s="145">
        <f>SUMIFS(Table2[NewPointsAway],Table2[GameDate], "&lt;=" &amp; $A109, Table2[AwayTeam], AD$1)+SUMIFS(Table2[NewPointsHome],Table2[GameDate], "&lt;=" &amp; $A109, Table2[HomeTeam], AD$1)</f>
        <v>25</v>
      </c>
      <c r="AE109" s="145">
        <f>SUMIFS(Table2[NewPointsAway],Table2[GameDate], "&lt;=" &amp; $A109, Table2[AwayTeam], AE$1)+SUMIFS(Table2[NewPointsHome],Table2[GameDate], "&lt;=" &amp; $A109, Table2[HomeTeam], AE$1)</f>
        <v>36</v>
      </c>
      <c r="AF109" s="145">
        <f>SUMIFS(Table2[NewPointsAway],Table2[GameDate], "&lt;=" &amp; $A109, Table2[AwayTeam], AF$1)+SUMIFS(Table2[NewPointsHome],Table2[GameDate], "&lt;=" &amp; $A109, Table2[HomeTeam], AF$1)</f>
        <v>29</v>
      </c>
      <c r="AG109" s="145">
        <f>SUMIFS(Table2[NewPointsAway],Table2[GameDate], "&lt;=" &amp; $A109, Table2[AwayTeam], AG$1)+SUMIFS(Table2[NewPointsHome],Table2[GameDate], "&lt;=" &amp; $A109, Table2[HomeTeam], AG$1)</f>
        <v>39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37</v>
      </c>
      <c r="C110" s="145">
        <f>SUMIFS(Table2[NewPointsAway],Table2[GameDate], "&lt;=" &amp; $A110, Table2[AwayTeam], C$1)+SUMIFS(Table2[NewPointsHome],Table2[GameDate], "&lt;=" &amp; $A110, Table2[HomeTeam], C$1)</f>
        <v>34</v>
      </c>
      <c r="D110" s="145">
        <f>SUMIFS(Table2[NewPointsAway],Table2[GameDate], "&lt;=" &amp; $A110, Table2[AwayTeam], D$1)+SUMIFS(Table2[NewPointsHome],Table2[GameDate], "&lt;=" &amp; $A110, Table2[HomeTeam], D$1)</f>
        <v>26</v>
      </c>
      <c r="E110" s="145">
        <f>SUMIFS(Table2[NewPointsAway],Table2[GameDate], "&lt;=" &amp; $A110, Table2[AwayTeam], E$1)+SUMIFS(Table2[NewPointsHome],Table2[GameDate], "&lt;=" &amp; $A110, Table2[HomeTeam], E$1)</f>
        <v>36</v>
      </c>
      <c r="F110" s="145">
        <f>SUMIFS(Table2[NewPointsAway],Table2[GameDate], "&lt;=" &amp; $A110, Table2[AwayTeam], F$1)+SUMIFS(Table2[NewPointsHome],Table2[GameDate], "&lt;=" &amp; $A110, Table2[HomeTeam], F$1)</f>
        <v>32</v>
      </c>
      <c r="G110" s="145">
        <f>SUMIFS(Table2[NewPointsAway],Table2[GameDate], "&lt;=" &amp; $A110, Table2[AwayTeam], G$1)+SUMIFS(Table2[NewPointsHome],Table2[GameDate], "&lt;=" &amp; $A110, Table2[HomeTeam], G$1)</f>
        <v>28</v>
      </c>
      <c r="H110" s="145">
        <f>SUMIFS(Table2[NewPointsAway],Table2[GameDate], "&lt;=" &amp; $A110, Table2[AwayTeam], H$1)+SUMIFS(Table2[NewPointsHome],Table2[GameDate], "&lt;=" &amp; $A110, Table2[HomeTeam], H$1)</f>
        <v>30</v>
      </c>
      <c r="I110" s="145">
        <f>SUMIFS(Table2[NewPointsAway],Table2[GameDate], "&lt;=" &amp; $A110, Table2[AwayTeam], I$1)+SUMIFS(Table2[NewPointsHome],Table2[GameDate], "&lt;=" &amp; $A110, Table2[HomeTeam], I$1)</f>
        <v>48</v>
      </c>
      <c r="J110" s="145">
        <f>SUMIFS(Table2[NewPointsAway],Table2[GameDate], "&lt;=" &amp; $A110, Table2[AwayTeam], J$1)+SUMIFS(Table2[NewPointsHome],Table2[GameDate], "&lt;=" &amp; $A110, Table2[HomeTeam], J$1)</f>
        <v>45</v>
      </c>
      <c r="K110" s="145">
        <f>SUMIFS(Table2[NewPointsAway],Table2[GameDate], "&lt;=" &amp; $A110, Table2[AwayTeam], K$1)+SUMIFS(Table2[NewPointsHome],Table2[GameDate], "&lt;=" &amp; $A110, Table2[HomeTeam], K$1)</f>
        <v>35</v>
      </c>
      <c r="L110" s="145">
        <f>SUMIFS(Table2[NewPointsAway],Table2[GameDate], "&lt;=" &amp; $A110, Table2[AwayTeam], L$1)+SUMIFS(Table2[NewPointsHome],Table2[GameDate], "&lt;=" &amp; $A110, Table2[HomeTeam], L$1)</f>
        <v>31</v>
      </c>
      <c r="M110" s="145">
        <f>SUMIFS(Table2[NewPointsAway],Table2[GameDate], "&lt;=" &amp; $A110, Table2[AwayTeam], M$1)+SUMIFS(Table2[NewPointsHome],Table2[GameDate], "&lt;=" &amp; $A110, Table2[HomeTeam], M$1)</f>
        <v>30</v>
      </c>
      <c r="N110" s="145">
        <f>SUMIFS(Table2[NewPointsAway],Table2[GameDate], "&lt;=" &amp; $A110, Table2[AwayTeam], N$1)+SUMIFS(Table2[NewPointsHome],Table2[GameDate], "&lt;=" &amp; $A110, Table2[HomeTeam], N$1)</f>
        <v>35</v>
      </c>
      <c r="O110" s="145">
        <f>SUMIFS(Table2[NewPointsAway],Table2[GameDate], "&lt;=" &amp; $A110, Table2[AwayTeam], O$1)+SUMIFS(Table2[NewPointsHome],Table2[GameDate], "&lt;=" &amp; $A110, Table2[HomeTeam], O$1)</f>
        <v>37</v>
      </c>
      <c r="P110" s="145">
        <f>SUMIFS(Table2[NewPointsAway],Table2[GameDate], "&lt;=" &amp; $A110, Table2[AwayTeam], P$1)+SUMIFS(Table2[NewPointsHome],Table2[GameDate], "&lt;=" &amp; $A110, Table2[HomeTeam], P$1)</f>
        <v>33</v>
      </c>
      <c r="Q110" s="145">
        <f>SUMIFS(Table2[NewPointsAway],Table2[GameDate], "&lt;=" &amp; $A110, Table2[AwayTeam], Q$1)+SUMIFS(Table2[NewPointsHome],Table2[GameDate], "&lt;=" &amp; $A110, Table2[HomeTeam], Q$1)</f>
        <v>33</v>
      </c>
      <c r="R110" s="145">
        <f>SUMIFS(Table2[NewPointsAway],Table2[GameDate], "&lt;=" &amp; $A110, Table2[AwayTeam], R$1)+SUMIFS(Table2[NewPointsHome],Table2[GameDate], "&lt;=" &amp; $A110, Table2[HomeTeam], R$1)</f>
        <v>24</v>
      </c>
      <c r="S110" s="145">
        <f>SUMIFS(Table2[NewPointsAway],Table2[GameDate], "&lt;=" &amp; $A110, Table2[AwayTeam], S$1)+SUMIFS(Table2[NewPointsHome],Table2[GameDate], "&lt;=" &amp; $A110, Table2[HomeTeam], S$1)</f>
        <v>35</v>
      </c>
      <c r="T110" s="145">
        <f>SUMIFS(Table2[NewPointsAway],Table2[GameDate], "&lt;=" &amp; $A110, Table2[AwayTeam], T$1)+SUMIFS(Table2[NewPointsHome],Table2[GameDate], "&lt;=" &amp; $A110, Table2[HomeTeam], T$1)</f>
        <v>34</v>
      </c>
      <c r="U110" s="145">
        <f>SUMIFS(Table2[NewPointsAway],Table2[GameDate], "&lt;=" &amp; $A110, Table2[AwayTeam], U$1)+SUMIFS(Table2[NewPointsHome],Table2[GameDate], "&lt;=" &amp; $A110, Table2[HomeTeam], U$1)</f>
        <v>30</v>
      </c>
      <c r="V110" s="145">
        <f>SUMIFS(Table2[NewPointsAway],Table2[GameDate], "&lt;=" &amp; $A110, Table2[AwayTeam], V$1)+SUMIFS(Table2[NewPointsHome],Table2[GameDate], "&lt;=" &amp; $A110, Table2[HomeTeam], V$1)</f>
        <v>32</v>
      </c>
      <c r="W110" s="145">
        <f>SUMIFS(Table2[NewPointsAway],Table2[GameDate], "&lt;=" &amp; $A110, Table2[AwayTeam], W$1)+SUMIFS(Table2[NewPointsHome],Table2[GameDate], "&lt;=" &amp; $A110, Table2[HomeTeam], W$1)</f>
        <v>34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31</v>
      </c>
      <c r="Z110" s="145">
        <f>SUMIFS(Table2[NewPointsAway],Table2[GameDate], "&lt;=" &amp; $A110, Table2[AwayTeam], Z$1)+SUMIFS(Table2[NewPointsHome],Table2[GameDate], "&lt;=" &amp; $A110, Table2[HomeTeam], Z$1)</f>
        <v>30</v>
      </c>
      <c r="AA110" s="145">
        <f>SUMIFS(Table2[NewPointsAway],Table2[GameDate], "&lt;=" &amp; $A110, Table2[AwayTeam], AA$1)+SUMIFS(Table2[NewPointsHome],Table2[GameDate], "&lt;=" &amp; $A110, Table2[HomeTeam], AA$1)</f>
        <v>34</v>
      </c>
      <c r="AB110" s="145">
        <f>SUMIFS(Table2[NewPointsAway],Table2[GameDate], "&lt;=" &amp; $A110, Table2[AwayTeam], AB$1)+SUMIFS(Table2[NewPointsHome],Table2[GameDate], "&lt;=" &amp; $A110, Table2[HomeTeam], AB$1)</f>
        <v>32</v>
      </c>
      <c r="AC110" s="145">
        <f>SUMIFS(Table2[NewPointsAway],Table2[GameDate], "&lt;=" &amp; $A110, Table2[AwayTeam], AC$1)+SUMIFS(Table2[NewPointsHome],Table2[GameDate], "&lt;=" &amp; $A110, Table2[HomeTeam], AC$1)</f>
        <v>31</v>
      </c>
      <c r="AD110" s="145">
        <f>SUMIFS(Table2[NewPointsAway],Table2[GameDate], "&lt;=" &amp; $A110, Table2[AwayTeam], AD$1)+SUMIFS(Table2[NewPointsHome],Table2[GameDate], "&lt;=" &amp; $A110, Table2[HomeTeam], AD$1)</f>
        <v>25</v>
      </c>
      <c r="AE110" s="145">
        <f>SUMIFS(Table2[NewPointsAway],Table2[GameDate], "&lt;=" &amp; $A110, Table2[AwayTeam], AE$1)+SUMIFS(Table2[NewPointsHome],Table2[GameDate], "&lt;=" &amp; $A110, Table2[HomeTeam], AE$1)</f>
        <v>36</v>
      </c>
      <c r="AF110" s="145">
        <f>SUMIFS(Table2[NewPointsAway],Table2[GameDate], "&lt;=" &amp; $A110, Table2[AwayTeam], AF$1)+SUMIFS(Table2[NewPointsHome],Table2[GameDate], "&lt;=" &amp; $A110, Table2[HomeTeam], AF$1)</f>
        <v>29</v>
      </c>
      <c r="AG110" s="145">
        <f>SUMIFS(Table2[NewPointsAway],Table2[GameDate], "&lt;=" &amp; $A110, Table2[AwayTeam], AG$1)+SUMIFS(Table2[NewPointsHome],Table2[GameDate], "&lt;=" &amp; $A110, Table2[HomeTeam], AG$1)</f>
        <v>39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37</v>
      </c>
      <c r="C111" s="145">
        <f>SUMIFS(Table2[NewPointsAway],Table2[GameDate], "&lt;=" &amp; $A111, Table2[AwayTeam], C$1)+SUMIFS(Table2[NewPointsHome],Table2[GameDate], "&lt;=" &amp; $A111, Table2[HomeTeam], C$1)</f>
        <v>34</v>
      </c>
      <c r="D111" s="145">
        <f>SUMIFS(Table2[NewPointsAway],Table2[GameDate], "&lt;=" &amp; $A111, Table2[AwayTeam], D$1)+SUMIFS(Table2[NewPointsHome],Table2[GameDate], "&lt;=" &amp; $A111, Table2[HomeTeam], D$1)</f>
        <v>26</v>
      </c>
      <c r="E111" s="145">
        <f>SUMIFS(Table2[NewPointsAway],Table2[GameDate], "&lt;=" &amp; $A111, Table2[AwayTeam], E$1)+SUMIFS(Table2[NewPointsHome],Table2[GameDate], "&lt;=" &amp; $A111, Table2[HomeTeam], E$1)</f>
        <v>36</v>
      </c>
      <c r="F111" s="145">
        <f>SUMIFS(Table2[NewPointsAway],Table2[GameDate], "&lt;=" &amp; $A111, Table2[AwayTeam], F$1)+SUMIFS(Table2[NewPointsHome],Table2[GameDate], "&lt;=" &amp; $A111, Table2[HomeTeam], F$1)</f>
        <v>32</v>
      </c>
      <c r="G111" s="145">
        <f>SUMIFS(Table2[NewPointsAway],Table2[GameDate], "&lt;=" &amp; $A111, Table2[AwayTeam], G$1)+SUMIFS(Table2[NewPointsHome],Table2[GameDate], "&lt;=" &amp; $A111, Table2[HomeTeam], G$1)</f>
        <v>28</v>
      </c>
      <c r="H111" s="145">
        <f>SUMIFS(Table2[NewPointsAway],Table2[GameDate], "&lt;=" &amp; $A111, Table2[AwayTeam], H$1)+SUMIFS(Table2[NewPointsHome],Table2[GameDate], "&lt;=" &amp; $A111, Table2[HomeTeam], H$1)</f>
        <v>30</v>
      </c>
      <c r="I111" s="145">
        <f>SUMIFS(Table2[NewPointsAway],Table2[GameDate], "&lt;=" &amp; $A111, Table2[AwayTeam], I$1)+SUMIFS(Table2[NewPointsHome],Table2[GameDate], "&lt;=" &amp; $A111, Table2[HomeTeam], I$1)</f>
        <v>48</v>
      </c>
      <c r="J111" s="145">
        <f>SUMIFS(Table2[NewPointsAway],Table2[GameDate], "&lt;=" &amp; $A111, Table2[AwayTeam], J$1)+SUMIFS(Table2[NewPointsHome],Table2[GameDate], "&lt;=" &amp; $A111, Table2[HomeTeam], J$1)</f>
        <v>45</v>
      </c>
      <c r="K111" s="145">
        <f>SUMIFS(Table2[NewPointsAway],Table2[GameDate], "&lt;=" &amp; $A111, Table2[AwayTeam], K$1)+SUMIFS(Table2[NewPointsHome],Table2[GameDate], "&lt;=" &amp; $A111, Table2[HomeTeam], K$1)</f>
        <v>35</v>
      </c>
      <c r="L111" s="145">
        <f>SUMIFS(Table2[NewPointsAway],Table2[GameDate], "&lt;=" &amp; $A111, Table2[AwayTeam], L$1)+SUMIFS(Table2[NewPointsHome],Table2[GameDate], "&lt;=" &amp; $A111, Table2[HomeTeam], L$1)</f>
        <v>31</v>
      </c>
      <c r="M111" s="145">
        <f>SUMIFS(Table2[NewPointsAway],Table2[GameDate], "&lt;=" &amp; $A111, Table2[AwayTeam], M$1)+SUMIFS(Table2[NewPointsHome],Table2[GameDate], "&lt;=" &amp; $A111, Table2[HomeTeam], M$1)</f>
        <v>30</v>
      </c>
      <c r="N111" s="145">
        <f>SUMIFS(Table2[NewPointsAway],Table2[GameDate], "&lt;=" &amp; $A111, Table2[AwayTeam], N$1)+SUMIFS(Table2[NewPointsHome],Table2[GameDate], "&lt;=" &amp; $A111, Table2[HomeTeam], N$1)</f>
        <v>35</v>
      </c>
      <c r="O111" s="145">
        <f>SUMIFS(Table2[NewPointsAway],Table2[GameDate], "&lt;=" &amp; $A111, Table2[AwayTeam], O$1)+SUMIFS(Table2[NewPointsHome],Table2[GameDate], "&lt;=" &amp; $A111, Table2[HomeTeam], O$1)</f>
        <v>37</v>
      </c>
      <c r="P111" s="145">
        <f>SUMIFS(Table2[NewPointsAway],Table2[GameDate], "&lt;=" &amp; $A111, Table2[AwayTeam], P$1)+SUMIFS(Table2[NewPointsHome],Table2[GameDate], "&lt;=" &amp; $A111, Table2[HomeTeam], P$1)</f>
        <v>33</v>
      </c>
      <c r="Q111" s="145">
        <f>SUMIFS(Table2[NewPointsAway],Table2[GameDate], "&lt;=" &amp; $A111, Table2[AwayTeam], Q$1)+SUMIFS(Table2[NewPointsHome],Table2[GameDate], "&lt;=" &amp; $A111, Table2[HomeTeam], Q$1)</f>
        <v>33</v>
      </c>
      <c r="R111" s="145">
        <f>SUMIFS(Table2[NewPointsAway],Table2[GameDate], "&lt;=" &amp; $A111, Table2[AwayTeam], R$1)+SUMIFS(Table2[NewPointsHome],Table2[GameDate], "&lt;=" &amp; $A111, Table2[HomeTeam], R$1)</f>
        <v>24</v>
      </c>
      <c r="S111" s="145">
        <f>SUMIFS(Table2[NewPointsAway],Table2[GameDate], "&lt;=" &amp; $A111, Table2[AwayTeam], S$1)+SUMIFS(Table2[NewPointsHome],Table2[GameDate], "&lt;=" &amp; $A111, Table2[HomeTeam], S$1)</f>
        <v>35</v>
      </c>
      <c r="T111" s="145">
        <f>SUMIFS(Table2[NewPointsAway],Table2[GameDate], "&lt;=" &amp; $A111, Table2[AwayTeam], T$1)+SUMIFS(Table2[NewPointsHome],Table2[GameDate], "&lt;=" &amp; $A111, Table2[HomeTeam], T$1)</f>
        <v>34</v>
      </c>
      <c r="U111" s="145">
        <f>SUMIFS(Table2[NewPointsAway],Table2[GameDate], "&lt;=" &amp; $A111, Table2[AwayTeam], U$1)+SUMIFS(Table2[NewPointsHome],Table2[GameDate], "&lt;=" &amp; $A111, Table2[HomeTeam], U$1)</f>
        <v>30</v>
      </c>
      <c r="V111" s="145">
        <f>SUMIFS(Table2[NewPointsAway],Table2[GameDate], "&lt;=" &amp; $A111, Table2[AwayTeam], V$1)+SUMIFS(Table2[NewPointsHome],Table2[GameDate], "&lt;=" &amp; $A111, Table2[HomeTeam], V$1)</f>
        <v>32</v>
      </c>
      <c r="W111" s="145">
        <f>SUMIFS(Table2[NewPointsAway],Table2[GameDate], "&lt;=" &amp; $A111, Table2[AwayTeam], W$1)+SUMIFS(Table2[NewPointsHome],Table2[GameDate], "&lt;=" &amp; $A111, Table2[HomeTeam], W$1)</f>
        <v>34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31</v>
      </c>
      <c r="Z111" s="145">
        <f>SUMIFS(Table2[NewPointsAway],Table2[GameDate], "&lt;=" &amp; $A111, Table2[AwayTeam], Z$1)+SUMIFS(Table2[NewPointsHome],Table2[GameDate], "&lt;=" &amp; $A111, Table2[HomeTeam], Z$1)</f>
        <v>30</v>
      </c>
      <c r="AA111" s="145">
        <f>SUMIFS(Table2[NewPointsAway],Table2[GameDate], "&lt;=" &amp; $A111, Table2[AwayTeam], AA$1)+SUMIFS(Table2[NewPointsHome],Table2[GameDate], "&lt;=" &amp; $A111, Table2[HomeTeam], AA$1)</f>
        <v>34</v>
      </c>
      <c r="AB111" s="145">
        <f>SUMIFS(Table2[NewPointsAway],Table2[GameDate], "&lt;=" &amp; $A111, Table2[AwayTeam], AB$1)+SUMIFS(Table2[NewPointsHome],Table2[GameDate], "&lt;=" &amp; $A111, Table2[HomeTeam], AB$1)</f>
        <v>32</v>
      </c>
      <c r="AC111" s="145">
        <f>SUMIFS(Table2[NewPointsAway],Table2[GameDate], "&lt;=" &amp; $A111, Table2[AwayTeam], AC$1)+SUMIFS(Table2[NewPointsHome],Table2[GameDate], "&lt;=" &amp; $A111, Table2[HomeTeam], AC$1)</f>
        <v>31</v>
      </c>
      <c r="AD111" s="145">
        <f>SUMIFS(Table2[NewPointsAway],Table2[GameDate], "&lt;=" &amp; $A111, Table2[AwayTeam], AD$1)+SUMIFS(Table2[NewPointsHome],Table2[GameDate], "&lt;=" &amp; $A111, Table2[HomeTeam], AD$1)</f>
        <v>25</v>
      </c>
      <c r="AE111" s="145">
        <f>SUMIFS(Table2[NewPointsAway],Table2[GameDate], "&lt;=" &amp; $A111, Table2[AwayTeam], AE$1)+SUMIFS(Table2[NewPointsHome],Table2[GameDate], "&lt;=" &amp; $A111, Table2[HomeTeam], AE$1)</f>
        <v>36</v>
      </c>
      <c r="AF111" s="145">
        <f>SUMIFS(Table2[NewPointsAway],Table2[GameDate], "&lt;=" &amp; $A111, Table2[AwayTeam], AF$1)+SUMIFS(Table2[NewPointsHome],Table2[GameDate], "&lt;=" &amp; $A111, Table2[HomeTeam], AF$1)</f>
        <v>29</v>
      </c>
      <c r="AG111" s="145">
        <f>SUMIFS(Table2[NewPointsAway],Table2[GameDate], "&lt;=" &amp; $A111, Table2[AwayTeam], AG$1)+SUMIFS(Table2[NewPointsHome],Table2[GameDate], "&lt;=" &amp; $A111, Table2[HomeTeam], AG$1)</f>
        <v>39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37</v>
      </c>
      <c r="C112" s="145">
        <f>SUMIFS(Table2[NewPointsAway],Table2[GameDate], "&lt;=" &amp; $A112, Table2[AwayTeam], C$1)+SUMIFS(Table2[NewPointsHome],Table2[GameDate], "&lt;=" &amp; $A112, Table2[HomeTeam], C$1)</f>
        <v>34</v>
      </c>
      <c r="D112" s="145">
        <f>SUMIFS(Table2[NewPointsAway],Table2[GameDate], "&lt;=" &amp; $A112, Table2[AwayTeam], D$1)+SUMIFS(Table2[NewPointsHome],Table2[GameDate], "&lt;=" &amp; $A112, Table2[HomeTeam], D$1)</f>
        <v>26</v>
      </c>
      <c r="E112" s="145">
        <f>SUMIFS(Table2[NewPointsAway],Table2[GameDate], "&lt;=" &amp; $A112, Table2[AwayTeam], E$1)+SUMIFS(Table2[NewPointsHome],Table2[GameDate], "&lt;=" &amp; $A112, Table2[HomeTeam], E$1)</f>
        <v>36</v>
      </c>
      <c r="F112" s="145">
        <f>SUMIFS(Table2[NewPointsAway],Table2[GameDate], "&lt;=" &amp; $A112, Table2[AwayTeam], F$1)+SUMIFS(Table2[NewPointsHome],Table2[GameDate], "&lt;=" &amp; $A112, Table2[HomeTeam], F$1)</f>
        <v>32</v>
      </c>
      <c r="G112" s="145">
        <f>SUMIFS(Table2[NewPointsAway],Table2[GameDate], "&lt;=" &amp; $A112, Table2[AwayTeam], G$1)+SUMIFS(Table2[NewPointsHome],Table2[GameDate], "&lt;=" &amp; $A112, Table2[HomeTeam], G$1)</f>
        <v>28</v>
      </c>
      <c r="H112" s="145">
        <f>SUMIFS(Table2[NewPointsAway],Table2[GameDate], "&lt;=" &amp; $A112, Table2[AwayTeam], H$1)+SUMIFS(Table2[NewPointsHome],Table2[GameDate], "&lt;=" &amp; $A112, Table2[HomeTeam], H$1)</f>
        <v>30</v>
      </c>
      <c r="I112" s="145">
        <f>SUMIFS(Table2[NewPointsAway],Table2[GameDate], "&lt;=" &amp; $A112, Table2[AwayTeam], I$1)+SUMIFS(Table2[NewPointsHome],Table2[GameDate], "&lt;=" &amp; $A112, Table2[HomeTeam], I$1)</f>
        <v>48</v>
      </c>
      <c r="J112" s="145">
        <f>SUMIFS(Table2[NewPointsAway],Table2[GameDate], "&lt;=" &amp; $A112, Table2[AwayTeam], J$1)+SUMIFS(Table2[NewPointsHome],Table2[GameDate], "&lt;=" &amp; $A112, Table2[HomeTeam], J$1)</f>
        <v>45</v>
      </c>
      <c r="K112" s="145">
        <f>SUMIFS(Table2[NewPointsAway],Table2[GameDate], "&lt;=" &amp; $A112, Table2[AwayTeam], K$1)+SUMIFS(Table2[NewPointsHome],Table2[GameDate], "&lt;=" &amp; $A112, Table2[HomeTeam], K$1)</f>
        <v>35</v>
      </c>
      <c r="L112" s="145">
        <f>SUMIFS(Table2[NewPointsAway],Table2[GameDate], "&lt;=" &amp; $A112, Table2[AwayTeam], L$1)+SUMIFS(Table2[NewPointsHome],Table2[GameDate], "&lt;=" &amp; $A112, Table2[HomeTeam], L$1)</f>
        <v>31</v>
      </c>
      <c r="M112" s="145">
        <f>SUMIFS(Table2[NewPointsAway],Table2[GameDate], "&lt;=" &amp; $A112, Table2[AwayTeam], M$1)+SUMIFS(Table2[NewPointsHome],Table2[GameDate], "&lt;=" &amp; $A112, Table2[HomeTeam], M$1)</f>
        <v>30</v>
      </c>
      <c r="N112" s="145">
        <f>SUMIFS(Table2[NewPointsAway],Table2[GameDate], "&lt;=" &amp; $A112, Table2[AwayTeam], N$1)+SUMIFS(Table2[NewPointsHome],Table2[GameDate], "&lt;=" &amp; $A112, Table2[HomeTeam], N$1)</f>
        <v>35</v>
      </c>
      <c r="O112" s="145">
        <f>SUMIFS(Table2[NewPointsAway],Table2[GameDate], "&lt;=" &amp; $A112, Table2[AwayTeam], O$1)+SUMIFS(Table2[NewPointsHome],Table2[GameDate], "&lt;=" &amp; $A112, Table2[HomeTeam], O$1)</f>
        <v>37</v>
      </c>
      <c r="P112" s="145">
        <f>SUMIFS(Table2[NewPointsAway],Table2[GameDate], "&lt;=" &amp; $A112, Table2[AwayTeam], P$1)+SUMIFS(Table2[NewPointsHome],Table2[GameDate], "&lt;=" &amp; $A112, Table2[HomeTeam], P$1)</f>
        <v>33</v>
      </c>
      <c r="Q112" s="145">
        <f>SUMIFS(Table2[NewPointsAway],Table2[GameDate], "&lt;=" &amp; $A112, Table2[AwayTeam], Q$1)+SUMIFS(Table2[NewPointsHome],Table2[GameDate], "&lt;=" &amp; $A112, Table2[HomeTeam], Q$1)</f>
        <v>33</v>
      </c>
      <c r="R112" s="145">
        <f>SUMIFS(Table2[NewPointsAway],Table2[GameDate], "&lt;=" &amp; $A112, Table2[AwayTeam], R$1)+SUMIFS(Table2[NewPointsHome],Table2[GameDate], "&lt;=" &amp; $A112, Table2[HomeTeam], R$1)</f>
        <v>24</v>
      </c>
      <c r="S112" s="145">
        <f>SUMIFS(Table2[NewPointsAway],Table2[GameDate], "&lt;=" &amp; $A112, Table2[AwayTeam], S$1)+SUMIFS(Table2[NewPointsHome],Table2[GameDate], "&lt;=" &amp; $A112, Table2[HomeTeam], S$1)</f>
        <v>35</v>
      </c>
      <c r="T112" s="145">
        <f>SUMIFS(Table2[NewPointsAway],Table2[GameDate], "&lt;=" &amp; $A112, Table2[AwayTeam], T$1)+SUMIFS(Table2[NewPointsHome],Table2[GameDate], "&lt;=" &amp; $A112, Table2[HomeTeam], T$1)</f>
        <v>34</v>
      </c>
      <c r="U112" s="145">
        <f>SUMIFS(Table2[NewPointsAway],Table2[GameDate], "&lt;=" &amp; $A112, Table2[AwayTeam], U$1)+SUMIFS(Table2[NewPointsHome],Table2[GameDate], "&lt;=" &amp; $A112, Table2[HomeTeam], U$1)</f>
        <v>30</v>
      </c>
      <c r="V112" s="145">
        <f>SUMIFS(Table2[NewPointsAway],Table2[GameDate], "&lt;=" &amp; $A112, Table2[AwayTeam], V$1)+SUMIFS(Table2[NewPointsHome],Table2[GameDate], "&lt;=" &amp; $A112, Table2[HomeTeam], V$1)</f>
        <v>32</v>
      </c>
      <c r="W112" s="145">
        <f>SUMIFS(Table2[NewPointsAway],Table2[GameDate], "&lt;=" &amp; $A112, Table2[AwayTeam], W$1)+SUMIFS(Table2[NewPointsHome],Table2[GameDate], "&lt;=" &amp; $A112, Table2[HomeTeam], W$1)</f>
        <v>34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31</v>
      </c>
      <c r="Z112" s="145">
        <f>SUMIFS(Table2[NewPointsAway],Table2[GameDate], "&lt;=" &amp; $A112, Table2[AwayTeam], Z$1)+SUMIFS(Table2[NewPointsHome],Table2[GameDate], "&lt;=" &amp; $A112, Table2[HomeTeam], Z$1)</f>
        <v>30</v>
      </c>
      <c r="AA112" s="145">
        <f>SUMIFS(Table2[NewPointsAway],Table2[GameDate], "&lt;=" &amp; $A112, Table2[AwayTeam], AA$1)+SUMIFS(Table2[NewPointsHome],Table2[GameDate], "&lt;=" &amp; $A112, Table2[HomeTeam], AA$1)</f>
        <v>34</v>
      </c>
      <c r="AB112" s="145">
        <f>SUMIFS(Table2[NewPointsAway],Table2[GameDate], "&lt;=" &amp; $A112, Table2[AwayTeam], AB$1)+SUMIFS(Table2[NewPointsHome],Table2[GameDate], "&lt;=" &amp; $A112, Table2[HomeTeam], AB$1)</f>
        <v>32</v>
      </c>
      <c r="AC112" s="145">
        <f>SUMIFS(Table2[NewPointsAway],Table2[GameDate], "&lt;=" &amp; $A112, Table2[AwayTeam], AC$1)+SUMIFS(Table2[NewPointsHome],Table2[GameDate], "&lt;=" &amp; $A112, Table2[HomeTeam], AC$1)</f>
        <v>31</v>
      </c>
      <c r="AD112" s="145">
        <f>SUMIFS(Table2[NewPointsAway],Table2[GameDate], "&lt;=" &amp; $A112, Table2[AwayTeam], AD$1)+SUMIFS(Table2[NewPointsHome],Table2[GameDate], "&lt;=" &amp; $A112, Table2[HomeTeam], AD$1)</f>
        <v>25</v>
      </c>
      <c r="AE112" s="145">
        <f>SUMIFS(Table2[NewPointsAway],Table2[GameDate], "&lt;=" &amp; $A112, Table2[AwayTeam], AE$1)+SUMIFS(Table2[NewPointsHome],Table2[GameDate], "&lt;=" &amp; $A112, Table2[HomeTeam], AE$1)</f>
        <v>36</v>
      </c>
      <c r="AF112" s="145">
        <f>SUMIFS(Table2[NewPointsAway],Table2[GameDate], "&lt;=" &amp; $A112, Table2[AwayTeam], AF$1)+SUMIFS(Table2[NewPointsHome],Table2[GameDate], "&lt;=" &amp; $A112, Table2[HomeTeam], AF$1)</f>
        <v>29</v>
      </c>
      <c r="AG112" s="145">
        <f>SUMIFS(Table2[NewPointsAway],Table2[GameDate], "&lt;=" &amp; $A112, Table2[AwayTeam], AG$1)+SUMIFS(Table2[NewPointsHome],Table2[GameDate], "&lt;=" &amp; $A112, Table2[HomeTeam], AG$1)</f>
        <v>39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37</v>
      </c>
      <c r="C113" s="145">
        <f>SUMIFS(Table2[NewPointsAway],Table2[GameDate], "&lt;=" &amp; $A113, Table2[AwayTeam], C$1)+SUMIFS(Table2[NewPointsHome],Table2[GameDate], "&lt;=" &amp; $A113, Table2[HomeTeam], C$1)</f>
        <v>34</v>
      </c>
      <c r="D113" s="145">
        <f>SUMIFS(Table2[NewPointsAway],Table2[GameDate], "&lt;=" &amp; $A113, Table2[AwayTeam], D$1)+SUMIFS(Table2[NewPointsHome],Table2[GameDate], "&lt;=" &amp; $A113, Table2[HomeTeam], D$1)</f>
        <v>26</v>
      </c>
      <c r="E113" s="145">
        <f>SUMIFS(Table2[NewPointsAway],Table2[GameDate], "&lt;=" &amp; $A113, Table2[AwayTeam], E$1)+SUMIFS(Table2[NewPointsHome],Table2[GameDate], "&lt;=" &amp; $A113, Table2[HomeTeam], E$1)</f>
        <v>36</v>
      </c>
      <c r="F113" s="145">
        <f>SUMIFS(Table2[NewPointsAway],Table2[GameDate], "&lt;=" &amp; $A113, Table2[AwayTeam], F$1)+SUMIFS(Table2[NewPointsHome],Table2[GameDate], "&lt;=" &amp; $A113, Table2[HomeTeam], F$1)</f>
        <v>32</v>
      </c>
      <c r="G113" s="145">
        <f>SUMIFS(Table2[NewPointsAway],Table2[GameDate], "&lt;=" &amp; $A113, Table2[AwayTeam], G$1)+SUMIFS(Table2[NewPointsHome],Table2[GameDate], "&lt;=" &amp; $A113, Table2[HomeTeam], G$1)</f>
        <v>28</v>
      </c>
      <c r="H113" s="145">
        <f>SUMIFS(Table2[NewPointsAway],Table2[GameDate], "&lt;=" &amp; $A113, Table2[AwayTeam], H$1)+SUMIFS(Table2[NewPointsHome],Table2[GameDate], "&lt;=" &amp; $A113, Table2[HomeTeam], H$1)</f>
        <v>30</v>
      </c>
      <c r="I113" s="145">
        <f>SUMIFS(Table2[NewPointsAway],Table2[GameDate], "&lt;=" &amp; $A113, Table2[AwayTeam], I$1)+SUMIFS(Table2[NewPointsHome],Table2[GameDate], "&lt;=" &amp; $A113, Table2[HomeTeam], I$1)</f>
        <v>48</v>
      </c>
      <c r="J113" s="145">
        <f>SUMIFS(Table2[NewPointsAway],Table2[GameDate], "&lt;=" &amp; $A113, Table2[AwayTeam], J$1)+SUMIFS(Table2[NewPointsHome],Table2[GameDate], "&lt;=" &amp; $A113, Table2[HomeTeam], J$1)</f>
        <v>45</v>
      </c>
      <c r="K113" s="145">
        <f>SUMIFS(Table2[NewPointsAway],Table2[GameDate], "&lt;=" &amp; $A113, Table2[AwayTeam], K$1)+SUMIFS(Table2[NewPointsHome],Table2[GameDate], "&lt;=" &amp; $A113, Table2[HomeTeam], K$1)</f>
        <v>35</v>
      </c>
      <c r="L113" s="145">
        <f>SUMIFS(Table2[NewPointsAway],Table2[GameDate], "&lt;=" &amp; $A113, Table2[AwayTeam], L$1)+SUMIFS(Table2[NewPointsHome],Table2[GameDate], "&lt;=" &amp; $A113, Table2[HomeTeam], L$1)</f>
        <v>31</v>
      </c>
      <c r="M113" s="145">
        <f>SUMIFS(Table2[NewPointsAway],Table2[GameDate], "&lt;=" &amp; $A113, Table2[AwayTeam], M$1)+SUMIFS(Table2[NewPointsHome],Table2[GameDate], "&lt;=" &amp; $A113, Table2[HomeTeam], M$1)</f>
        <v>30</v>
      </c>
      <c r="N113" s="145">
        <f>SUMIFS(Table2[NewPointsAway],Table2[GameDate], "&lt;=" &amp; $A113, Table2[AwayTeam], N$1)+SUMIFS(Table2[NewPointsHome],Table2[GameDate], "&lt;=" &amp; $A113, Table2[HomeTeam], N$1)</f>
        <v>35</v>
      </c>
      <c r="O113" s="145">
        <f>SUMIFS(Table2[NewPointsAway],Table2[GameDate], "&lt;=" &amp; $A113, Table2[AwayTeam], O$1)+SUMIFS(Table2[NewPointsHome],Table2[GameDate], "&lt;=" &amp; $A113, Table2[HomeTeam], O$1)</f>
        <v>37</v>
      </c>
      <c r="P113" s="145">
        <f>SUMIFS(Table2[NewPointsAway],Table2[GameDate], "&lt;=" &amp; $A113, Table2[AwayTeam], P$1)+SUMIFS(Table2[NewPointsHome],Table2[GameDate], "&lt;=" &amp; $A113, Table2[HomeTeam], P$1)</f>
        <v>33</v>
      </c>
      <c r="Q113" s="145">
        <f>SUMIFS(Table2[NewPointsAway],Table2[GameDate], "&lt;=" &amp; $A113, Table2[AwayTeam], Q$1)+SUMIFS(Table2[NewPointsHome],Table2[GameDate], "&lt;=" &amp; $A113, Table2[HomeTeam], Q$1)</f>
        <v>33</v>
      </c>
      <c r="R113" s="145">
        <f>SUMIFS(Table2[NewPointsAway],Table2[GameDate], "&lt;=" &amp; $A113, Table2[AwayTeam], R$1)+SUMIFS(Table2[NewPointsHome],Table2[GameDate], "&lt;=" &amp; $A113, Table2[HomeTeam], R$1)</f>
        <v>24</v>
      </c>
      <c r="S113" s="145">
        <f>SUMIFS(Table2[NewPointsAway],Table2[GameDate], "&lt;=" &amp; $A113, Table2[AwayTeam], S$1)+SUMIFS(Table2[NewPointsHome],Table2[GameDate], "&lt;=" &amp; $A113, Table2[HomeTeam], S$1)</f>
        <v>35</v>
      </c>
      <c r="T113" s="145">
        <f>SUMIFS(Table2[NewPointsAway],Table2[GameDate], "&lt;=" &amp; $A113, Table2[AwayTeam], T$1)+SUMIFS(Table2[NewPointsHome],Table2[GameDate], "&lt;=" &amp; $A113, Table2[HomeTeam], T$1)</f>
        <v>34</v>
      </c>
      <c r="U113" s="145">
        <f>SUMIFS(Table2[NewPointsAway],Table2[GameDate], "&lt;=" &amp; $A113, Table2[AwayTeam], U$1)+SUMIFS(Table2[NewPointsHome],Table2[GameDate], "&lt;=" &amp; $A113, Table2[HomeTeam], U$1)</f>
        <v>30</v>
      </c>
      <c r="V113" s="145">
        <f>SUMIFS(Table2[NewPointsAway],Table2[GameDate], "&lt;=" &amp; $A113, Table2[AwayTeam], V$1)+SUMIFS(Table2[NewPointsHome],Table2[GameDate], "&lt;=" &amp; $A113, Table2[HomeTeam], V$1)</f>
        <v>32</v>
      </c>
      <c r="W113" s="145">
        <f>SUMIFS(Table2[NewPointsAway],Table2[GameDate], "&lt;=" &amp; $A113, Table2[AwayTeam], W$1)+SUMIFS(Table2[NewPointsHome],Table2[GameDate], "&lt;=" &amp; $A113, Table2[HomeTeam], W$1)</f>
        <v>34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31</v>
      </c>
      <c r="Z113" s="145">
        <f>SUMIFS(Table2[NewPointsAway],Table2[GameDate], "&lt;=" &amp; $A113, Table2[AwayTeam], Z$1)+SUMIFS(Table2[NewPointsHome],Table2[GameDate], "&lt;=" &amp; $A113, Table2[HomeTeam], Z$1)</f>
        <v>30</v>
      </c>
      <c r="AA113" s="145">
        <f>SUMIFS(Table2[NewPointsAway],Table2[GameDate], "&lt;=" &amp; $A113, Table2[AwayTeam], AA$1)+SUMIFS(Table2[NewPointsHome],Table2[GameDate], "&lt;=" &amp; $A113, Table2[HomeTeam], AA$1)</f>
        <v>34</v>
      </c>
      <c r="AB113" s="145">
        <f>SUMIFS(Table2[NewPointsAway],Table2[GameDate], "&lt;=" &amp; $A113, Table2[AwayTeam], AB$1)+SUMIFS(Table2[NewPointsHome],Table2[GameDate], "&lt;=" &amp; $A113, Table2[HomeTeam], AB$1)</f>
        <v>32</v>
      </c>
      <c r="AC113" s="145">
        <f>SUMIFS(Table2[NewPointsAway],Table2[GameDate], "&lt;=" &amp; $A113, Table2[AwayTeam], AC$1)+SUMIFS(Table2[NewPointsHome],Table2[GameDate], "&lt;=" &amp; $A113, Table2[HomeTeam], AC$1)</f>
        <v>31</v>
      </c>
      <c r="AD113" s="145">
        <f>SUMIFS(Table2[NewPointsAway],Table2[GameDate], "&lt;=" &amp; $A113, Table2[AwayTeam], AD$1)+SUMIFS(Table2[NewPointsHome],Table2[GameDate], "&lt;=" &amp; $A113, Table2[HomeTeam], AD$1)</f>
        <v>25</v>
      </c>
      <c r="AE113" s="145">
        <f>SUMIFS(Table2[NewPointsAway],Table2[GameDate], "&lt;=" &amp; $A113, Table2[AwayTeam], AE$1)+SUMIFS(Table2[NewPointsHome],Table2[GameDate], "&lt;=" &amp; $A113, Table2[HomeTeam], AE$1)</f>
        <v>36</v>
      </c>
      <c r="AF113" s="145">
        <f>SUMIFS(Table2[NewPointsAway],Table2[GameDate], "&lt;=" &amp; $A113, Table2[AwayTeam], AF$1)+SUMIFS(Table2[NewPointsHome],Table2[GameDate], "&lt;=" &amp; $A113, Table2[HomeTeam], AF$1)</f>
        <v>29</v>
      </c>
      <c r="AG113" s="145">
        <f>SUMIFS(Table2[NewPointsAway],Table2[GameDate], "&lt;=" &amp; $A113, Table2[AwayTeam], AG$1)+SUMIFS(Table2[NewPointsHome],Table2[GameDate], "&lt;=" &amp; $A113, Table2[HomeTeam], AG$1)</f>
        <v>39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37</v>
      </c>
      <c r="C114" s="145">
        <f>SUMIFS(Table2[NewPointsAway],Table2[GameDate], "&lt;=" &amp; $A114, Table2[AwayTeam], C$1)+SUMIFS(Table2[NewPointsHome],Table2[GameDate], "&lt;=" &amp; $A114, Table2[HomeTeam], C$1)</f>
        <v>34</v>
      </c>
      <c r="D114" s="145">
        <f>SUMIFS(Table2[NewPointsAway],Table2[GameDate], "&lt;=" &amp; $A114, Table2[AwayTeam], D$1)+SUMIFS(Table2[NewPointsHome],Table2[GameDate], "&lt;=" &amp; $A114, Table2[HomeTeam], D$1)</f>
        <v>26</v>
      </c>
      <c r="E114" s="145">
        <f>SUMIFS(Table2[NewPointsAway],Table2[GameDate], "&lt;=" &amp; $A114, Table2[AwayTeam], E$1)+SUMIFS(Table2[NewPointsHome],Table2[GameDate], "&lt;=" &amp; $A114, Table2[HomeTeam], E$1)</f>
        <v>36</v>
      </c>
      <c r="F114" s="145">
        <f>SUMIFS(Table2[NewPointsAway],Table2[GameDate], "&lt;=" &amp; $A114, Table2[AwayTeam], F$1)+SUMIFS(Table2[NewPointsHome],Table2[GameDate], "&lt;=" &amp; $A114, Table2[HomeTeam], F$1)</f>
        <v>32</v>
      </c>
      <c r="G114" s="145">
        <f>SUMIFS(Table2[NewPointsAway],Table2[GameDate], "&lt;=" &amp; $A114, Table2[AwayTeam], G$1)+SUMIFS(Table2[NewPointsHome],Table2[GameDate], "&lt;=" &amp; $A114, Table2[HomeTeam], G$1)</f>
        <v>28</v>
      </c>
      <c r="H114" s="145">
        <f>SUMIFS(Table2[NewPointsAway],Table2[GameDate], "&lt;=" &amp; $A114, Table2[AwayTeam], H$1)+SUMIFS(Table2[NewPointsHome],Table2[GameDate], "&lt;=" &amp; $A114, Table2[HomeTeam], H$1)</f>
        <v>30</v>
      </c>
      <c r="I114" s="145">
        <f>SUMIFS(Table2[NewPointsAway],Table2[GameDate], "&lt;=" &amp; $A114, Table2[AwayTeam], I$1)+SUMIFS(Table2[NewPointsHome],Table2[GameDate], "&lt;=" &amp; $A114, Table2[HomeTeam], I$1)</f>
        <v>48</v>
      </c>
      <c r="J114" s="145">
        <f>SUMIFS(Table2[NewPointsAway],Table2[GameDate], "&lt;=" &amp; $A114, Table2[AwayTeam], J$1)+SUMIFS(Table2[NewPointsHome],Table2[GameDate], "&lt;=" &amp; $A114, Table2[HomeTeam], J$1)</f>
        <v>45</v>
      </c>
      <c r="K114" s="145">
        <f>SUMIFS(Table2[NewPointsAway],Table2[GameDate], "&lt;=" &amp; $A114, Table2[AwayTeam], K$1)+SUMIFS(Table2[NewPointsHome],Table2[GameDate], "&lt;=" &amp; $A114, Table2[HomeTeam], K$1)</f>
        <v>35</v>
      </c>
      <c r="L114" s="145">
        <f>SUMIFS(Table2[NewPointsAway],Table2[GameDate], "&lt;=" &amp; $A114, Table2[AwayTeam], L$1)+SUMIFS(Table2[NewPointsHome],Table2[GameDate], "&lt;=" &amp; $A114, Table2[HomeTeam], L$1)</f>
        <v>31</v>
      </c>
      <c r="M114" s="145">
        <f>SUMIFS(Table2[NewPointsAway],Table2[GameDate], "&lt;=" &amp; $A114, Table2[AwayTeam], M$1)+SUMIFS(Table2[NewPointsHome],Table2[GameDate], "&lt;=" &amp; $A114, Table2[HomeTeam], M$1)</f>
        <v>30</v>
      </c>
      <c r="N114" s="145">
        <f>SUMIFS(Table2[NewPointsAway],Table2[GameDate], "&lt;=" &amp; $A114, Table2[AwayTeam], N$1)+SUMIFS(Table2[NewPointsHome],Table2[GameDate], "&lt;=" &amp; $A114, Table2[HomeTeam], N$1)</f>
        <v>35</v>
      </c>
      <c r="O114" s="145">
        <f>SUMIFS(Table2[NewPointsAway],Table2[GameDate], "&lt;=" &amp; $A114, Table2[AwayTeam], O$1)+SUMIFS(Table2[NewPointsHome],Table2[GameDate], "&lt;=" &amp; $A114, Table2[HomeTeam], O$1)</f>
        <v>37</v>
      </c>
      <c r="P114" s="145">
        <f>SUMIFS(Table2[NewPointsAway],Table2[GameDate], "&lt;=" &amp; $A114, Table2[AwayTeam], P$1)+SUMIFS(Table2[NewPointsHome],Table2[GameDate], "&lt;=" &amp; $A114, Table2[HomeTeam], P$1)</f>
        <v>33</v>
      </c>
      <c r="Q114" s="145">
        <f>SUMIFS(Table2[NewPointsAway],Table2[GameDate], "&lt;=" &amp; $A114, Table2[AwayTeam], Q$1)+SUMIFS(Table2[NewPointsHome],Table2[GameDate], "&lt;=" &amp; $A114, Table2[HomeTeam], Q$1)</f>
        <v>33</v>
      </c>
      <c r="R114" s="145">
        <f>SUMIFS(Table2[NewPointsAway],Table2[GameDate], "&lt;=" &amp; $A114, Table2[AwayTeam], R$1)+SUMIFS(Table2[NewPointsHome],Table2[GameDate], "&lt;=" &amp; $A114, Table2[HomeTeam], R$1)</f>
        <v>24</v>
      </c>
      <c r="S114" s="145">
        <f>SUMIFS(Table2[NewPointsAway],Table2[GameDate], "&lt;=" &amp; $A114, Table2[AwayTeam], S$1)+SUMIFS(Table2[NewPointsHome],Table2[GameDate], "&lt;=" &amp; $A114, Table2[HomeTeam], S$1)</f>
        <v>35</v>
      </c>
      <c r="T114" s="145">
        <f>SUMIFS(Table2[NewPointsAway],Table2[GameDate], "&lt;=" &amp; $A114, Table2[AwayTeam], T$1)+SUMIFS(Table2[NewPointsHome],Table2[GameDate], "&lt;=" &amp; $A114, Table2[HomeTeam], T$1)</f>
        <v>34</v>
      </c>
      <c r="U114" s="145">
        <f>SUMIFS(Table2[NewPointsAway],Table2[GameDate], "&lt;=" &amp; $A114, Table2[AwayTeam], U$1)+SUMIFS(Table2[NewPointsHome],Table2[GameDate], "&lt;=" &amp; $A114, Table2[HomeTeam], U$1)</f>
        <v>30</v>
      </c>
      <c r="V114" s="145">
        <f>SUMIFS(Table2[NewPointsAway],Table2[GameDate], "&lt;=" &amp; $A114, Table2[AwayTeam], V$1)+SUMIFS(Table2[NewPointsHome],Table2[GameDate], "&lt;=" &amp; $A114, Table2[HomeTeam], V$1)</f>
        <v>32</v>
      </c>
      <c r="W114" s="145">
        <f>SUMIFS(Table2[NewPointsAway],Table2[GameDate], "&lt;=" &amp; $A114, Table2[AwayTeam], W$1)+SUMIFS(Table2[NewPointsHome],Table2[GameDate], "&lt;=" &amp; $A114, Table2[HomeTeam], W$1)</f>
        <v>34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31</v>
      </c>
      <c r="Z114" s="145">
        <f>SUMIFS(Table2[NewPointsAway],Table2[GameDate], "&lt;=" &amp; $A114, Table2[AwayTeam], Z$1)+SUMIFS(Table2[NewPointsHome],Table2[GameDate], "&lt;=" &amp; $A114, Table2[HomeTeam], Z$1)</f>
        <v>30</v>
      </c>
      <c r="AA114" s="145">
        <f>SUMIFS(Table2[NewPointsAway],Table2[GameDate], "&lt;=" &amp; $A114, Table2[AwayTeam], AA$1)+SUMIFS(Table2[NewPointsHome],Table2[GameDate], "&lt;=" &amp; $A114, Table2[HomeTeam], AA$1)</f>
        <v>34</v>
      </c>
      <c r="AB114" s="145">
        <f>SUMIFS(Table2[NewPointsAway],Table2[GameDate], "&lt;=" &amp; $A114, Table2[AwayTeam], AB$1)+SUMIFS(Table2[NewPointsHome],Table2[GameDate], "&lt;=" &amp; $A114, Table2[HomeTeam], AB$1)</f>
        <v>32</v>
      </c>
      <c r="AC114" s="145">
        <f>SUMIFS(Table2[NewPointsAway],Table2[GameDate], "&lt;=" &amp; $A114, Table2[AwayTeam], AC$1)+SUMIFS(Table2[NewPointsHome],Table2[GameDate], "&lt;=" &amp; $A114, Table2[HomeTeam], AC$1)</f>
        <v>31</v>
      </c>
      <c r="AD114" s="145">
        <f>SUMIFS(Table2[NewPointsAway],Table2[GameDate], "&lt;=" &amp; $A114, Table2[AwayTeam], AD$1)+SUMIFS(Table2[NewPointsHome],Table2[GameDate], "&lt;=" &amp; $A114, Table2[HomeTeam], AD$1)</f>
        <v>25</v>
      </c>
      <c r="AE114" s="145">
        <f>SUMIFS(Table2[NewPointsAway],Table2[GameDate], "&lt;=" &amp; $A114, Table2[AwayTeam], AE$1)+SUMIFS(Table2[NewPointsHome],Table2[GameDate], "&lt;=" &amp; $A114, Table2[HomeTeam], AE$1)</f>
        <v>36</v>
      </c>
      <c r="AF114" s="145">
        <f>SUMIFS(Table2[NewPointsAway],Table2[GameDate], "&lt;=" &amp; $A114, Table2[AwayTeam], AF$1)+SUMIFS(Table2[NewPointsHome],Table2[GameDate], "&lt;=" &amp; $A114, Table2[HomeTeam], AF$1)</f>
        <v>29</v>
      </c>
      <c r="AG114" s="145">
        <f>SUMIFS(Table2[NewPointsAway],Table2[GameDate], "&lt;=" &amp; $A114, Table2[AwayTeam], AG$1)+SUMIFS(Table2[NewPointsHome],Table2[GameDate], "&lt;=" &amp; $A114, Table2[HomeTeam], AG$1)</f>
        <v>39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37</v>
      </c>
      <c r="C115" s="145">
        <f>SUMIFS(Table2[NewPointsAway],Table2[GameDate], "&lt;=" &amp; $A115, Table2[AwayTeam], C$1)+SUMIFS(Table2[NewPointsHome],Table2[GameDate], "&lt;=" &amp; $A115, Table2[HomeTeam], C$1)</f>
        <v>34</v>
      </c>
      <c r="D115" s="145">
        <f>SUMIFS(Table2[NewPointsAway],Table2[GameDate], "&lt;=" &amp; $A115, Table2[AwayTeam], D$1)+SUMIFS(Table2[NewPointsHome],Table2[GameDate], "&lt;=" &amp; $A115, Table2[HomeTeam], D$1)</f>
        <v>26</v>
      </c>
      <c r="E115" s="145">
        <f>SUMIFS(Table2[NewPointsAway],Table2[GameDate], "&lt;=" &amp; $A115, Table2[AwayTeam], E$1)+SUMIFS(Table2[NewPointsHome],Table2[GameDate], "&lt;=" &amp; $A115, Table2[HomeTeam], E$1)</f>
        <v>36</v>
      </c>
      <c r="F115" s="145">
        <f>SUMIFS(Table2[NewPointsAway],Table2[GameDate], "&lt;=" &amp; $A115, Table2[AwayTeam], F$1)+SUMIFS(Table2[NewPointsHome],Table2[GameDate], "&lt;=" &amp; $A115, Table2[HomeTeam], F$1)</f>
        <v>32</v>
      </c>
      <c r="G115" s="145">
        <f>SUMIFS(Table2[NewPointsAway],Table2[GameDate], "&lt;=" &amp; $A115, Table2[AwayTeam], G$1)+SUMIFS(Table2[NewPointsHome],Table2[GameDate], "&lt;=" &amp; $A115, Table2[HomeTeam], G$1)</f>
        <v>28</v>
      </c>
      <c r="H115" s="145">
        <f>SUMIFS(Table2[NewPointsAway],Table2[GameDate], "&lt;=" &amp; $A115, Table2[AwayTeam], H$1)+SUMIFS(Table2[NewPointsHome],Table2[GameDate], "&lt;=" &amp; $A115, Table2[HomeTeam], H$1)</f>
        <v>30</v>
      </c>
      <c r="I115" s="145">
        <f>SUMIFS(Table2[NewPointsAway],Table2[GameDate], "&lt;=" &amp; $A115, Table2[AwayTeam], I$1)+SUMIFS(Table2[NewPointsHome],Table2[GameDate], "&lt;=" &amp; $A115, Table2[HomeTeam], I$1)</f>
        <v>48</v>
      </c>
      <c r="J115" s="145">
        <f>SUMIFS(Table2[NewPointsAway],Table2[GameDate], "&lt;=" &amp; $A115, Table2[AwayTeam], J$1)+SUMIFS(Table2[NewPointsHome],Table2[GameDate], "&lt;=" &amp; $A115, Table2[HomeTeam], J$1)</f>
        <v>45</v>
      </c>
      <c r="K115" s="145">
        <f>SUMIFS(Table2[NewPointsAway],Table2[GameDate], "&lt;=" &amp; $A115, Table2[AwayTeam], K$1)+SUMIFS(Table2[NewPointsHome],Table2[GameDate], "&lt;=" &amp; $A115, Table2[HomeTeam], K$1)</f>
        <v>35</v>
      </c>
      <c r="L115" s="145">
        <f>SUMIFS(Table2[NewPointsAway],Table2[GameDate], "&lt;=" &amp; $A115, Table2[AwayTeam], L$1)+SUMIFS(Table2[NewPointsHome],Table2[GameDate], "&lt;=" &amp; $A115, Table2[HomeTeam], L$1)</f>
        <v>31</v>
      </c>
      <c r="M115" s="145">
        <f>SUMIFS(Table2[NewPointsAway],Table2[GameDate], "&lt;=" &amp; $A115, Table2[AwayTeam], M$1)+SUMIFS(Table2[NewPointsHome],Table2[GameDate], "&lt;=" &amp; $A115, Table2[HomeTeam], M$1)</f>
        <v>30</v>
      </c>
      <c r="N115" s="145">
        <f>SUMIFS(Table2[NewPointsAway],Table2[GameDate], "&lt;=" &amp; $A115, Table2[AwayTeam], N$1)+SUMIFS(Table2[NewPointsHome],Table2[GameDate], "&lt;=" &amp; $A115, Table2[HomeTeam], N$1)</f>
        <v>35</v>
      </c>
      <c r="O115" s="145">
        <f>SUMIFS(Table2[NewPointsAway],Table2[GameDate], "&lt;=" &amp; $A115, Table2[AwayTeam], O$1)+SUMIFS(Table2[NewPointsHome],Table2[GameDate], "&lt;=" &amp; $A115, Table2[HomeTeam], O$1)</f>
        <v>37</v>
      </c>
      <c r="P115" s="145">
        <f>SUMIFS(Table2[NewPointsAway],Table2[GameDate], "&lt;=" &amp; $A115, Table2[AwayTeam], P$1)+SUMIFS(Table2[NewPointsHome],Table2[GameDate], "&lt;=" &amp; $A115, Table2[HomeTeam], P$1)</f>
        <v>33</v>
      </c>
      <c r="Q115" s="145">
        <f>SUMIFS(Table2[NewPointsAway],Table2[GameDate], "&lt;=" &amp; $A115, Table2[AwayTeam], Q$1)+SUMIFS(Table2[NewPointsHome],Table2[GameDate], "&lt;=" &amp; $A115, Table2[HomeTeam], Q$1)</f>
        <v>33</v>
      </c>
      <c r="R115" s="145">
        <f>SUMIFS(Table2[NewPointsAway],Table2[GameDate], "&lt;=" &amp; $A115, Table2[AwayTeam], R$1)+SUMIFS(Table2[NewPointsHome],Table2[GameDate], "&lt;=" &amp; $A115, Table2[HomeTeam], R$1)</f>
        <v>24</v>
      </c>
      <c r="S115" s="145">
        <f>SUMIFS(Table2[NewPointsAway],Table2[GameDate], "&lt;=" &amp; $A115, Table2[AwayTeam], S$1)+SUMIFS(Table2[NewPointsHome],Table2[GameDate], "&lt;=" &amp; $A115, Table2[HomeTeam], S$1)</f>
        <v>35</v>
      </c>
      <c r="T115" s="145">
        <f>SUMIFS(Table2[NewPointsAway],Table2[GameDate], "&lt;=" &amp; $A115, Table2[AwayTeam], T$1)+SUMIFS(Table2[NewPointsHome],Table2[GameDate], "&lt;=" &amp; $A115, Table2[HomeTeam], T$1)</f>
        <v>34</v>
      </c>
      <c r="U115" s="145">
        <f>SUMIFS(Table2[NewPointsAway],Table2[GameDate], "&lt;=" &amp; $A115, Table2[AwayTeam], U$1)+SUMIFS(Table2[NewPointsHome],Table2[GameDate], "&lt;=" &amp; $A115, Table2[HomeTeam], U$1)</f>
        <v>30</v>
      </c>
      <c r="V115" s="145">
        <f>SUMIFS(Table2[NewPointsAway],Table2[GameDate], "&lt;=" &amp; $A115, Table2[AwayTeam], V$1)+SUMIFS(Table2[NewPointsHome],Table2[GameDate], "&lt;=" &amp; $A115, Table2[HomeTeam], V$1)</f>
        <v>32</v>
      </c>
      <c r="W115" s="145">
        <f>SUMIFS(Table2[NewPointsAway],Table2[GameDate], "&lt;=" &amp; $A115, Table2[AwayTeam], W$1)+SUMIFS(Table2[NewPointsHome],Table2[GameDate], "&lt;=" &amp; $A115, Table2[HomeTeam], W$1)</f>
        <v>34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31</v>
      </c>
      <c r="Z115" s="145">
        <f>SUMIFS(Table2[NewPointsAway],Table2[GameDate], "&lt;=" &amp; $A115, Table2[AwayTeam], Z$1)+SUMIFS(Table2[NewPointsHome],Table2[GameDate], "&lt;=" &amp; $A115, Table2[HomeTeam], Z$1)</f>
        <v>30</v>
      </c>
      <c r="AA115" s="145">
        <f>SUMIFS(Table2[NewPointsAway],Table2[GameDate], "&lt;=" &amp; $A115, Table2[AwayTeam], AA$1)+SUMIFS(Table2[NewPointsHome],Table2[GameDate], "&lt;=" &amp; $A115, Table2[HomeTeam], AA$1)</f>
        <v>34</v>
      </c>
      <c r="AB115" s="145">
        <f>SUMIFS(Table2[NewPointsAway],Table2[GameDate], "&lt;=" &amp; $A115, Table2[AwayTeam], AB$1)+SUMIFS(Table2[NewPointsHome],Table2[GameDate], "&lt;=" &amp; $A115, Table2[HomeTeam], AB$1)</f>
        <v>32</v>
      </c>
      <c r="AC115" s="145">
        <f>SUMIFS(Table2[NewPointsAway],Table2[GameDate], "&lt;=" &amp; $A115, Table2[AwayTeam], AC$1)+SUMIFS(Table2[NewPointsHome],Table2[GameDate], "&lt;=" &amp; $A115, Table2[HomeTeam], AC$1)</f>
        <v>31</v>
      </c>
      <c r="AD115" s="145">
        <f>SUMIFS(Table2[NewPointsAway],Table2[GameDate], "&lt;=" &amp; $A115, Table2[AwayTeam], AD$1)+SUMIFS(Table2[NewPointsHome],Table2[GameDate], "&lt;=" &amp; $A115, Table2[HomeTeam], AD$1)</f>
        <v>25</v>
      </c>
      <c r="AE115" s="145">
        <f>SUMIFS(Table2[NewPointsAway],Table2[GameDate], "&lt;=" &amp; $A115, Table2[AwayTeam], AE$1)+SUMIFS(Table2[NewPointsHome],Table2[GameDate], "&lt;=" &amp; $A115, Table2[HomeTeam], AE$1)</f>
        <v>36</v>
      </c>
      <c r="AF115" s="145">
        <f>SUMIFS(Table2[NewPointsAway],Table2[GameDate], "&lt;=" &amp; $A115, Table2[AwayTeam], AF$1)+SUMIFS(Table2[NewPointsHome],Table2[GameDate], "&lt;=" &amp; $A115, Table2[HomeTeam], AF$1)</f>
        <v>29</v>
      </c>
      <c r="AG115" s="145">
        <f>SUMIFS(Table2[NewPointsAway],Table2[GameDate], "&lt;=" &amp; $A115, Table2[AwayTeam], AG$1)+SUMIFS(Table2[NewPointsHome],Table2[GameDate], "&lt;=" &amp; $A115, Table2[HomeTeam], AG$1)</f>
        <v>39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37</v>
      </c>
      <c r="C116" s="145">
        <f>SUMIFS(Table2[NewPointsAway],Table2[GameDate], "&lt;=" &amp; $A116, Table2[AwayTeam], C$1)+SUMIFS(Table2[NewPointsHome],Table2[GameDate], "&lt;=" &amp; $A116, Table2[HomeTeam], C$1)</f>
        <v>34</v>
      </c>
      <c r="D116" s="145">
        <f>SUMIFS(Table2[NewPointsAway],Table2[GameDate], "&lt;=" &amp; $A116, Table2[AwayTeam], D$1)+SUMIFS(Table2[NewPointsHome],Table2[GameDate], "&lt;=" &amp; $A116, Table2[HomeTeam], D$1)</f>
        <v>26</v>
      </c>
      <c r="E116" s="145">
        <f>SUMIFS(Table2[NewPointsAway],Table2[GameDate], "&lt;=" &amp; $A116, Table2[AwayTeam], E$1)+SUMIFS(Table2[NewPointsHome],Table2[GameDate], "&lt;=" &amp; $A116, Table2[HomeTeam], E$1)</f>
        <v>36</v>
      </c>
      <c r="F116" s="145">
        <f>SUMIFS(Table2[NewPointsAway],Table2[GameDate], "&lt;=" &amp; $A116, Table2[AwayTeam], F$1)+SUMIFS(Table2[NewPointsHome],Table2[GameDate], "&lt;=" &amp; $A116, Table2[HomeTeam], F$1)</f>
        <v>32</v>
      </c>
      <c r="G116" s="145">
        <f>SUMIFS(Table2[NewPointsAway],Table2[GameDate], "&lt;=" &amp; $A116, Table2[AwayTeam], G$1)+SUMIFS(Table2[NewPointsHome],Table2[GameDate], "&lt;=" &amp; $A116, Table2[HomeTeam], G$1)</f>
        <v>28</v>
      </c>
      <c r="H116" s="145">
        <f>SUMIFS(Table2[NewPointsAway],Table2[GameDate], "&lt;=" &amp; $A116, Table2[AwayTeam], H$1)+SUMIFS(Table2[NewPointsHome],Table2[GameDate], "&lt;=" &amp; $A116, Table2[HomeTeam], H$1)</f>
        <v>30</v>
      </c>
      <c r="I116" s="145">
        <f>SUMIFS(Table2[NewPointsAway],Table2[GameDate], "&lt;=" &amp; $A116, Table2[AwayTeam], I$1)+SUMIFS(Table2[NewPointsHome],Table2[GameDate], "&lt;=" &amp; $A116, Table2[HomeTeam], I$1)</f>
        <v>48</v>
      </c>
      <c r="J116" s="145">
        <f>SUMIFS(Table2[NewPointsAway],Table2[GameDate], "&lt;=" &amp; $A116, Table2[AwayTeam], J$1)+SUMIFS(Table2[NewPointsHome],Table2[GameDate], "&lt;=" &amp; $A116, Table2[HomeTeam], J$1)</f>
        <v>45</v>
      </c>
      <c r="K116" s="145">
        <f>SUMIFS(Table2[NewPointsAway],Table2[GameDate], "&lt;=" &amp; $A116, Table2[AwayTeam], K$1)+SUMIFS(Table2[NewPointsHome],Table2[GameDate], "&lt;=" &amp; $A116, Table2[HomeTeam], K$1)</f>
        <v>35</v>
      </c>
      <c r="L116" s="145">
        <f>SUMIFS(Table2[NewPointsAway],Table2[GameDate], "&lt;=" &amp; $A116, Table2[AwayTeam], L$1)+SUMIFS(Table2[NewPointsHome],Table2[GameDate], "&lt;=" &amp; $A116, Table2[HomeTeam], L$1)</f>
        <v>31</v>
      </c>
      <c r="M116" s="145">
        <f>SUMIFS(Table2[NewPointsAway],Table2[GameDate], "&lt;=" &amp; $A116, Table2[AwayTeam], M$1)+SUMIFS(Table2[NewPointsHome],Table2[GameDate], "&lt;=" &amp; $A116, Table2[HomeTeam], M$1)</f>
        <v>30</v>
      </c>
      <c r="N116" s="145">
        <f>SUMIFS(Table2[NewPointsAway],Table2[GameDate], "&lt;=" &amp; $A116, Table2[AwayTeam], N$1)+SUMIFS(Table2[NewPointsHome],Table2[GameDate], "&lt;=" &amp; $A116, Table2[HomeTeam], N$1)</f>
        <v>35</v>
      </c>
      <c r="O116" s="145">
        <f>SUMIFS(Table2[NewPointsAway],Table2[GameDate], "&lt;=" &amp; $A116, Table2[AwayTeam], O$1)+SUMIFS(Table2[NewPointsHome],Table2[GameDate], "&lt;=" &amp; $A116, Table2[HomeTeam], O$1)</f>
        <v>37</v>
      </c>
      <c r="P116" s="145">
        <f>SUMIFS(Table2[NewPointsAway],Table2[GameDate], "&lt;=" &amp; $A116, Table2[AwayTeam], P$1)+SUMIFS(Table2[NewPointsHome],Table2[GameDate], "&lt;=" &amp; $A116, Table2[HomeTeam], P$1)</f>
        <v>33</v>
      </c>
      <c r="Q116" s="145">
        <f>SUMIFS(Table2[NewPointsAway],Table2[GameDate], "&lt;=" &amp; $A116, Table2[AwayTeam], Q$1)+SUMIFS(Table2[NewPointsHome],Table2[GameDate], "&lt;=" &amp; $A116, Table2[HomeTeam], Q$1)</f>
        <v>33</v>
      </c>
      <c r="R116" s="145">
        <f>SUMIFS(Table2[NewPointsAway],Table2[GameDate], "&lt;=" &amp; $A116, Table2[AwayTeam], R$1)+SUMIFS(Table2[NewPointsHome],Table2[GameDate], "&lt;=" &amp; $A116, Table2[HomeTeam], R$1)</f>
        <v>24</v>
      </c>
      <c r="S116" s="145">
        <f>SUMIFS(Table2[NewPointsAway],Table2[GameDate], "&lt;=" &amp; $A116, Table2[AwayTeam], S$1)+SUMIFS(Table2[NewPointsHome],Table2[GameDate], "&lt;=" &amp; $A116, Table2[HomeTeam], S$1)</f>
        <v>35</v>
      </c>
      <c r="T116" s="145">
        <f>SUMIFS(Table2[NewPointsAway],Table2[GameDate], "&lt;=" &amp; $A116, Table2[AwayTeam], T$1)+SUMIFS(Table2[NewPointsHome],Table2[GameDate], "&lt;=" &amp; $A116, Table2[HomeTeam], T$1)</f>
        <v>34</v>
      </c>
      <c r="U116" s="145">
        <f>SUMIFS(Table2[NewPointsAway],Table2[GameDate], "&lt;=" &amp; $A116, Table2[AwayTeam], U$1)+SUMIFS(Table2[NewPointsHome],Table2[GameDate], "&lt;=" &amp; $A116, Table2[HomeTeam], U$1)</f>
        <v>30</v>
      </c>
      <c r="V116" s="145">
        <f>SUMIFS(Table2[NewPointsAway],Table2[GameDate], "&lt;=" &amp; $A116, Table2[AwayTeam], V$1)+SUMIFS(Table2[NewPointsHome],Table2[GameDate], "&lt;=" &amp; $A116, Table2[HomeTeam], V$1)</f>
        <v>32</v>
      </c>
      <c r="W116" s="145">
        <f>SUMIFS(Table2[NewPointsAway],Table2[GameDate], "&lt;=" &amp; $A116, Table2[AwayTeam], W$1)+SUMIFS(Table2[NewPointsHome],Table2[GameDate], "&lt;=" &amp; $A116, Table2[HomeTeam], W$1)</f>
        <v>34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31</v>
      </c>
      <c r="Z116" s="145">
        <f>SUMIFS(Table2[NewPointsAway],Table2[GameDate], "&lt;=" &amp; $A116, Table2[AwayTeam], Z$1)+SUMIFS(Table2[NewPointsHome],Table2[GameDate], "&lt;=" &amp; $A116, Table2[HomeTeam], Z$1)</f>
        <v>30</v>
      </c>
      <c r="AA116" s="145">
        <f>SUMIFS(Table2[NewPointsAway],Table2[GameDate], "&lt;=" &amp; $A116, Table2[AwayTeam], AA$1)+SUMIFS(Table2[NewPointsHome],Table2[GameDate], "&lt;=" &amp; $A116, Table2[HomeTeam], AA$1)</f>
        <v>34</v>
      </c>
      <c r="AB116" s="145">
        <f>SUMIFS(Table2[NewPointsAway],Table2[GameDate], "&lt;=" &amp; $A116, Table2[AwayTeam], AB$1)+SUMIFS(Table2[NewPointsHome],Table2[GameDate], "&lt;=" &amp; $A116, Table2[HomeTeam], AB$1)</f>
        <v>32</v>
      </c>
      <c r="AC116" s="145">
        <f>SUMIFS(Table2[NewPointsAway],Table2[GameDate], "&lt;=" &amp; $A116, Table2[AwayTeam], AC$1)+SUMIFS(Table2[NewPointsHome],Table2[GameDate], "&lt;=" &amp; $A116, Table2[HomeTeam], AC$1)</f>
        <v>31</v>
      </c>
      <c r="AD116" s="145">
        <f>SUMIFS(Table2[NewPointsAway],Table2[GameDate], "&lt;=" &amp; $A116, Table2[AwayTeam], AD$1)+SUMIFS(Table2[NewPointsHome],Table2[GameDate], "&lt;=" &amp; $A116, Table2[HomeTeam], AD$1)</f>
        <v>25</v>
      </c>
      <c r="AE116" s="145">
        <f>SUMIFS(Table2[NewPointsAway],Table2[GameDate], "&lt;=" &amp; $A116, Table2[AwayTeam], AE$1)+SUMIFS(Table2[NewPointsHome],Table2[GameDate], "&lt;=" &amp; $A116, Table2[HomeTeam], AE$1)</f>
        <v>36</v>
      </c>
      <c r="AF116" s="145">
        <f>SUMIFS(Table2[NewPointsAway],Table2[GameDate], "&lt;=" &amp; $A116, Table2[AwayTeam], AF$1)+SUMIFS(Table2[NewPointsHome],Table2[GameDate], "&lt;=" &amp; $A116, Table2[HomeTeam], AF$1)</f>
        <v>29</v>
      </c>
      <c r="AG116" s="145">
        <f>SUMIFS(Table2[NewPointsAway],Table2[GameDate], "&lt;=" &amp; $A116, Table2[AwayTeam], AG$1)+SUMIFS(Table2[NewPointsHome],Table2[GameDate], "&lt;=" &amp; $A116, Table2[HomeTeam], AG$1)</f>
        <v>39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37</v>
      </c>
      <c r="C117" s="145">
        <f>SUMIFS(Table2[NewPointsAway],Table2[GameDate], "&lt;=" &amp; $A117, Table2[AwayTeam], C$1)+SUMIFS(Table2[NewPointsHome],Table2[GameDate], "&lt;=" &amp; $A117, Table2[HomeTeam], C$1)</f>
        <v>34</v>
      </c>
      <c r="D117" s="145">
        <f>SUMIFS(Table2[NewPointsAway],Table2[GameDate], "&lt;=" &amp; $A117, Table2[AwayTeam], D$1)+SUMIFS(Table2[NewPointsHome],Table2[GameDate], "&lt;=" &amp; $A117, Table2[HomeTeam], D$1)</f>
        <v>26</v>
      </c>
      <c r="E117" s="145">
        <f>SUMIFS(Table2[NewPointsAway],Table2[GameDate], "&lt;=" &amp; $A117, Table2[AwayTeam], E$1)+SUMIFS(Table2[NewPointsHome],Table2[GameDate], "&lt;=" &amp; $A117, Table2[HomeTeam], E$1)</f>
        <v>36</v>
      </c>
      <c r="F117" s="145">
        <f>SUMIFS(Table2[NewPointsAway],Table2[GameDate], "&lt;=" &amp; $A117, Table2[AwayTeam], F$1)+SUMIFS(Table2[NewPointsHome],Table2[GameDate], "&lt;=" &amp; $A117, Table2[HomeTeam], F$1)</f>
        <v>32</v>
      </c>
      <c r="G117" s="145">
        <f>SUMIFS(Table2[NewPointsAway],Table2[GameDate], "&lt;=" &amp; $A117, Table2[AwayTeam], G$1)+SUMIFS(Table2[NewPointsHome],Table2[GameDate], "&lt;=" &amp; $A117, Table2[HomeTeam], G$1)</f>
        <v>28</v>
      </c>
      <c r="H117" s="145">
        <f>SUMIFS(Table2[NewPointsAway],Table2[GameDate], "&lt;=" &amp; $A117, Table2[AwayTeam], H$1)+SUMIFS(Table2[NewPointsHome],Table2[GameDate], "&lt;=" &amp; $A117, Table2[HomeTeam], H$1)</f>
        <v>30</v>
      </c>
      <c r="I117" s="145">
        <f>SUMIFS(Table2[NewPointsAway],Table2[GameDate], "&lt;=" &amp; $A117, Table2[AwayTeam], I$1)+SUMIFS(Table2[NewPointsHome],Table2[GameDate], "&lt;=" &amp; $A117, Table2[HomeTeam], I$1)</f>
        <v>48</v>
      </c>
      <c r="J117" s="145">
        <f>SUMIFS(Table2[NewPointsAway],Table2[GameDate], "&lt;=" &amp; $A117, Table2[AwayTeam], J$1)+SUMIFS(Table2[NewPointsHome],Table2[GameDate], "&lt;=" &amp; $A117, Table2[HomeTeam], J$1)</f>
        <v>45</v>
      </c>
      <c r="K117" s="145">
        <f>SUMIFS(Table2[NewPointsAway],Table2[GameDate], "&lt;=" &amp; $A117, Table2[AwayTeam], K$1)+SUMIFS(Table2[NewPointsHome],Table2[GameDate], "&lt;=" &amp; $A117, Table2[HomeTeam], K$1)</f>
        <v>35</v>
      </c>
      <c r="L117" s="145">
        <f>SUMIFS(Table2[NewPointsAway],Table2[GameDate], "&lt;=" &amp; $A117, Table2[AwayTeam], L$1)+SUMIFS(Table2[NewPointsHome],Table2[GameDate], "&lt;=" &amp; $A117, Table2[HomeTeam], L$1)</f>
        <v>31</v>
      </c>
      <c r="M117" s="145">
        <f>SUMIFS(Table2[NewPointsAway],Table2[GameDate], "&lt;=" &amp; $A117, Table2[AwayTeam], M$1)+SUMIFS(Table2[NewPointsHome],Table2[GameDate], "&lt;=" &amp; $A117, Table2[HomeTeam], M$1)</f>
        <v>30</v>
      </c>
      <c r="N117" s="145">
        <f>SUMIFS(Table2[NewPointsAway],Table2[GameDate], "&lt;=" &amp; $A117, Table2[AwayTeam], N$1)+SUMIFS(Table2[NewPointsHome],Table2[GameDate], "&lt;=" &amp; $A117, Table2[HomeTeam], N$1)</f>
        <v>35</v>
      </c>
      <c r="O117" s="145">
        <f>SUMIFS(Table2[NewPointsAway],Table2[GameDate], "&lt;=" &amp; $A117, Table2[AwayTeam], O$1)+SUMIFS(Table2[NewPointsHome],Table2[GameDate], "&lt;=" &amp; $A117, Table2[HomeTeam], O$1)</f>
        <v>37</v>
      </c>
      <c r="P117" s="145">
        <f>SUMIFS(Table2[NewPointsAway],Table2[GameDate], "&lt;=" &amp; $A117, Table2[AwayTeam], P$1)+SUMIFS(Table2[NewPointsHome],Table2[GameDate], "&lt;=" &amp; $A117, Table2[HomeTeam], P$1)</f>
        <v>33</v>
      </c>
      <c r="Q117" s="145">
        <f>SUMIFS(Table2[NewPointsAway],Table2[GameDate], "&lt;=" &amp; $A117, Table2[AwayTeam], Q$1)+SUMIFS(Table2[NewPointsHome],Table2[GameDate], "&lt;=" &amp; $A117, Table2[HomeTeam], Q$1)</f>
        <v>33</v>
      </c>
      <c r="R117" s="145">
        <f>SUMIFS(Table2[NewPointsAway],Table2[GameDate], "&lt;=" &amp; $A117, Table2[AwayTeam], R$1)+SUMIFS(Table2[NewPointsHome],Table2[GameDate], "&lt;=" &amp; $A117, Table2[HomeTeam], R$1)</f>
        <v>24</v>
      </c>
      <c r="S117" s="145">
        <f>SUMIFS(Table2[NewPointsAway],Table2[GameDate], "&lt;=" &amp; $A117, Table2[AwayTeam], S$1)+SUMIFS(Table2[NewPointsHome],Table2[GameDate], "&lt;=" &amp; $A117, Table2[HomeTeam], S$1)</f>
        <v>35</v>
      </c>
      <c r="T117" s="145">
        <f>SUMIFS(Table2[NewPointsAway],Table2[GameDate], "&lt;=" &amp; $A117, Table2[AwayTeam], T$1)+SUMIFS(Table2[NewPointsHome],Table2[GameDate], "&lt;=" &amp; $A117, Table2[HomeTeam], T$1)</f>
        <v>34</v>
      </c>
      <c r="U117" s="145">
        <f>SUMIFS(Table2[NewPointsAway],Table2[GameDate], "&lt;=" &amp; $A117, Table2[AwayTeam], U$1)+SUMIFS(Table2[NewPointsHome],Table2[GameDate], "&lt;=" &amp; $A117, Table2[HomeTeam], U$1)</f>
        <v>30</v>
      </c>
      <c r="V117" s="145">
        <f>SUMIFS(Table2[NewPointsAway],Table2[GameDate], "&lt;=" &amp; $A117, Table2[AwayTeam], V$1)+SUMIFS(Table2[NewPointsHome],Table2[GameDate], "&lt;=" &amp; $A117, Table2[HomeTeam], V$1)</f>
        <v>32</v>
      </c>
      <c r="W117" s="145">
        <f>SUMIFS(Table2[NewPointsAway],Table2[GameDate], "&lt;=" &amp; $A117, Table2[AwayTeam], W$1)+SUMIFS(Table2[NewPointsHome],Table2[GameDate], "&lt;=" &amp; $A117, Table2[HomeTeam], W$1)</f>
        <v>34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31</v>
      </c>
      <c r="Z117" s="145">
        <f>SUMIFS(Table2[NewPointsAway],Table2[GameDate], "&lt;=" &amp; $A117, Table2[AwayTeam], Z$1)+SUMIFS(Table2[NewPointsHome],Table2[GameDate], "&lt;=" &amp; $A117, Table2[HomeTeam], Z$1)</f>
        <v>30</v>
      </c>
      <c r="AA117" s="145">
        <f>SUMIFS(Table2[NewPointsAway],Table2[GameDate], "&lt;=" &amp; $A117, Table2[AwayTeam], AA$1)+SUMIFS(Table2[NewPointsHome],Table2[GameDate], "&lt;=" &amp; $A117, Table2[HomeTeam], AA$1)</f>
        <v>34</v>
      </c>
      <c r="AB117" s="145">
        <f>SUMIFS(Table2[NewPointsAway],Table2[GameDate], "&lt;=" &amp; $A117, Table2[AwayTeam], AB$1)+SUMIFS(Table2[NewPointsHome],Table2[GameDate], "&lt;=" &amp; $A117, Table2[HomeTeam], AB$1)</f>
        <v>32</v>
      </c>
      <c r="AC117" s="145">
        <f>SUMIFS(Table2[NewPointsAway],Table2[GameDate], "&lt;=" &amp; $A117, Table2[AwayTeam], AC$1)+SUMIFS(Table2[NewPointsHome],Table2[GameDate], "&lt;=" &amp; $A117, Table2[HomeTeam], AC$1)</f>
        <v>31</v>
      </c>
      <c r="AD117" s="145">
        <f>SUMIFS(Table2[NewPointsAway],Table2[GameDate], "&lt;=" &amp; $A117, Table2[AwayTeam], AD$1)+SUMIFS(Table2[NewPointsHome],Table2[GameDate], "&lt;=" &amp; $A117, Table2[HomeTeam], AD$1)</f>
        <v>25</v>
      </c>
      <c r="AE117" s="145">
        <f>SUMIFS(Table2[NewPointsAway],Table2[GameDate], "&lt;=" &amp; $A117, Table2[AwayTeam], AE$1)+SUMIFS(Table2[NewPointsHome],Table2[GameDate], "&lt;=" &amp; $A117, Table2[HomeTeam], AE$1)</f>
        <v>36</v>
      </c>
      <c r="AF117" s="145">
        <f>SUMIFS(Table2[NewPointsAway],Table2[GameDate], "&lt;=" &amp; $A117, Table2[AwayTeam], AF$1)+SUMIFS(Table2[NewPointsHome],Table2[GameDate], "&lt;=" &amp; $A117, Table2[HomeTeam], AF$1)</f>
        <v>29</v>
      </c>
      <c r="AG117" s="145">
        <f>SUMIFS(Table2[NewPointsAway],Table2[GameDate], "&lt;=" &amp; $A117, Table2[AwayTeam], AG$1)+SUMIFS(Table2[NewPointsHome],Table2[GameDate], "&lt;=" &amp; $A117, Table2[HomeTeam], AG$1)</f>
        <v>39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37</v>
      </c>
      <c r="C118" s="145">
        <f>SUMIFS(Table2[NewPointsAway],Table2[GameDate], "&lt;=" &amp; $A118, Table2[AwayTeam], C$1)+SUMIFS(Table2[NewPointsHome],Table2[GameDate], "&lt;=" &amp; $A118, Table2[HomeTeam], C$1)</f>
        <v>34</v>
      </c>
      <c r="D118" s="145">
        <f>SUMIFS(Table2[NewPointsAway],Table2[GameDate], "&lt;=" &amp; $A118, Table2[AwayTeam], D$1)+SUMIFS(Table2[NewPointsHome],Table2[GameDate], "&lt;=" &amp; $A118, Table2[HomeTeam], D$1)</f>
        <v>26</v>
      </c>
      <c r="E118" s="145">
        <f>SUMIFS(Table2[NewPointsAway],Table2[GameDate], "&lt;=" &amp; $A118, Table2[AwayTeam], E$1)+SUMIFS(Table2[NewPointsHome],Table2[GameDate], "&lt;=" &amp; $A118, Table2[HomeTeam], E$1)</f>
        <v>36</v>
      </c>
      <c r="F118" s="145">
        <f>SUMIFS(Table2[NewPointsAway],Table2[GameDate], "&lt;=" &amp; $A118, Table2[AwayTeam], F$1)+SUMIFS(Table2[NewPointsHome],Table2[GameDate], "&lt;=" &amp; $A118, Table2[HomeTeam], F$1)</f>
        <v>32</v>
      </c>
      <c r="G118" s="145">
        <f>SUMIFS(Table2[NewPointsAway],Table2[GameDate], "&lt;=" &amp; $A118, Table2[AwayTeam], G$1)+SUMIFS(Table2[NewPointsHome],Table2[GameDate], "&lt;=" &amp; $A118, Table2[HomeTeam], G$1)</f>
        <v>28</v>
      </c>
      <c r="H118" s="145">
        <f>SUMIFS(Table2[NewPointsAway],Table2[GameDate], "&lt;=" &amp; $A118, Table2[AwayTeam], H$1)+SUMIFS(Table2[NewPointsHome],Table2[GameDate], "&lt;=" &amp; $A118, Table2[HomeTeam], H$1)</f>
        <v>30</v>
      </c>
      <c r="I118" s="145">
        <f>SUMIFS(Table2[NewPointsAway],Table2[GameDate], "&lt;=" &amp; $A118, Table2[AwayTeam], I$1)+SUMIFS(Table2[NewPointsHome],Table2[GameDate], "&lt;=" &amp; $A118, Table2[HomeTeam], I$1)</f>
        <v>48</v>
      </c>
      <c r="J118" s="145">
        <f>SUMIFS(Table2[NewPointsAway],Table2[GameDate], "&lt;=" &amp; $A118, Table2[AwayTeam], J$1)+SUMIFS(Table2[NewPointsHome],Table2[GameDate], "&lt;=" &amp; $A118, Table2[HomeTeam], J$1)</f>
        <v>45</v>
      </c>
      <c r="K118" s="145">
        <f>SUMIFS(Table2[NewPointsAway],Table2[GameDate], "&lt;=" &amp; $A118, Table2[AwayTeam], K$1)+SUMIFS(Table2[NewPointsHome],Table2[GameDate], "&lt;=" &amp; $A118, Table2[HomeTeam], K$1)</f>
        <v>35</v>
      </c>
      <c r="L118" s="145">
        <f>SUMIFS(Table2[NewPointsAway],Table2[GameDate], "&lt;=" &amp; $A118, Table2[AwayTeam], L$1)+SUMIFS(Table2[NewPointsHome],Table2[GameDate], "&lt;=" &amp; $A118, Table2[HomeTeam], L$1)</f>
        <v>31</v>
      </c>
      <c r="M118" s="145">
        <f>SUMIFS(Table2[NewPointsAway],Table2[GameDate], "&lt;=" &amp; $A118, Table2[AwayTeam], M$1)+SUMIFS(Table2[NewPointsHome],Table2[GameDate], "&lt;=" &amp; $A118, Table2[HomeTeam], M$1)</f>
        <v>30</v>
      </c>
      <c r="N118" s="145">
        <f>SUMIFS(Table2[NewPointsAway],Table2[GameDate], "&lt;=" &amp; $A118, Table2[AwayTeam], N$1)+SUMIFS(Table2[NewPointsHome],Table2[GameDate], "&lt;=" &amp; $A118, Table2[HomeTeam], N$1)</f>
        <v>35</v>
      </c>
      <c r="O118" s="145">
        <f>SUMIFS(Table2[NewPointsAway],Table2[GameDate], "&lt;=" &amp; $A118, Table2[AwayTeam], O$1)+SUMIFS(Table2[NewPointsHome],Table2[GameDate], "&lt;=" &amp; $A118, Table2[HomeTeam], O$1)</f>
        <v>37</v>
      </c>
      <c r="P118" s="145">
        <f>SUMIFS(Table2[NewPointsAway],Table2[GameDate], "&lt;=" &amp; $A118, Table2[AwayTeam], P$1)+SUMIFS(Table2[NewPointsHome],Table2[GameDate], "&lt;=" &amp; $A118, Table2[HomeTeam], P$1)</f>
        <v>33</v>
      </c>
      <c r="Q118" s="145">
        <f>SUMIFS(Table2[NewPointsAway],Table2[GameDate], "&lt;=" &amp; $A118, Table2[AwayTeam], Q$1)+SUMIFS(Table2[NewPointsHome],Table2[GameDate], "&lt;=" &amp; $A118, Table2[HomeTeam], Q$1)</f>
        <v>33</v>
      </c>
      <c r="R118" s="145">
        <f>SUMIFS(Table2[NewPointsAway],Table2[GameDate], "&lt;=" &amp; $A118, Table2[AwayTeam], R$1)+SUMIFS(Table2[NewPointsHome],Table2[GameDate], "&lt;=" &amp; $A118, Table2[HomeTeam], R$1)</f>
        <v>24</v>
      </c>
      <c r="S118" s="145">
        <f>SUMIFS(Table2[NewPointsAway],Table2[GameDate], "&lt;=" &amp; $A118, Table2[AwayTeam], S$1)+SUMIFS(Table2[NewPointsHome],Table2[GameDate], "&lt;=" &amp; $A118, Table2[HomeTeam], S$1)</f>
        <v>35</v>
      </c>
      <c r="T118" s="145">
        <f>SUMIFS(Table2[NewPointsAway],Table2[GameDate], "&lt;=" &amp; $A118, Table2[AwayTeam], T$1)+SUMIFS(Table2[NewPointsHome],Table2[GameDate], "&lt;=" &amp; $A118, Table2[HomeTeam], T$1)</f>
        <v>34</v>
      </c>
      <c r="U118" s="145">
        <f>SUMIFS(Table2[NewPointsAway],Table2[GameDate], "&lt;=" &amp; $A118, Table2[AwayTeam], U$1)+SUMIFS(Table2[NewPointsHome],Table2[GameDate], "&lt;=" &amp; $A118, Table2[HomeTeam], U$1)</f>
        <v>30</v>
      </c>
      <c r="V118" s="145">
        <f>SUMIFS(Table2[NewPointsAway],Table2[GameDate], "&lt;=" &amp; $A118, Table2[AwayTeam], V$1)+SUMIFS(Table2[NewPointsHome],Table2[GameDate], "&lt;=" &amp; $A118, Table2[HomeTeam], V$1)</f>
        <v>32</v>
      </c>
      <c r="W118" s="145">
        <f>SUMIFS(Table2[NewPointsAway],Table2[GameDate], "&lt;=" &amp; $A118, Table2[AwayTeam], W$1)+SUMIFS(Table2[NewPointsHome],Table2[GameDate], "&lt;=" &amp; $A118, Table2[HomeTeam], W$1)</f>
        <v>34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31</v>
      </c>
      <c r="Z118" s="145">
        <f>SUMIFS(Table2[NewPointsAway],Table2[GameDate], "&lt;=" &amp; $A118, Table2[AwayTeam], Z$1)+SUMIFS(Table2[NewPointsHome],Table2[GameDate], "&lt;=" &amp; $A118, Table2[HomeTeam], Z$1)</f>
        <v>30</v>
      </c>
      <c r="AA118" s="145">
        <f>SUMIFS(Table2[NewPointsAway],Table2[GameDate], "&lt;=" &amp; $A118, Table2[AwayTeam], AA$1)+SUMIFS(Table2[NewPointsHome],Table2[GameDate], "&lt;=" &amp; $A118, Table2[HomeTeam], AA$1)</f>
        <v>34</v>
      </c>
      <c r="AB118" s="145">
        <f>SUMIFS(Table2[NewPointsAway],Table2[GameDate], "&lt;=" &amp; $A118, Table2[AwayTeam], AB$1)+SUMIFS(Table2[NewPointsHome],Table2[GameDate], "&lt;=" &amp; $A118, Table2[HomeTeam], AB$1)</f>
        <v>32</v>
      </c>
      <c r="AC118" s="145">
        <f>SUMIFS(Table2[NewPointsAway],Table2[GameDate], "&lt;=" &amp; $A118, Table2[AwayTeam], AC$1)+SUMIFS(Table2[NewPointsHome],Table2[GameDate], "&lt;=" &amp; $A118, Table2[HomeTeam], AC$1)</f>
        <v>31</v>
      </c>
      <c r="AD118" s="145">
        <f>SUMIFS(Table2[NewPointsAway],Table2[GameDate], "&lt;=" &amp; $A118, Table2[AwayTeam], AD$1)+SUMIFS(Table2[NewPointsHome],Table2[GameDate], "&lt;=" &amp; $A118, Table2[HomeTeam], AD$1)</f>
        <v>25</v>
      </c>
      <c r="AE118" s="145">
        <f>SUMIFS(Table2[NewPointsAway],Table2[GameDate], "&lt;=" &amp; $A118, Table2[AwayTeam], AE$1)+SUMIFS(Table2[NewPointsHome],Table2[GameDate], "&lt;=" &amp; $A118, Table2[HomeTeam], AE$1)</f>
        <v>36</v>
      </c>
      <c r="AF118" s="145">
        <f>SUMIFS(Table2[NewPointsAway],Table2[GameDate], "&lt;=" &amp; $A118, Table2[AwayTeam], AF$1)+SUMIFS(Table2[NewPointsHome],Table2[GameDate], "&lt;=" &amp; $A118, Table2[HomeTeam], AF$1)</f>
        <v>29</v>
      </c>
      <c r="AG118" s="145">
        <f>SUMIFS(Table2[NewPointsAway],Table2[GameDate], "&lt;=" &amp; $A118, Table2[AwayTeam], AG$1)+SUMIFS(Table2[NewPointsHome],Table2[GameDate], "&lt;=" &amp; $A118, Table2[HomeTeam], AG$1)</f>
        <v>39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37</v>
      </c>
      <c r="C119" s="145">
        <f>SUMIFS(Table2[NewPointsAway],Table2[GameDate], "&lt;=" &amp; $A119, Table2[AwayTeam], C$1)+SUMIFS(Table2[NewPointsHome],Table2[GameDate], "&lt;=" &amp; $A119, Table2[HomeTeam], C$1)</f>
        <v>34</v>
      </c>
      <c r="D119" s="145">
        <f>SUMIFS(Table2[NewPointsAway],Table2[GameDate], "&lt;=" &amp; $A119, Table2[AwayTeam], D$1)+SUMIFS(Table2[NewPointsHome],Table2[GameDate], "&lt;=" &amp; $A119, Table2[HomeTeam], D$1)</f>
        <v>26</v>
      </c>
      <c r="E119" s="145">
        <f>SUMIFS(Table2[NewPointsAway],Table2[GameDate], "&lt;=" &amp; $A119, Table2[AwayTeam], E$1)+SUMIFS(Table2[NewPointsHome],Table2[GameDate], "&lt;=" &amp; $A119, Table2[HomeTeam], E$1)</f>
        <v>36</v>
      </c>
      <c r="F119" s="145">
        <f>SUMIFS(Table2[NewPointsAway],Table2[GameDate], "&lt;=" &amp; $A119, Table2[AwayTeam], F$1)+SUMIFS(Table2[NewPointsHome],Table2[GameDate], "&lt;=" &amp; $A119, Table2[HomeTeam], F$1)</f>
        <v>32</v>
      </c>
      <c r="G119" s="145">
        <f>SUMIFS(Table2[NewPointsAway],Table2[GameDate], "&lt;=" &amp; $A119, Table2[AwayTeam], G$1)+SUMIFS(Table2[NewPointsHome],Table2[GameDate], "&lt;=" &amp; $A119, Table2[HomeTeam], G$1)</f>
        <v>28</v>
      </c>
      <c r="H119" s="145">
        <f>SUMIFS(Table2[NewPointsAway],Table2[GameDate], "&lt;=" &amp; $A119, Table2[AwayTeam], H$1)+SUMIFS(Table2[NewPointsHome],Table2[GameDate], "&lt;=" &amp; $A119, Table2[HomeTeam], H$1)</f>
        <v>30</v>
      </c>
      <c r="I119" s="145">
        <f>SUMIFS(Table2[NewPointsAway],Table2[GameDate], "&lt;=" &amp; $A119, Table2[AwayTeam], I$1)+SUMIFS(Table2[NewPointsHome],Table2[GameDate], "&lt;=" &amp; $A119, Table2[HomeTeam], I$1)</f>
        <v>48</v>
      </c>
      <c r="J119" s="145">
        <f>SUMIFS(Table2[NewPointsAway],Table2[GameDate], "&lt;=" &amp; $A119, Table2[AwayTeam], J$1)+SUMIFS(Table2[NewPointsHome],Table2[GameDate], "&lt;=" &amp; $A119, Table2[HomeTeam], J$1)</f>
        <v>45</v>
      </c>
      <c r="K119" s="145">
        <f>SUMIFS(Table2[NewPointsAway],Table2[GameDate], "&lt;=" &amp; $A119, Table2[AwayTeam], K$1)+SUMIFS(Table2[NewPointsHome],Table2[GameDate], "&lt;=" &amp; $A119, Table2[HomeTeam], K$1)</f>
        <v>35</v>
      </c>
      <c r="L119" s="145">
        <f>SUMIFS(Table2[NewPointsAway],Table2[GameDate], "&lt;=" &amp; $A119, Table2[AwayTeam], L$1)+SUMIFS(Table2[NewPointsHome],Table2[GameDate], "&lt;=" &amp; $A119, Table2[HomeTeam], L$1)</f>
        <v>31</v>
      </c>
      <c r="M119" s="145">
        <f>SUMIFS(Table2[NewPointsAway],Table2[GameDate], "&lt;=" &amp; $A119, Table2[AwayTeam], M$1)+SUMIFS(Table2[NewPointsHome],Table2[GameDate], "&lt;=" &amp; $A119, Table2[HomeTeam], M$1)</f>
        <v>30</v>
      </c>
      <c r="N119" s="145">
        <f>SUMIFS(Table2[NewPointsAway],Table2[GameDate], "&lt;=" &amp; $A119, Table2[AwayTeam], N$1)+SUMIFS(Table2[NewPointsHome],Table2[GameDate], "&lt;=" &amp; $A119, Table2[HomeTeam], N$1)</f>
        <v>35</v>
      </c>
      <c r="O119" s="145">
        <f>SUMIFS(Table2[NewPointsAway],Table2[GameDate], "&lt;=" &amp; $A119, Table2[AwayTeam], O$1)+SUMIFS(Table2[NewPointsHome],Table2[GameDate], "&lt;=" &amp; $A119, Table2[HomeTeam], O$1)</f>
        <v>37</v>
      </c>
      <c r="P119" s="145">
        <f>SUMIFS(Table2[NewPointsAway],Table2[GameDate], "&lt;=" &amp; $A119, Table2[AwayTeam], P$1)+SUMIFS(Table2[NewPointsHome],Table2[GameDate], "&lt;=" &amp; $A119, Table2[HomeTeam], P$1)</f>
        <v>33</v>
      </c>
      <c r="Q119" s="145">
        <f>SUMIFS(Table2[NewPointsAway],Table2[GameDate], "&lt;=" &amp; $A119, Table2[AwayTeam], Q$1)+SUMIFS(Table2[NewPointsHome],Table2[GameDate], "&lt;=" &amp; $A119, Table2[HomeTeam], Q$1)</f>
        <v>33</v>
      </c>
      <c r="R119" s="145">
        <f>SUMIFS(Table2[NewPointsAway],Table2[GameDate], "&lt;=" &amp; $A119, Table2[AwayTeam], R$1)+SUMIFS(Table2[NewPointsHome],Table2[GameDate], "&lt;=" &amp; $A119, Table2[HomeTeam], R$1)</f>
        <v>24</v>
      </c>
      <c r="S119" s="145">
        <f>SUMIFS(Table2[NewPointsAway],Table2[GameDate], "&lt;=" &amp; $A119, Table2[AwayTeam], S$1)+SUMIFS(Table2[NewPointsHome],Table2[GameDate], "&lt;=" &amp; $A119, Table2[HomeTeam], S$1)</f>
        <v>35</v>
      </c>
      <c r="T119" s="145">
        <f>SUMIFS(Table2[NewPointsAway],Table2[GameDate], "&lt;=" &amp; $A119, Table2[AwayTeam], T$1)+SUMIFS(Table2[NewPointsHome],Table2[GameDate], "&lt;=" &amp; $A119, Table2[HomeTeam], T$1)</f>
        <v>34</v>
      </c>
      <c r="U119" s="145">
        <f>SUMIFS(Table2[NewPointsAway],Table2[GameDate], "&lt;=" &amp; $A119, Table2[AwayTeam], U$1)+SUMIFS(Table2[NewPointsHome],Table2[GameDate], "&lt;=" &amp; $A119, Table2[HomeTeam], U$1)</f>
        <v>30</v>
      </c>
      <c r="V119" s="145">
        <f>SUMIFS(Table2[NewPointsAway],Table2[GameDate], "&lt;=" &amp; $A119, Table2[AwayTeam], V$1)+SUMIFS(Table2[NewPointsHome],Table2[GameDate], "&lt;=" &amp; $A119, Table2[HomeTeam], V$1)</f>
        <v>32</v>
      </c>
      <c r="W119" s="145">
        <f>SUMIFS(Table2[NewPointsAway],Table2[GameDate], "&lt;=" &amp; $A119, Table2[AwayTeam], W$1)+SUMIFS(Table2[NewPointsHome],Table2[GameDate], "&lt;=" &amp; $A119, Table2[HomeTeam], W$1)</f>
        <v>34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31</v>
      </c>
      <c r="Z119" s="145">
        <f>SUMIFS(Table2[NewPointsAway],Table2[GameDate], "&lt;=" &amp; $A119, Table2[AwayTeam], Z$1)+SUMIFS(Table2[NewPointsHome],Table2[GameDate], "&lt;=" &amp; $A119, Table2[HomeTeam], Z$1)</f>
        <v>30</v>
      </c>
      <c r="AA119" s="145">
        <f>SUMIFS(Table2[NewPointsAway],Table2[GameDate], "&lt;=" &amp; $A119, Table2[AwayTeam], AA$1)+SUMIFS(Table2[NewPointsHome],Table2[GameDate], "&lt;=" &amp; $A119, Table2[HomeTeam], AA$1)</f>
        <v>34</v>
      </c>
      <c r="AB119" s="145">
        <f>SUMIFS(Table2[NewPointsAway],Table2[GameDate], "&lt;=" &amp; $A119, Table2[AwayTeam], AB$1)+SUMIFS(Table2[NewPointsHome],Table2[GameDate], "&lt;=" &amp; $A119, Table2[HomeTeam], AB$1)</f>
        <v>32</v>
      </c>
      <c r="AC119" s="145">
        <f>SUMIFS(Table2[NewPointsAway],Table2[GameDate], "&lt;=" &amp; $A119, Table2[AwayTeam], AC$1)+SUMIFS(Table2[NewPointsHome],Table2[GameDate], "&lt;=" &amp; $A119, Table2[HomeTeam], AC$1)</f>
        <v>31</v>
      </c>
      <c r="AD119" s="145">
        <f>SUMIFS(Table2[NewPointsAway],Table2[GameDate], "&lt;=" &amp; $A119, Table2[AwayTeam], AD$1)+SUMIFS(Table2[NewPointsHome],Table2[GameDate], "&lt;=" &amp; $A119, Table2[HomeTeam], AD$1)</f>
        <v>25</v>
      </c>
      <c r="AE119" s="145">
        <f>SUMIFS(Table2[NewPointsAway],Table2[GameDate], "&lt;=" &amp; $A119, Table2[AwayTeam], AE$1)+SUMIFS(Table2[NewPointsHome],Table2[GameDate], "&lt;=" &amp; $A119, Table2[HomeTeam], AE$1)</f>
        <v>36</v>
      </c>
      <c r="AF119" s="145">
        <f>SUMIFS(Table2[NewPointsAway],Table2[GameDate], "&lt;=" &amp; $A119, Table2[AwayTeam], AF$1)+SUMIFS(Table2[NewPointsHome],Table2[GameDate], "&lt;=" &amp; $A119, Table2[HomeTeam], AF$1)</f>
        <v>29</v>
      </c>
      <c r="AG119" s="145">
        <f>SUMIFS(Table2[NewPointsAway],Table2[GameDate], "&lt;=" &amp; $A119, Table2[AwayTeam], AG$1)+SUMIFS(Table2[NewPointsHome],Table2[GameDate], "&lt;=" &amp; $A119, Table2[HomeTeam], AG$1)</f>
        <v>39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37</v>
      </c>
      <c r="C120" s="145">
        <f>SUMIFS(Table2[NewPointsAway],Table2[GameDate], "&lt;=" &amp; $A120, Table2[AwayTeam], C$1)+SUMIFS(Table2[NewPointsHome],Table2[GameDate], "&lt;=" &amp; $A120, Table2[HomeTeam], C$1)</f>
        <v>34</v>
      </c>
      <c r="D120" s="145">
        <f>SUMIFS(Table2[NewPointsAway],Table2[GameDate], "&lt;=" &amp; $A120, Table2[AwayTeam], D$1)+SUMIFS(Table2[NewPointsHome],Table2[GameDate], "&lt;=" &amp; $A120, Table2[HomeTeam], D$1)</f>
        <v>26</v>
      </c>
      <c r="E120" s="145">
        <f>SUMIFS(Table2[NewPointsAway],Table2[GameDate], "&lt;=" &amp; $A120, Table2[AwayTeam], E$1)+SUMIFS(Table2[NewPointsHome],Table2[GameDate], "&lt;=" &amp; $A120, Table2[HomeTeam], E$1)</f>
        <v>36</v>
      </c>
      <c r="F120" s="145">
        <f>SUMIFS(Table2[NewPointsAway],Table2[GameDate], "&lt;=" &amp; $A120, Table2[AwayTeam], F$1)+SUMIFS(Table2[NewPointsHome],Table2[GameDate], "&lt;=" &amp; $A120, Table2[HomeTeam], F$1)</f>
        <v>32</v>
      </c>
      <c r="G120" s="145">
        <f>SUMIFS(Table2[NewPointsAway],Table2[GameDate], "&lt;=" &amp; $A120, Table2[AwayTeam], G$1)+SUMIFS(Table2[NewPointsHome],Table2[GameDate], "&lt;=" &amp; $A120, Table2[HomeTeam], G$1)</f>
        <v>28</v>
      </c>
      <c r="H120" s="145">
        <f>SUMIFS(Table2[NewPointsAway],Table2[GameDate], "&lt;=" &amp; $A120, Table2[AwayTeam], H$1)+SUMIFS(Table2[NewPointsHome],Table2[GameDate], "&lt;=" &amp; $A120, Table2[HomeTeam], H$1)</f>
        <v>30</v>
      </c>
      <c r="I120" s="145">
        <f>SUMIFS(Table2[NewPointsAway],Table2[GameDate], "&lt;=" &amp; $A120, Table2[AwayTeam], I$1)+SUMIFS(Table2[NewPointsHome],Table2[GameDate], "&lt;=" &amp; $A120, Table2[HomeTeam], I$1)</f>
        <v>48</v>
      </c>
      <c r="J120" s="145">
        <f>SUMIFS(Table2[NewPointsAway],Table2[GameDate], "&lt;=" &amp; $A120, Table2[AwayTeam], J$1)+SUMIFS(Table2[NewPointsHome],Table2[GameDate], "&lt;=" &amp; $A120, Table2[HomeTeam], J$1)</f>
        <v>45</v>
      </c>
      <c r="K120" s="145">
        <f>SUMIFS(Table2[NewPointsAway],Table2[GameDate], "&lt;=" &amp; $A120, Table2[AwayTeam], K$1)+SUMIFS(Table2[NewPointsHome],Table2[GameDate], "&lt;=" &amp; $A120, Table2[HomeTeam], K$1)</f>
        <v>35</v>
      </c>
      <c r="L120" s="145">
        <f>SUMIFS(Table2[NewPointsAway],Table2[GameDate], "&lt;=" &amp; $A120, Table2[AwayTeam], L$1)+SUMIFS(Table2[NewPointsHome],Table2[GameDate], "&lt;=" &amp; $A120, Table2[HomeTeam], L$1)</f>
        <v>31</v>
      </c>
      <c r="M120" s="145">
        <f>SUMIFS(Table2[NewPointsAway],Table2[GameDate], "&lt;=" &amp; $A120, Table2[AwayTeam], M$1)+SUMIFS(Table2[NewPointsHome],Table2[GameDate], "&lt;=" &amp; $A120, Table2[HomeTeam], M$1)</f>
        <v>30</v>
      </c>
      <c r="N120" s="145">
        <f>SUMIFS(Table2[NewPointsAway],Table2[GameDate], "&lt;=" &amp; $A120, Table2[AwayTeam], N$1)+SUMIFS(Table2[NewPointsHome],Table2[GameDate], "&lt;=" &amp; $A120, Table2[HomeTeam], N$1)</f>
        <v>35</v>
      </c>
      <c r="O120" s="145">
        <f>SUMIFS(Table2[NewPointsAway],Table2[GameDate], "&lt;=" &amp; $A120, Table2[AwayTeam], O$1)+SUMIFS(Table2[NewPointsHome],Table2[GameDate], "&lt;=" &amp; $A120, Table2[HomeTeam], O$1)</f>
        <v>37</v>
      </c>
      <c r="P120" s="145">
        <f>SUMIFS(Table2[NewPointsAway],Table2[GameDate], "&lt;=" &amp; $A120, Table2[AwayTeam], P$1)+SUMIFS(Table2[NewPointsHome],Table2[GameDate], "&lt;=" &amp; $A120, Table2[HomeTeam], P$1)</f>
        <v>33</v>
      </c>
      <c r="Q120" s="145">
        <f>SUMIFS(Table2[NewPointsAway],Table2[GameDate], "&lt;=" &amp; $A120, Table2[AwayTeam], Q$1)+SUMIFS(Table2[NewPointsHome],Table2[GameDate], "&lt;=" &amp; $A120, Table2[HomeTeam], Q$1)</f>
        <v>33</v>
      </c>
      <c r="R120" s="145">
        <f>SUMIFS(Table2[NewPointsAway],Table2[GameDate], "&lt;=" &amp; $A120, Table2[AwayTeam], R$1)+SUMIFS(Table2[NewPointsHome],Table2[GameDate], "&lt;=" &amp; $A120, Table2[HomeTeam], R$1)</f>
        <v>24</v>
      </c>
      <c r="S120" s="145">
        <f>SUMIFS(Table2[NewPointsAway],Table2[GameDate], "&lt;=" &amp; $A120, Table2[AwayTeam], S$1)+SUMIFS(Table2[NewPointsHome],Table2[GameDate], "&lt;=" &amp; $A120, Table2[HomeTeam], S$1)</f>
        <v>35</v>
      </c>
      <c r="T120" s="145">
        <f>SUMIFS(Table2[NewPointsAway],Table2[GameDate], "&lt;=" &amp; $A120, Table2[AwayTeam], T$1)+SUMIFS(Table2[NewPointsHome],Table2[GameDate], "&lt;=" &amp; $A120, Table2[HomeTeam], T$1)</f>
        <v>34</v>
      </c>
      <c r="U120" s="145">
        <f>SUMIFS(Table2[NewPointsAway],Table2[GameDate], "&lt;=" &amp; $A120, Table2[AwayTeam], U$1)+SUMIFS(Table2[NewPointsHome],Table2[GameDate], "&lt;=" &amp; $A120, Table2[HomeTeam], U$1)</f>
        <v>30</v>
      </c>
      <c r="V120" s="145">
        <f>SUMIFS(Table2[NewPointsAway],Table2[GameDate], "&lt;=" &amp; $A120, Table2[AwayTeam], V$1)+SUMIFS(Table2[NewPointsHome],Table2[GameDate], "&lt;=" &amp; $A120, Table2[HomeTeam], V$1)</f>
        <v>32</v>
      </c>
      <c r="W120" s="145">
        <f>SUMIFS(Table2[NewPointsAway],Table2[GameDate], "&lt;=" &amp; $A120, Table2[AwayTeam], W$1)+SUMIFS(Table2[NewPointsHome],Table2[GameDate], "&lt;=" &amp; $A120, Table2[HomeTeam], W$1)</f>
        <v>34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31</v>
      </c>
      <c r="Z120" s="145">
        <f>SUMIFS(Table2[NewPointsAway],Table2[GameDate], "&lt;=" &amp; $A120, Table2[AwayTeam], Z$1)+SUMIFS(Table2[NewPointsHome],Table2[GameDate], "&lt;=" &amp; $A120, Table2[HomeTeam], Z$1)</f>
        <v>30</v>
      </c>
      <c r="AA120" s="145">
        <f>SUMIFS(Table2[NewPointsAway],Table2[GameDate], "&lt;=" &amp; $A120, Table2[AwayTeam], AA$1)+SUMIFS(Table2[NewPointsHome],Table2[GameDate], "&lt;=" &amp; $A120, Table2[HomeTeam], AA$1)</f>
        <v>34</v>
      </c>
      <c r="AB120" s="145">
        <f>SUMIFS(Table2[NewPointsAway],Table2[GameDate], "&lt;=" &amp; $A120, Table2[AwayTeam], AB$1)+SUMIFS(Table2[NewPointsHome],Table2[GameDate], "&lt;=" &amp; $A120, Table2[HomeTeam], AB$1)</f>
        <v>32</v>
      </c>
      <c r="AC120" s="145">
        <f>SUMIFS(Table2[NewPointsAway],Table2[GameDate], "&lt;=" &amp; $A120, Table2[AwayTeam], AC$1)+SUMIFS(Table2[NewPointsHome],Table2[GameDate], "&lt;=" &amp; $A120, Table2[HomeTeam], AC$1)</f>
        <v>31</v>
      </c>
      <c r="AD120" s="145">
        <f>SUMIFS(Table2[NewPointsAway],Table2[GameDate], "&lt;=" &amp; $A120, Table2[AwayTeam], AD$1)+SUMIFS(Table2[NewPointsHome],Table2[GameDate], "&lt;=" &amp; $A120, Table2[HomeTeam], AD$1)</f>
        <v>25</v>
      </c>
      <c r="AE120" s="145">
        <f>SUMIFS(Table2[NewPointsAway],Table2[GameDate], "&lt;=" &amp; $A120, Table2[AwayTeam], AE$1)+SUMIFS(Table2[NewPointsHome],Table2[GameDate], "&lt;=" &amp; $A120, Table2[HomeTeam], AE$1)</f>
        <v>36</v>
      </c>
      <c r="AF120" s="145">
        <f>SUMIFS(Table2[NewPointsAway],Table2[GameDate], "&lt;=" &amp; $A120, Table2[AwayTeam], AF$1)+SUMIFS(Table2[NewPointsHome],Table2[GameDate], "&lt;=" &amp; $A120, Table2[HomeTeam], AF$1)</f>
        <v>29</v>
      </c>
      <c r="AG120" s="145">
        <f>SUMIFS(Table2[NewPointsAway],Table2[GameDate], "&lt;=" &amp; $A120, Table2[AwayTeam], AG$1)+SUMIFS(Table2[NewPointsHome],Table2[GameDate], "&lt;=" &amp; $A120, Table2[HomeTeam], AG$1)</f>
        <v>39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37</v>
      </c>
      <c r="C121" s="145">
        <f>SUMIFS(Table2[NewPointsAway],Table2[GameDate], "&lt;=" &amp; $A121, Table2[AwayTeam], C$1)+SUMIFS(Table2[NewPointsHome],Table2[GameDate], "&lt;=" &amp; $A121, Table2[HomeTeam], C$1)</f>
        <v>34</v>
      </c>
      <c r="D121" s="145">
        <f>SUMIFS(Table2[NewPointsAway],Table2[GameDate], "&lt;=" &amp; $A121, Table2[AwayTeam], D$1)+SUMIFS(Table2[NewPointsHome],Table2[GameDate], "&lt;=" &amp; $A121, Table2[HomeTeam], D$1)</f>
        <v>26</v>
      </c>
      <c r="E121" s="145">
        <f>SUMIFS(Table2[NewPointsAway],Table2[GameDate], "&lt;=" &amp; $A121, Table2[AwayTeam], E$1)+SUMIFS(Table2[NewPointsHome],Table2[GameDate], "&lt;=" &amp; $A121, Table2[HomeTeam], E$1)</f>
        <v>36</v>
      </c>
      <c r="F121" s="145">
        <f>SUMIFS(Table2[NewPointsAway],Table2[GameDate], "&lt;=" &amp; $A121, Table2[AwayTeam], F$1)+SUMIFS(Table2[NewPointsHome],Table2[GameDate], "&lt;=" &amp; $A121, Table2[HomeTeam], F$1)</f>
        <v>32</v>
      </c>
      <c r="G121" s="145">
        <f>SUMIFS(Table2[NewPointsAway],Table2[GameDate], "&lt;=" &amp; $A121, Table2[AwayTeam], G$1)+SUMIFS(Table2[NewPointsHome],Table2[GameDate], "&lt;=" &amp; $A121, Table2[HomeTeam], G$1)</f>
        <v>28</v>
      </c>
      <c r="H121" s="145">
        <f>SUMIFS(Table2[NewPointsAway],Table2[GameDate], "&lt;=" &amp; $A121, Table2[AwayTeam], H$1)+SUMIFS(Table2[NewPointsHome],Table2[GameDate], "&lt;=" &amp; $A121, Table2[HomeTeam], H$1)</f>
        <v>30</v>
      </c>
      <c r="I121" s="145">
        <f>SUMIFS(Table2[NewPointsAway],Table2[GameDate], "&lt;=" &amp; $A121, Table2[AwayTeam], I$1)+SUMIFS(Table2[NewPointsHome],Table2[GameDate], "&lt;=" &amp; $A121, Table2[HomeTeam], I$1)</f>
        <v>48</v>
      </c>
      <c r="J121" s="145">
        <f>SUMIFS(Table2[NewPointsAway],Table2[GameDate], "&lt;=" &amp; $A121, Table2[AwayTeam], J$1)+SUMIFS(Table2[NewPointsHome],Table2[GameDate], "&lt;=" &amp; $A121, Table2[HomeTeam], J$1)</f>
        <v>45</v>
      </c>
      <c r="K121" s="145">
        <f>SUMIFS(Table2[NewPointsAway],Table2[GameDate], "&lt;=" &amp; $A121, Table2[AwayTeam], K$1)+SUMIFS(Table2[NewPointsHome],Table2[GameDate], "&lt;=" &amp; $A121, Table2[HomeTeam], K$1)</f>
        <v>35</v>
      </c>
      <c r="L121" s="145">
        <f>SUMIFS(Table2[NewPointsAway],Table2[GameDate], "&lt;=" &amp; $A121, Table2[AwayTeam], L$1)+SUMIFS(Table2[NewPointsHome],Table2[GameDate], "&lt;=" &amp; $A121, Table2[HomeTeam], L$1)</f>
        <v>31</v>
      </c>
      <c r="M121" s="145">
        <f>SUMIFS(Table2[NewPointsAway],Table2[GameDate], "&lt;=" &amp; $A121, Table2[AwayTeam], M$1)+SUMIFS(Table2[NewPointsHome],Table2[GameDate], "&lt;=" &amp; $A121, Table2[HomeTeam], M$1)</f>
        <v>30</v>
      </c>
      <c r="N121" s="145">
        <f>SUMIFS(Table2[NewPointsAway],Table2[GameDate], "&lt;=" &amp; $A121, Table2[AwayTeam], N$1)+SUMIFS(Table2[NewPointsHome],Table2[GameDate], "&lt;=" &amp; $A121, Table2[HomeTeam], N$1)</f>
        <v>35</v>
      </c>
      <c r="O121" s="145">
        <f>SUMIFS(Table2[NewPointsAway],Table2[GameDate], "&lt;=" &amp; $A121, Table2[AwayTeam], O$1)+SUMIFS(Table2[NewPointsHome],Table2[GameDate], "&lt;=" &amp; $A121, Table2[HomeTeam], O$1)</f>
        <v>37</v>
      </c>
      <c r="P121" s="145">
        <f>SUMIFS(Table2[NewPointsAway],Table2[GameDate], "&lt;=" &amp; $A121, Table2[AwayTeam], P$1)+SUMIFS(Table2[NewPointsHome],Table2[GameDate], "&lt;=" &amp; $A121, Table2[HomeTeam], P$1)</f>
        <v>33</v>
      </c>
      <c r="Q121" s="145">
        <f>SUMIFS(Table2[NewPointsAway],Table2[GameDate], "&lt;=" &amp; $A121, Table2[AwayTeam], Q$1)+SUMIFS(Table2[NewPointsHome],Table2[GameDate], "&lt;=" &amp; $A121, Table2[HomeTeam], Q$1)</f>
        <v>33</v>
      </c>
      <c r="R121" s="145">
        <f>SUMIFS(Table2[NewPointsAway],Table2[GameDate], "&lt;=" &amp; $A121, Table2[AwayTeam], R$1)+SUMIFS(Table2[NewPointsHome],Table2[GameDate], "&lt;=" &amp; $A121, Table2[HomeTeam], R$1)</f>
        <v>24</v>
      </c>
      <c r="S121" s="145">
        <f>SUMIFS(Table2[NewPointsAway],Table2[GameDate], "&lt;=" &amp; $A121, Table2[AwayTeam], S$1)+SUMIFS(Table2[NewPointsHome],Table2[GameDate], "&lt;=" &amp; $A121, Table2[HomeTeam], S$1)</f>
        <v>35</v>
      </c>
      <c r="T121" s="145">
        <f>SUMIFS(Table2[NewPointsAway],Table2[GameDate], "&lt;=" &amp; $A121, Table2[AwayTeam], T$1)+SUMIFS(Table2[NewPointsHome],Table2[GameDate], "&lt;=" &amp; $A121, Table2[HomeTeam], T$1)</f>
        <v>34</v>
      </c>
      <c r="U121" s="145">
        <f>SUMIFS(Table2[NewPointsAway],Table2[GameDate], "&lt;=" &amp; $A121, Table2[AwayTeam], U$1)+SUMIFS(Table2[NewPointsHome],Table2[GameDate], "&lt;=" &amp; $A121, Table2[HomeTeam], U$1)</f>
        <v>30</v>
      </c>
      <c r="V121" s="145">
        <f>SUMIFS(Table2[NewPointsAway],Table2[GameDate], "&lt;=" &amp; $A121, Table2[AwayTeam], V$1)+SUMIFS(Table2[NewPointsHome],Table2[GameDate], "&lt;=" &amp; $A121, Table2[HomeTeam], V$1)</f>
        <v>32</v>
      </c>
      <c r="W121" s="145">
        <f>SUMIFS(Table2[NewPointsAway],Table2[GameDate], "&lt;=" &amp; $A121, Table2[AwayTeam], W$1)+SUMIFS(Table2[NewPointsHome],Table2[GameDate], "&lt;=" &amp; $A121, Table2[HomeTeam], W$1)</f>
        <v>34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31</v>
      </c>
      <c r="Z121" s="145">
        <f>SUMIFS(Table2[NewPointsAway],Table2[GameDate], "&lt;=" &amp; $A121, Table2[AwayTeam], Z$1)+SUMIFS(Table2[NewPointsHome],Table2[GameDate], "&lt;=" &amp; $A121, Table2[HomeTeam], Z$1)</f>
        <v>30</v>
      </c>
      <c r="AA121" s="145">
        <f>SUMIFS(Table2[NewPointsAway],Table2[GameDate], "&lt;=" &amp; $A121, Table2[AwayTeam], AA$1)+SUMIFS(Table2[NewPointsHome],Table2[GameDate], "&lt;=" &amp; $A121, Table2[HomeTeam], AA$1)</f>
        <v>34</v>
      </c>
      <c r="AB121" s="145">
        <f>SUMIFS(Table2[NewPointsAway],Table2[GameDate], "&lt;=" &amp; $A121, Table2[AwayTeam], AB$1)+SUMIFS(Table2[NewPointsHome],Table2[GameDate], "&lt;=" &amp; $A121, Table2[HomeTeam], AB$1)</f>
        <v>32</v>
      </c>
      <c r="AC121" s="145">
        <f>SUMIFS(Table2[NewPointsAway],Table2[GameDate], "&lt;=" &amp; $A121, Table2[AwayTeam], AC$1)+SUMIFS(Table2[NewPointsHome],Table2[GameDate], "&lt;=" &amp; $A121, Table2[HomeTeam], AC$1)</f>
        <v>31</v>
      </c>
      <c r="AD121" s="145">
        <f>SUMIFS(Table2[NewPointsAway],Table2[GameDate], "&lt;=" &amp; $A121, Table2[AwayTeam], AD$1)+SUMIFS(Table2[NewPointsHome],Table2[GameDate], "&lt;=" &amp; $A121, Table2[HomeTeam], AD$1)</f>
        <v>25</v>
      </c>
      <c r="AE121" s="145">
        <f>SUMIFS(Table2[NewPointsAway],Table2[GameDate], "&lt;=" &amp; $A121, Table2[AwayTeam], AE$1)+SUMIFS(Table2[NewPointsHome],Table2[GameDate], "&lt;=" &amp; $A121, Table2[HomeTeam], AE$1)</f>
        <v>36</v>
      </c>
      <c r="AF121" s="145">
        <f>SUMIFS(Table2[NewPointsAway],Table2[GameDate], "&lt;=" &amp; $A121, Table2[AwayTeam], AF$1)+SUMIFS(Table2[NewPointsHome],Table2[GameDate], "&lt;=" &amp; $A121, Table2[HomeTeam], AF$1)</f>
        <v>29</v>
      </c>
      <c r="AG121" s="145">
        <f>SUMIFS(Table2[NewPointsAway],Table2[GameDate], "&lt;=" &amp; $A121, Table2[AwayTeam], AG$1)+SUMIFS(Table2[NewPointsHome],Table2[GameDate], "&lt;=" &amp; $A121, Table2[HomeTeam], AG$1)</f>
        <v>39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37</v>
      </c>
      <c r="C122" s="145">
        <f>SUMIFS(Table2[NewPointsAway],Table2[GameDate], "&lt;=" &amp; $A122, Table2[AwayTeam], C$1)+SUMIFS(Table2[NewPointsHome],Table2[GameDate], "&lt;=" &amp; $A122, Table2[HomeTeam], C$1)</f>
        <v>34</v>
      </c>
      <c r="D122" s="145">
        <f>SUMIFS(Table2[NewPointsAway],Table2[GameDate], "&lt;=" &amp; $A122, Table2[AwayTeam], D$1)+SUMIFS(Table2[NewPointsHome],Table2[GameDate], "&lt;=" &amp; $A122, Table2[HomeTeam], D$1)</f>
        <v>26</v>
      </c>
      <c r="E122" s="145">
        <f>SUMIFS(Table2[NewPointsAway],Table2[GameDate], "&lt;=" &amp; $A122, Table2[AwayTeam], E$1)+SUMIFS(Table2[NewPointsHome],Table2[GameDate], "&lt;=" &amp; $A122, Table2[HomeTeam], E$1)</f>
        <v>36</v>
      </c>
      <c r="F122" s="145">
        <f>SUMIFS(Table2[NewPointsAway],Table2[GameDate], "&lt;=" &amp; $A122, Table2[AwayTeam], F$1)+SUMIFS(Table2[NewPointsHome],Table2[GameDate], "&lt;=" &amp; $A122, Table2[HomeTeam], F$1)</f>
        <v>32</v>
      </c>
      <c r="G122" s="145">
        <f>SUMIFS(Table2[NewPointsAway],Table2[GameDate], "&lt;=" &amp; $A122, Table2[AwayTeam], G$1)+SUMIFS(Table2[NewPointsHome],Table2[GameDate], "&lt;=" &amp; $A122, Table2[HomeTeam], G$1)</f>
        <v>28</v>
      </c>
      <c r="H122" s="145">
        <f>SUMIFS(Table2[NewPointsAway],Table2[GameDate], "&lt;=" &amp; $A122, Table2[AwayTeam], H$1)+SUMIFS(Table2[NewPointsHome],Table2[GameDate], "&lt;=" &amp; $A122, Table2[HomeTeam], H$1)</f>
        <v>30</v>
      </c>
      <c r="I122" s="145">
        <f>SUMIFS(Table2[NewPointsAway],Table2[GameDate], "&lt;=" &amp; $A122, Table2[AwayTeam], I$1)+SUMIFS(Table2[NewPointsHome],Table2[GameDate], "&lt;=" &amp; $A122, Table2[HomeTeam], I$1)</f>
        <v>48</v>
      </c>
      <c r="J122" s="145">
        <f>SUMIFS(Table2[NewPointsAway],Table2[GameDate], "&lt;=" &amp; $A122, Table2[AwayTeam], J$1)+SUMIFS(Table2[NewPointsHome],Table2[GameDate], "&lt;=" &amp; $A122, Table2[HomeTeam], J$1)</f>
        <v>45</v>
      </c>
      <c r="K122" s="145">
        <f>SUMIFS(Table2[NewPointsAway],Table2[GameDate], "&lt;=" &amp; $A122, Table2[AwayTeam], K$1)+SUMIFS(Table2[NewPointsHome],Table2[GameDate], "&lt;=" &amp; $A122, Table2[HomeTeam], K$1)</f>
        <v>35</v>
      </c>
      <c r="L122" s="145">
        <f>SUMIFS(Table2[NewPointsAway],Table2[GameDate], "&lt;=" &amp; $A122, Table2[AwayTeam], L$1)+SUMIFS(Table2[NewPointsHome],Table2[GameDate], "&lt;=" &amp; $A122, Table2[HomeTeam], L$1)</f>
        <v>31</v>
      </c>
      <c r="M122" s="145">
        <f>SUMIFS(Table2[NewPointsAway],Table2[GameDate], "&lt;=" &amp; $A122, Table2[AwayTeam], M$1)+SUMIFS(Table2[NewPointsHome],Table2[GameDate], "&lt;=" &amp; $A122, Table2[HomeTeam], M$1)</f>
        <v>30</v>
      </c>
      <c r="N122" s="145">
        <f>SUMIFS(Table2[NewPointsAway],Table2[GameDate], "&lt;=" &amp; $A122, Table2[AwayTeam], N$1)+SUMIFS(Table2[NewPointsHome],Table2[GameDate], "&lt;=" &amp; $A122, Table2[HomeTeam], N$1)</f>
        <v>35</v>
      </c>
      <c r="O122" s="145">
        <f>SUMIFS(Table2[NewPointsAway],Table2[GameDate], "&lt;=" &amp; $A122, Table2[AwayTeam], O$1)+SUMIFS(Table2[NewPointsHome],Table2[GameDate], "&lt;=" &amp; $A122, Table2[HomeTeam], O$1)</f>
        <v>37</v>
      </c>
      <c r="P122" s="145">
        <f>SUMIFS(Table2[NewPointsAway],Table2[GameDate], "&lt;=" &amp; $A122, Table2[AwayTeam], P$1)+SUMIFS(Table2[NewPointsHome],Table2[GameDate], "&lt;=" &amp; $A122, Table2[HomeTeam], P$1)</f>
        <v>33</v>
      </c>
      <c r="Q122" s="145">
        <f>SUMIFS(Table2[NewPointsAway],Table2[GameDate], "&lt;=" &amp; $A122, Table2[AwayTeam], Q$1)+SUMIFS(Table2[NewPointsHome],Table2[GameDate], "&lt;=" &amp; $A122, Table2[HomeTeam], Q$1)</f>
        <v>33</v>
      </c>
      <c r="R122" s="145">
        <f>SUMIFS(Table2[NewPointsAway],Table2[GameDate], "&lt;=" &amp; $A122, Table2[AwayTeam], R$1)+SUMIFS(Table2[NewPointsHome],Table2[GameDate], "&lt;=" &amp; $A122, Table2[HomeTeam], R$1)</f>
        <v>24</v>
      </c>
      <c r="S122" s="145">
        <f>SUMIFS(Table2[NewPointsAway],Table2[GameDate], "&lt;=" &amp; $A122, Table2[AwayTeam], S$1)+SUMIFS(Table2[NewPointsHome],Table2[GameDate], "&lt;=" &amp; $A122, Table2[HomeTeam], S$1)</f>
        <v>35</v>
      </c>
      <c r="T122" s="145">
        <f>SUMIFS(Table2[NewPointsAway],Table2[GameDate], "&lt;=" &amp; $A122, Table2[AwayTeam], T$1)+SUMIFS(Table2[NewPointsHome],Table2[GameDate], "&lt;=" &amp; $A122, Table2[HomeTeam], T$1)</f>
        <v>34</v>
      </c>
      <c r="U122" s="145">
        <f>SUMIFS(Table2[NewPointsAway],Table2[GameDate], "&lt;=" &amp; $A122, Table2[AwayTeam], U$1)+SUMIFS(Table2[NewPointsHome],Table2[GameDate], "&lt;=" &amp; $A122, Table2[HomeTeam], U$1)</f>
        <v>30</v>
      </c>
      <c r="V122" s="145">
        <f>SUMIFS(Table2[NewPointsAway],Table2[GameDate], "&lt;=" &amp; $A122, Table2[AwayTeam], V$1)+SUMIFS(Table2[NewPointsHome],Table2[GameDate], "&lt;=" &amp; $A122, Table2[HomeTeam], V$1)</f>
        <v>32</v>
      </c>
      <c r="W122" s="145">
        <f>SUMIFS(Table2[NewPointsAway],Table2[GameDate], "&lt;=" &amp; $A122, Table2[AwayTeam], W$1)+SUMIFS(Table2[NewPointsHome],Table2[GameDate], "&lt;=" &amp; $A122, Table2[HomeTeam], W$1)</f>
        <v>34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31</v>
      </c>
      <c r="Z122" s="145">
        <f>SUMIFS(Table2[NewPointsAway],Table2[GameDate], "&lt;=" &amp; $A122, Table2[AwayTeam], Z$1)+SUMIFS(Table2[NewPointsHome],Table2[GameDate], "&lt;=" &amp; $A122, Table2[HomeTeam], Z$1)</f>
        <v>30</v>
      </c>
      <c r="AA122" s="145">
        <f>SUMIFS(Table2[NewPointsAway],Table2[GameDate], "&lt;=" &amp; $A122, Table2[AwayTeam], AA$1)+SUMIFS(Table2[NewPointsHome],Table2[GameDate], "&lt;=" &amp; $A122, Table2[HomeTeam], AA$1)</f>
        <v>34</v>
      </c>
      <c r="AB122" s="145">
        <f>SUMIFS(Table2[NewPointsAway],Table2[GameDate], "&lt;=" &amp; $A122, Table2[AwayTeam], AB$1)+SUMIFS(Table2[NewPointsHome],Table2[GameDate], "&lt;=" &amp; $A122, Table2[HomeTeam], AB$1)</f>
        <v>32</v>
      </c>
      <c r="AC122" s="145">
        <f>SUMIFS(Table2[NewPointsAway],Table2[GameDate], "&lt;=" &amp; $A122, Table2[AwayTeam], AC$1)+SUMIFS(Table2[NewPointsHome],Table2[GameDate], "&lt;=" &amp; $A122, Table2[HomeTeam], AC$1)</f>
        <v>31</v>
      </c>
      <c r="AD122" s="145">
        <f>SUMIFS(Table2[NewPointsAway],Table2[GameDate], "&lt;=" &amp; $A122, Table2[AwayTeam], AD$1)+SUMIFS(Table2[NewPointsHome],Table2[GameDate], "&lt;=" &amp; $A122, Table2[HomeTeam], AD$1)</f>
        <v>25</v>
      </c>
      <c r="AE122" s="145">
        <f>SUMIFS(Table2[NewPointsAway],Table2[GameDate], "&lt;=" &amp; $A122, Table2[AwayTeam], AE$1)+SUMIFS(Table2[NewPointsHome],Table2[GameDate], "&lt;=" &amp; $A122, Table2[HomeTeam], AE$1)</f>
        <v>36</v>
      </c>
      <c r="AF122" s="145">
        <f>SUMIFS(Table2[NewPointsAway],Table2[GameDate], "&lt;=" &amp; $A122, Table2[AwayTeam], AF$1)+SUMIFS(Table2[NewPointsHome],Table2[GameDate], "&lt;=" &amp; $A122, Table2[HomeTeam], AF$1)</f>
        <v>29</v>
      </c>
      <c r="AG122" s="145">
        <f>SUMIFS(Table2[NewPointsAway],Table2[GameDate], "&lt;=" &amp; $A122, Table2[AwayTeam], AG$1)+SUMIFS(Table2[NewPointsHome],Table2[GameDate], "&lt;=" &amp; $A122, Table2[HomeTeam], AG$1)</f>
        <v>39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37</v>
      </c>
      <c r="C123" s="145">
        <f>SUMIFS(Table2[NewPointsAway],Table2[GameDate], "&lt;=" &amp; $A123, Table2[AwayTeam], C$1)+SUMIFS(Table2[NewPointsHome],Table2[GameDate], "&lt;=" &amp; $A123, Table2[HomeTeam], C$1)</f>
        <v>34</v>
      </c>
      <c r="D123" s="145">
        <f>SUMIFS(Table2[NewPointsAway],Table2[GameDate], "&lt;=" &amp; $A123, Table2[AwayTeam], D$1)+SUMIFS(Table2[NewPointsHome],Table2[GameDate], "&lt;=" &amp; $A123, Table2[HomeTeam], D$1)</f>
        <v>26</v>
      </c>
      <c r="E123" s="145">
        <f>SUMIFS(Table2[NewPointsAway],Table2[GameDate], "&lt;=" &amp; $A123, Table2[AwayTeam], E$1)+SUMIFS(Table2[NewPointsHome],Table2[GameDate], "&lt;=" &amp; $A123, Table2[HomeTeam], E$1)</f>
        <v>36</v>
      </c>
      <c r="F123" s="145">
        <f>SUMIFS(Table2[NewPointsAway],Table2[GameDate], "&lt;=" &amp; $A123, Table2[AwayTeam], F$1)+SUMIFS(Table2[NewPointsHome],Table2[GameDate], "&lt;=" &amp; $A123, Table2[HomeTeam], F$1)</f>
        <v>32</v>
      </c>
      <c r="G123" s="145">
        <f>SUMIFS(Table2[NewPointsAway],Table2[GameDate], "&lt;=" &amp; $A123, Table2[AwayTeam], G$1)+SUMIFS(Table2[NewPointsHome],Table2[GameDate], "&lt;=" &amp; $A123, Table2[HomeTeam], G$1)</f>
        <v>28</v>
      </c>
      <c r="H123" s="145">
        <f>SUMIFS(Table2[NewPointsAway],Table2[GameDate], "&lt;=" &amp; $A123, Table2[AwayTeam], H$1)+SUMIFS(Table2[NewPointsHome],Table2[GameDate], "&lt;=" &amp; $A123, Table2[HomeTeam], H$1)</f>
        <v>30</v>
      </c>
      <c r="I123" s="145">
        <f>SUMIFS(Table2[NewPointsAway],Table2[GameDate], "&lt;=" &amp; $A123, Table2[AwayTeam], I$1)+SUMIFS(Table2[NewPointsHome],Table2[GameDate], "&lt;=" &amp; $A123, Table2[HomeTeam], I$1)</f>
        <v>48</v>
      </c>
      <c r="J123" s="145">
        <f>SUMIFS(Table2[NewPointsAway],Table2[GameDate], "&lt;=" &amp; $A123, Table2[AwayTeam], J$1)+SUMIFS(Table2[NewPointsHome],Table2[GameDate], "&lt;=" &amp; $A123, Table2[HomeTeam], J$1)</f>
        <v>45</v>
      </c>
      <c r="K123" s="145">
        <f>SUMIFS(Table2[NewPointsAway],Table2[GameDate], "&lt;=" &amp; $A123, Table2[AwayTeam], K$1)+SUMIFS(Table2[NewPointsHome],Table2[GameDate], "&lt;=" &amp; $A123, Table2[HomeTeam], K$1)</f>
        <v>35</v>
      </c>
      <c r="L123" s="145">
        <f>SUMIFS(Table2[NewPointsAway],Table2[GameDate], "&lt;=" &amp; $A123, Table2[AwayTeam], L$1)+SUMIFS(Table2[NewPointsHome],Table2[GameDate], "&lt;=" &amp; $A123, Table2[HomeTeam], L$1)</f>
        <v>31</v>
      </c>
      <c r="M123" s="145">
        <f>SUMIFS(Table2[NewPointsAway],Table2[GameDate], "&lt;=" &amp; $A123, Table2[AwayTeam], M$1)+SUMIFS(Table2[NewPointsHome],Table2[GameDate], "&lt;=" &amp; $A123, Table2[HomeTeam], M$1)</f>
        <v>30</v>
      </c>
      <c r="N123" s="145">
        <f>SUMIFS(Table2[NewPointsAway],Table2[GameDate], "&lt;=" &amp; $A123, Table2[AwayTeam], N$1)+SUMIFS(Table2[NewPointsHome],Table2[GameDate], "&lt;=" &amp; $A123, Table2[HomeTeam], N$1)</f>
        <v>35</v>
      </c>
      <c r="O123" s="145">
        <f>SUMIFS(Table2[NewPointsAway],Table2[GameDate], "&lt;=" &amp; $A123, Table2[AwayTeam], O$1)+SUMIFS(Table2[NewPointsHome],Table2[GameDate], "&lt;=" &amp; $A123, Table2[HomeTeam], O$1)</f>
        <v>37</v>
      </c>
      <c r="P123" s="145">
        <f>SUMIFS(Table2[NewPointsAway],Table2[GameDate], "&lt;=" &amp; $A123, Table2[AwayTeam], P$1)+SUMIFS(Table2[NewPointsHome],Table2[GameDate], "&lt;=" &amp; $A123, Table2[HomeTeam], P$1)</f>
        <v>33</v>
      </c>
      <c r="Q123" s="145">
        <f>SUMIFS(Table2[NewPointsAway],Table2[GameDate], "&lt;=" &amp; $A123, Table2[AwayTeam], Q$1)+SUMIFS(Table2[NewPointsHome],Table2[GameDate], "&lt;=" &amp; $A123, Table2[HomeTeam], Q$1)</f>
        <v>33</v>
      </c>
      <c r="R123" s="145">
        <f>SUMIFS(Table2[NewPointsAway],Table2[GameDate], "&lt;=" &amp; $A123, Table2[AwayTeam], R$1)+SUMIFS(Table2[NewPointsHome],Table2[GameDate], "&lt;=" &amp; $A123, Table2[HomeTeam], R$1)</f>
        <v>24</v>
      </c>
      <c r="S123" s="145">
        <f>SUMIFS(Table2[NewPointsAway],Table2[GameDate], "&lt;=" &amp; $A123, Table2[AwayTeam], S$1)+SUMIFS(Table2[NewPointsHome],Table2[GameDate], "&lt;=" &amp; $A123, Table2[HomeTeam], S$1)</f>
        <v>35</v>
      </c>
      <c r="T123" s="145">
        <f>SUMIFS(Table2[NewPointsAway],Table2[GameDate], "&lt;=" &amp; $A123, Table2[AwayTeam], T$1)+SUMIFS(Table2[NewPointsHome],Table2[GameDate], "&lt;=" &amp; $A123, Table2[HomeTeam], T$1)</f>
        <v>34</v>
      </c>
      <c r="U123" s="145">
        <f>SUMIFS(Table2[NewPointsAway],Table2[GameDate], "&lt;=" &amp; $A123, Table2[AwayTeam], U$1)+SUMIFS(Table2[NewPointsHome],Table2[GameDate], "&lt;=" &amp; $A123, Table2[HomeTeam], U$1)</f>
        <v>30</v>
      </c>
      <c r="V123" s="145">
        <f>SUMIFS(Table2[NewPointsAway],Table2[GameDate], "&lt;=" &amp; $A123, Table2[AwayTeam], V$1)+SUMIFS(Table2[NewPointsHome],Table2[GameDate], "&lt;=" &amp; $A123, Table2[HomeTeam], V$1)</f>
        <v>32</v>
      </c>
      <c r="W123" s="145">
        <f>SUMIFS(Table2[NewPointsAway],Table2[GameDate], "&lt;=" &amp; $A123, Table2[AwayTeam], W$1)+SUMIFS(Table2[NewPointsHome],Table2[GameDate], "&lt;=" &amp; $A123, Table2[HomeTeam], W$1)</f>
        <v>34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31</v>
      </c>
      <c r="Z123" s="145">
        <f>SUMIFS(Table2[NewPointsAway],Table2[GameDate], "&lt;=" &amp; $A123, Table2[AwayTeam], Z$1)+SUMIFS(Table2[NewPointsHome],Table2[GameDate], "&lt;=" &amp; $A123, Table2[HomeTeam], Z$1)</f>
        <v>30</v>
      </c>
      <c r="AA123" s="145">
        <f>SUMIFS(Table2[NewPointsAway],Table2[GameDate], "&lt;=" &amp; $A123, Table2[AwayTeam], AA$1)+SUMIFS(Table2[NewPointsHome],Table2[GameDate], "&lt;=" &amp; $A123, Table2[HomeTeam], AA$1)</f>
        <v>34</v>
      </c>
      <c r="AB123" s="145">
        <f>SUMIFS(Table2[NewPointsAway],Table2[GameDate], "&lt;=" &amp; $A123, Table2[AwayTeam], AB$1)+SUMIFS(Table2[NewPointsHome],Table2[GameDate], "&lt;=" &amp; $A123, Table2[HomeTeam], AB$1)</f>
        <v>32</v>
      </c>
      <c r="AC123" s="145">
        <f>SUMIFS(Table2[NewPointsAway],Table2[GameDate], "&lt;=" &amp; $A123, Table2[AwayTeam], AC$1)+SUMIFS(Table2[NewPointsHome],Table2[GameDate], "&lt;=" &amp; $A123, Table2[HomeTeam], AC$1)</f>
        <v>31</v>
      </c>
      <c r="AD123" s="145">
        <f>SUMIFS(Table2[NewPointsAway],Table2[GameDate], "&lt;=" &amp; $A123, Table2[AwayTeam], AD$1)+SUMIFS(Table2[NewPointsHome],Table2[GameDate], "&lt;=" &amp; $A123, Table2[HomeTeam], AD$1)</f>
        <v>25</v>
      </c>
      <c r="AE123" s="145">
        <f>SUMIFS(Table2[NewPointsAway],Table2[GameDate], "&lt;=" &amp; $A123, Table2[AwayTeam], AE$1)+SUMIFS(Table2[NewPointsHome],Table2[GameDate], "&lt;=" &amp; $A123, Table2[HomeTeam], AE$1)</f>
        <v>36</v>
      </c>
      <c r="AF123" s="145">
        <f>SUMIFS(Table2[NewPointsAway],Table2[GameDate], "&lt;=" &amp; $A123, Table2[AwayTeam], AF$1)+SUMIFS(Table2[NewPointsHome],Table2[GameDate], "&lt;=" &amp; $A123, Table2[HomeTeam], AF$1)</f>
        <v>29</v>
      </c>
      <c r="AG123" s="145">
        <f>SUMIFS(Table2[NewPointsAway],Table2[GameDate], "&lt;=" &amp; $A123, Table2[AwayTeam], AG$1)+SUMIFS(Table2[NewPointsHome],Table2[GameDate], "&lt;=" &amp; $A123, Table2[HomeTeam], AG$1)</f>
        <v>39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37</v>
      </c>
      <c r="C124" s="145">
        <f>SUMIFS(Table2[NewPointsAway],Table2[GameDate], "&lt;=" &amp; $A124, Table2[AwayTeam], C$1)+SUMIFS(Table2[NewPointsHome],Table2[GameDate], "&lt;=" &amp; $A124, Table2[HomeTeam], C$1)</f>
        <v>34</v>
      </c>
      <c r="D124" s="145">
        <f>SUMIFS(Table2[NewPointsAway],Table2[GameDate], "&lt;=" &amp; $A124, Table2[AwayTeam], D$1)+SUMIFS(Table2[NewPointsHome],Table2[GameDate], "&lt;=" &amp; $A124, Table2[HomeTeam], D$1)</f>
        <v>26</v>
      </c>
      <c r="E124" s="145">
        <f>SUMIFS(Table2[NewPointsAway],Table2[GameDate], "&lt;=" &amp; $A124, Table2[AwayTeam], E$1)+SUMIFS(Table2[NewPointsHome],Table2[GameDate], "&lt;=" &amp; $A124, Table2[HomeTeam], E$1)</f>
        <v>36</v>
      </c>
      <c r="F124" s="145">
        <f>SUMIFS(Table2[NewPointsAway],Table2[GameDate], "&lt;=" &amp; $A124, Table2[AwayTeam], F$1)+SUMIFS(Table2[NewPointsHome],Table2[GameDate], "&lt;=" &amp; $A124, Table2[HomeTeam], F$1)</f>
        <v>32</v>
      </c>
      <c r="G124" s="145">
        <f>SUMIFS(Table2[NewPointsAway],Table2[GameDate], "&lt;=" &amp; $A124, Table2[AwayTeam], G$1)+SUMIFS(Table2[NewPointsHome],Table2[GameDate], "&lt;=" &amp; $A124, Table2[HomeTeam], G$1)</f>
        <v>28</v>
      </c>
      <c r="H124" s="145">
        <f>SUMIFS(Table2[NewPointsAway],Table2[GameDate], "&lt;=" &amp; $A124, Table2[AwayTeam], H$1)+SUMIFS(Table2[NewPointsHome],Table2[GameDate], "&lt;=" &amp; $A124, Table2[HomeTeam], H$1)</f>
        <v>30</v>
      </c>
      <c r="I124" s="145">
        <f>SUMIFS(Table2[NewPointsAway],Table2[GameDate], "&lt;=" &amp; $A124, Table2[AwayTeam], I$1)+SUMIFS(Table2[NewPointsHome],Table2[GameDate], "&lt;=" &amp; $A124, Table2[HomeTeam], I$1)</f>
        <v>48</v>
      </c>
      <c r="J124" s="145">
        <f>SUMIFS(Table2[NewPointsAway],Table2[GameDate], "&lt;=" &amp; $A124, Table2[AwayTeam], J$1)+SUMIFS(Table2[NewPointsHome],Table2[GameDate], "&lt;=" &amp; $A124, Table2[HomeTeam], J$1)</f>
        <v>45</v>
      </c>
      <c r="K124" s="145">
        <f>SUMIFS(Table2[NewPointsAway],Table2[GameDate], "&lt;=" &amp; $A124, Table2[AwayTeam], K$1)+SUMIFS(Table2[NewPointsHome],Table2[GameDate], "&lt;=" &amp; $A124, Table2[HomeTeam], K$1)</f>
        <v>35</v>
      </c>
      <c r="L124" s="145">
        <f>SUMIFS(Table2[NewPointsAway],Table2[GameDate], "&lt;=" &amp; $A124, Table2[AwayTeam], L$1)+SUMIFS(Table2[NewPointsHome],Table2[GameDate], "&lt;=" &amp; $A124, Table2[HomeTeam], L$1)</f>
        <v>31</v>
      </c>
      <c r="M124" s="145">
        <f>SUMIFS(Table2[NewPointsAway],Table2[GameDate], "&lt;=" &amp; $A124, Table2[AwayTeam], M$1)+SUMIFS(Table2[NewPointsHome],Table2[GameDate], "&lt;=" &amp; $A124, Table2[HomeTeam], M$1)</f>
        <v>30</v>
      </c>
      <c r="N124" s="145">
        <f>SUMIFS(Table2[NewPointsAway],Table2[GameDate], "&lt;=" &amp; $A124, Table2[AwayTeam], N$1)+SUMIFS(Table2[NewPointsHome],Table2[GameDate], "&lt;=" &amp; $A124, Table2[HomeTeam], N$1)</f>
        <v>35</v>
      </c>
      <c r="O124" s="145">
        <f>SUMIFS(Table2[NewPointsAway],Table2[GameDate], "&lt;=" &amp; $A124, Table2[AwayTeam], O$1)+SUMIFS(Table2[NewPointsHome],Table2[GameDate], "&lt;=" &amp; $A124, Table2[HomeTeam], O$1)</f>
        <v>37</v>
      </c>
      <c r="P124" s="145">
        <f>SUMIFS(Table2[NewPointsAway],Table2[GameDate], "&lt;=" &amp; $A124, Table2[AwayTeam], P$1)+SUMIFS(Table2[NewPointsHome],Table2[GameDate], "&lt;=" &amp; $A124, Table2[HomeTeam], P$1)</f>
        <v>33</v>
      </c>
      <c r="Q124" s="145">
        <f>SUMIFS(Table2[NewPointsAway],Table2[GameDate], "&lt;=" &amp; $A124, Table2[AwayTeam], Q$1)+SUMIFS(Table2[NewPointsHome],Table2[GameDate], "&lt;=" &amp; $A124, Table2[HomeTeam], Q$1)</f>
        <v>33</v>
      </c>
      <c r="R124" s="145">
        <f>SUMIFS(Table2[NewPointsAway],Table2[GameDate], "&lt;=" &amp; $A124, Table2[AwayTeam], R$1)+SUMIFS(Table2[NewPointsHome],Table2[GameDate], "&lt;=" &amp; $A124, Table2[HomeTeam], R$1)</f>
        <v>24</v>
      </c>
      <c r="S124" s="145">
        <f>SUMIFS(Table2[NewPointsAway],Table2[GameDate], "&lt;=" &amp; $A124, Table2[AwayTeam], S$1)+SUMIFS(Table2[NewPointsHome],Table2[GameDate], "&lt;=" &amp; $A124, Table2[HomeTeam], S$1)</f>
        <v>35</v>
      </c>
      <c r="T124" s="145">
        <f>SUMIFS(Table2[NewPointsAway],Table2[GameDate], "&lt;=" &amp; $A124, Table2[AwayTeam], T$1)+SUMIFS(Table2[NewPointsHome],Table2[GameDate], "&lt;=" &amp; $A124, Table2[HomeTeam], T$1)</f>
        <v>34</v>
      </c>
      <c r="U124" s="145">
        <f>SUMIFS(Table2[NewPointsAway],Table2[GameDate], "&lt;=" &amp; $A124, Table2[AwayTeam], U$1)+SUMIFS(Table2[NewPointsHome],Table2[GameDate], "&lt;=" &amp; $A124, Table2[HomeTeam], U$1)</f>
        <v>30</v>
      </c>
      <c r="V124" s="145">
        <f>SUMIFS(Table2[NewPointsAway],Table2[GameDate], "&lt;=" &amp; $A124, Table2[AwayTeam], V$1)+SUMIFS(Table2[NewPointsHome],Table2[GameDate], "&lt;=" &amp; $A124, Table2[HomeTeam], V$1)</f>
        <v>32</v>
      </c>
      <c r="W124" s="145">
        <f>SUMIFS(Table2[NewPointsAway],Table2[GameDate], "&lt;=" &amp; $A124, Table2[AwayTeam], W$1)+SUMIFS(Table2[NewPointsHome],Table2[GameDate], "&lt;=" &amp; $A124, Table2[HomeTeam], W$1)</f>
        <v>34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31</v>
      </c>
      <c r="Z124" s="145">
        <f>SUMIFS(Table2[NewPointsAway],Table2[GameDate], "&lt;=" &amp; $A124, Table2[AwayTeam], Z$1)+SUMIFS(Table2[NewPointsHome],Table2[GameDate], "&lt;=" &amp; $A124, Table2[HomeTeam], Z$1)</f>
        <v>30</v>
      </c>
      <c r="AA124" s="145">
        <f>SUMIFS(Table2[NewPointsAway],Table2[GameDate], "&lt;=" &amp; $A124, Table2[AwayTeam], AA$1)+SUMIFS(Table2[NewPointsHome],Table2[GameDate], "&lt;=" &amp; $A124, Table2[HomeTeam], AA$1)</f>
        <v>34</v>
      </c>
      <c r="AB124" s="145">
        <f>SUMIFS(Table2[NewPointsAway],Table2[GameDate], "&lt;=" &amp; $A124, Table2[AwayTeam], AB$1)+SUMIFS(Table2[NewPointsHome],Table2[GameDate], "&lt;=" &amp; $A124, Table2[HomeTeam], AB$1)</f>
        <v>32</v>
      </c>
      <c r="AC124" s="145">
        <f>SUMIFS(Table2[NewPointsAway],Table2[GameDate], "&lt;=" &amp; $A124, Table2[AwayTeam], AC$1)+SUMIFS(Table2[NewPointsHome],Table2[GameDate], "&lt;=" &amp; $A124, Table2[HomeTeam], AC$1)</f>
        <v>31</v>
      </c>
      <c r="AD124" s="145">
        <f>SUMIFS(Table2[NewPointsAway],Table2[GameDate], "&lt;=" &amp; $A124, Table2[AwayTeam], AD$1)+SUMIFS(Table2[NewPointsHome],Table2[GameDate], "&lt;=" &amp; $A124, Table2[HomeTeam], AD$1)</f>
        <v>25</v>
      </c>
      <c r="AE124" s="145">
        <f>SUMIFS(Table2[NewPointsAway],Table2[GameDate], "&lt;=" &amp; $A124, Table2[AwayTeam], AE$1)+SUMIFS(Table2[NewPointsHome],Table2[GameDate], "&lt;=" &amp; $A124, Table2[HomeTeam], AE$1)</f>
        <v>36</v>
      </c>
      <c r="AF124" s="145">
        <f>SUMIFS(Table2[NewPointsAway],Table2[GameDate], "&lt;=" &amp; $A124, Table2[AwayTeam], AF$1)+SUMIFS(Table2[NewPointsHome],Table2[GameDate], "&lt;=" &amp; $A124, Table2[HomeTeam], AF$1)</f>
        <v>29</v>
      </c>
      <c r="AG124" s="145">
        <f>SUMIFS(Table2[NewPointsAway],Table2[GameDate], "&lt;=" &amp; $A124, Table2[AwayTeam], AG$1)+SUMIFS(Table2[NewPointsHome],Table2[GameDate], "&lt;=" &amp; $A124, Table2[HomeTeam], AG$1)</f>
        <v>39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37</v>
      </c>
      <c r="C125" s="145">
        <f>SUMIFS(Table2[NewPointsAway],Table2[GameDate], "&lt;=" &amp; $A125, Table2[AwayTeam], C$1)+SUMIFS(Table2[NewPointsHome],Table2[GameDate], "&lt;=" &amp; $A125, Table2[HomeTeam], C$1)</f>
        <v>34</v>
      </c>
      <c r="D125" s="145">
        <f>SUMIFS(Table2[NewPointsAway],Table2[GameDate], "&lt;=" &amp; $A125, Table2[AwayTeam], D$1)+SUMIFS(Table2[NewPointsHome],Table2[GameDate], "&lt;=" &amp; $A125, Table2[HomeTeam], D$1)</f>
        <v>26</v>
      </c>
      <c r="E125" s="145">
        <f>SUMIFS(Table2[NewPointsAway],Table2[GameDate], "&lt;=" &amp; $A125, Table2[AwayTeam], E$1)+SUMIFS(Table2[NewPointsHome],Table2[GameDate], "&lt;=" &amp; $A125, Table2[HomeTeam], E$1)</f>
        <v>36</v>
      </c>
      <c r="F125" s="145">
        <f>SUMIFS(Table2[NewPointsAway],Table2[GameDate], "&lt;=" &amp; $A125, Table2[AwayTeam], F$1)+SUMIFS(Table2[NewPointsHome],Table2[GameDate], "&lt;=" &amp; $A125, Table2[HomeTeam], F$1)</f>
        <v>32</v>
      </c>
      <c r="G125" s="145">
        <f>SUMIFS(Table2[NewPointsAway],Table2[GameDate], "&lt;=" &amp; $A125, Table2[AwayTeam], G$1)+SUMIFS(Table2[NewPointsHome],Table2[GameDate], "&lt;=" &amp; $A125, Table2[HomeTeam], G$1)</f>
        <v>28</v>
      </c>
      <c r="H125" s="145">
        <f>SUMIFS(Table2[NewPointsAway],Table2[GameDate], "&lt;=" &amp; $A125, Table2[AwayTeam], H$1)+SUMIFS(Table2[NewPointsHome],Table2[GameDate], "&lt;=" &amp; $A125, Table2[HomeTeam], H$1)</f>
        <v>30</v>
      </c>
      <c r="I125" s="145">
        <f>SUMIFS(Table2[NewPointsAway],Table2[GameDate], "&lt;=" &amp; $A125, Table2[AwayTeam], I$1)+SUMIFS(Table2[NewPointsHome],Table2[GameDate], "&lt;=" &amp; $A125, Table2[HomeTeam], I$1)</f>
        <v>48</v>
      </c>
      <c r="J125" s="145">
        <f>SUMIFS(Table2[NewPointsAway],Table2[GameDate], "&lt;=" &amp; $A125, Table2[AwayTeam], J$1)+SUMIFS(Table2[NewPointsHome],Table2[GameDate], "&lt;=" &amp; $A125, Table2[HomeTeam], J$1)</f>
        <v>45</v>
      </c>
      <c r="K125" s="145">
        <f>SUMIFS(Table2[NewPointsAway],Table2[GameDate], "&lt;=" &amp; $A125, Table2[AwayTeam], K$1)+SUMIFS(Table2[NewPointsHome],Table2[GameDate], "&lt;=" &amp; $A125, Table2[HomeTeam], K$1)</f>
        <v>35</v>
      </c>
      <c r="L125" s="145">
        <f>SUMIFS(Table2[NewPointsAway],Table2[GameDate], "&lt;=" &amp; $A125, Table2[AwayTeam], L$1)+SUMIFS(Table2[NewPointsHome],Table2[GameDate], "&lt;=" &amp; $A125, Table2[HomeTeam], L$1)</f>
        <v>31</v>
      </c>
      <c r="M125" s="145">
        <f>SUMIFS(Table2[NewPointsAway],Table2[GameDate], "&lt;=" &amp; $A125, Table2[AwayTeam], M$1)+SUMIFS(Table2[NewPointsHome],Table2[GameDate], "&lt;=" &amp; $A125, Table2[HomeTeam], M$1)</f>
        <v>30</v>
      </c>
      <c r="N125" s="145">
        <f>SUMIFS(Table2[NewPointsAway],Table2[GameDate], "&lt;=" &amp; $A125, Table2[AwayTeam], N$1)+SUMIFS(Table2[NewPointsHome],Table2[GameDate], "&lt;=" &amp; $A125, Table2[HomeTeam], N$1)</f>
        <v>35</v>
      </c>
      <c r="O125" s="145">
        <f>SUMIFS(Table2[NewPointsAway],Table2[GameDate], "&lt;=" &amp; $A125, Table2[AwayTeam], O$1)+SUMIFS(Table2[NewPointsHome],Table2[GameDate], "&lt;=" &amp; $A125, Table2[HomeTeam], O$1)</f>
        <v>37</v>
      </c>
      <c r="P125" s="145">
        <f>SUMIFS(Table2[NewPointsAway],Table2[GameDate], "&lt;=" &amp; $A125, Table2[AwayTeam], P$1)+SUMIFS(Table2[NewPointsHome],Table2[GameDate], "&lt;=" &amp; $A125, Table2[HomeTeam], P$1)</f>
        <v>33</v>
      </c>
      <c r="Q125" s="145">
        <f>SUMIFS(Table2[NewPointsAway],Table2[GameDate], "&lt;=" &amp; $A125, Table2[AwayTeam], Q$1)+SUMIFS(Table2[NewPointsHome],Table2[GameDate], "&lt;=" &amp; $A125, Table2[HomeTeam], Q$1)</f>
        <v>33</v>
      </c>
      <c r="R125" s="145">
        <f>SUMIFS(Table2[NewPointsAway],Table2[GameDate], "&lt;=" &amp; $A125, Table2[AwayTeam], R$1)+SUMIFS(Table2[NewPointsHome],Table2[GameDate], "&lt;=" &amp; $A125, Table2[HomeTeam], R$1)</f>
        <v>24</v>
      </c>
      <c r="S125" s="145">
        <f>SUMIFS(Table2[NewPointsAway],Table2[GameDate], "&lt;=" &amp; $A125, Table2[AwayTeam], S$1)+SUMIFS(Table2[NewPointsHome],Table2[GameDate], "&lt;=" &amp; $A125, Table2[HomeTeam], S$1)</f>
        <v>35</v>
      </c>
      <c r="T125" s="145">
        <f>SUMIFS(Table2[NewPointsAway],Table2[GameDate], "&lt;=" &amp; $A125, Table2[AwayTeam], T$1)+SUMIFS(Table2[NewPointsHome],Table2[GameDate], "&lt;=" &amp; $A125, Table2[HomeTeam], T$1)</f>
        <v>34</v>
      </c>
      <c r="U125" s="145">
        <f>SUMIFS(Table2[NewPointsAway],Table2[GameDate], "&lt;=" &amp; $A125, Table2[AwayTeam], U$1)+SUMIFS(Table2[NewPointsHome],Table2[GameDate], "&lt;=" &amp; $A125, Table2[HomeTeam], U$1)</f>
        <v>30</v>
      </c>
      <c r="V125" s="145">
        <f>SUMIFS(Table2[NewPointsAway],Table2[GameDate], "&lt;=" &amp; $A125, Table2[AwayTeam], V$1)+SUMIFS(Table2[NewPointsHome],Table2[GameDate], "&lt;=" &amp; $A125, Table2[HomeTeam], V$1)</f>
        <v>32</v>
      </c>
      <c r="W125" s="145">
        <f>SUMIFS(Table2[NewPointsAway],Table2[GameDate], "&lt;=" &amp; $A125, Table2[AwayTeam], W$1)+SUMIFS(Table2[NewPointsHome],Table2[GameDate], "&lt;=" &amp; $A125, Table2[HomeTeam], W$1)</f>
        <v>34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31</v>
      </c>
      <c r="Z125" s="145">
        <f>SUMIFS(Table2[NewPointsAway],Table2[GameDate], "&lt;=" &amp; $A125, Table2[AwayTeam], Z$1)+SUMIFS(Table2[NewPointsHome],Table2[GameDate], "&lt;=" &amp; $A125, Table2[HomeTeam], Z$1)</f>
        <v>30</v>
      </c>
      <c r="AA125" s="145">
        <f>SUMIFS(Table2[NewPointsAway],Table2[GameDate], "&lt;=" &amp; $A125, Table2[AwayTeam], AA$1)+SUMIFS(Table2[NewPointsHome],Table2[GameDate], "&lt;=" &amp; $A125, Table2[HomeTeam], AA$1)</f>
        <v>34</v>
      </c>
      <c r="AB125" s="145">
        <f>SUMIFS(Table2[NewPointsAway],Table2[GameDate], "&lt;=" &amp; $A125, Table2[AwayTeam], AB$1)+SUMIFS(Table2[NewPointsHome],Table2[GameDate], "&lt;=" &amp; $A125, Table2[HomeTeam], AB$1)</f>
        <v>32</v>
      </c>
      <c r="AC125" s="145">
        <f>SUMIFS(Table2[NewPointsAway],Table2[GameDate], "&lt;=" &amp; $A125, Table2[AwayTeam], AC$1)+SUMIFS(Table2[NewPointsHome],Table2[GameDate], "&lt;=" &amp; $A125, Table2[HomeTeam], AC$1)</f>
        <v>31</v>
      </c>
      <c r="AD125" s="145">
        <f>SUMIFS(Table2[NewPointsAway],Table2[GameDate], "&lt;=" &amp; $A125, Table2[AwayTeam], AD$1)+SUMIFS(Table2[NewPointsHome],Table2[GameDate], "&lt;=" &amp; $A125, Table2[HomeTeam], AD$1)</f>
        <v>25</v>
      </c>
      <c r="AE125" s="145">
        <f>SUMIFS(Table2[NewPointsAway],Table2[GameDate], "&lt;=" &amp; $A125, Table2[AwayTeam], AE$1)+SUMIFS(Table2[NewPointsHome],Table2[GameDate], "&lt;=" &amp; $A125, Table2[HomeTeam], AE$1)</f>
        <v>36</v>
      </c>
      <c r="AF125" s="145">
        <f>SUMIFS(Table2[NewPointsAway],Table2[GameDate], "&lt;=" &amp; $A125, Table2[AwayTeam], AF$1)+SUMIFS(Table2[NewPointsHome],Table2[GameDate], "&lt;=" &amp; $A125, Table2[HomeTeam], AF$1)</f>
        <v>29</v>
      </c>
      <c r="AG125" s="145">
        <f>SUMIFS(Table2[NewPointsAway],Table2[GameDate], "&lt;=" &amp; $A125, Table2[AwayTeam], AG$1)+SUMIFS(Table2[NewPointsHome],Table2[GameDate], "&lt;=" &amp; $A125, Table2[HomeTeam], AG$1)</f>
        <v>39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37</v>
      </c>
      <c r="C126" s="145">
        <f>SUMIFS(Table2[NewPointsAway],Table2[GameDate], "&lt;=" &amp; $A126, Table2[AwayTeam], C$1)+SUMIFS(Table2[NewPointsHome],Table2[GameDate], "&lt;=" &amp; $A126, Table2[HomeTeam], C$1)</f>
        <v>34</v>
      </c>
      <c r="D126" s="145">
        <f>SUMIFS(Table2[NewPointsAway],Table2[GameDate], "&lt;=" &amp; $A126, Table2[AwayTeam], D$1)+SUMIFS(Table2[NewPointsHome],Table2[GameDate], "&lt;=" &amp; $A126, Table2[HomeTeam], D$1)</f>
        <v>26</v>
      </c>
      <c r="E126" s="145">
        <f>SUMIFS(Table2[NewPointsAway],Table2[GameDate], "&lt;=" &amp; $A126, Table2[AwayTeam], E$1)+SUMIFS(Table2[NewPointsHome],Table2[GameDate], "&lt;=" &amp; $A126, Table2[HomeTeam], E$1)</f>
        <v>36</v>
      </c>
      <c r="F126" s="145">
        <f>SUMIFS(Table2[NewPointsAway],Table2[GameDate], "&lt;=" &amp; $A126, Table2[AwayTeam], F$1)+SUMIFS(Table2[NewPointsHome],Table2[GameDate], "&lt;=" &amp; $A126, Table2[HomeTeam], F$1)</f>
        <v>32</v>
      </c>
      <c r="G126" s="145">
        <f>SUMIFS(Table2[NewPointsAway],Table2[GameDate], "&lt;=" &amp; $A126, Table2[AwayTeam], G$1)+SUMIFS(Table2[NewPointsHome],Table2[GameDate], "&lt;=" &amp; $A126, Table2[HomeTeam], G$1)</f>
        <v>28</v>
      </c>
      <c r="H126" s="145">
        <f>SUMIFS(Table2[NewPointsAway],Table2[GameDate], "&lt;=" &amp; $A126, Table2[AwayTeam], H$1)+SUMIFS(Table2[NewPointsHome],Table2[GameDate], "&lt;=" &amp; $A126, Table2[HomeTeam], H$1)</f>
        <v>30</v>
      </c>
      <c r="I126" s="145">
        <f>SUMIFS(Table2[NewPointsAway],Table2[GameDate], "&lt;=" &amp; $A126, Table2[AwayTeam], I$1)+SUMIFS(Table2[NewPointsHome],Table2[GameDate], "&lt;=" &amp; $A126, Table2[HomeTeam], I$1)</f>
        <v>48</v>
      </c>
      <c r="J126" s="145">
        <f>SUMIFS(Table2[NewPointsAway],Table2[GameDate], "&lt;=" &amp; $A126, Table2[AwayTeam], J$1)+SUMIFS(Table2[NewPointsHome],Table2[GameDate], "&lt;=" &amp; $A126, Table2[HomeTeam], J$1)</f>
        <v>45</v>
      </c>
      <c r="K126" s="145">
        <f>SUMIFS(Table2[NewPointsAway],Table2[GameDate], "&lt;=" &amp; $A126, Table2[AwayTeam], K$1)+SUMIFS(Table2[NewPointsHome],Table2[GameDate], "&lt;=" &amp; $A126, Table2[HomeTeam], K$1)</f>
        <v>35</v>
      </c>
      <c r="L126" s="145">
        <f>SUMIFS(Table2[NewPointsAway],Table2[GameDate], "&lt;=" &amp; $A126, Table2[AwayTeam], L$1)+SUMIFS(Table2[NewPointsHome],Table2[GameDate], "&lt;=" &amp; $A126, Table2[HomeTeam], L$1)</f>
        <v>31</v>
      </c>
      <c r="M126" s="145">
        <f>SUMIFS(Table2[NewPointsAway],Table2[GameDate], "&lt;=" &amp; $A126, Table2[AwayTeam], M$1)+SUMIFS(Table2[NewPointsHome],Table2[GameDate], "&lt;=" &amp; $A126, Table2[HomeTeam], M$1)</f>
        <v>30</v>
      </c>
      <c r="N126" s="145">
        <f>SUMIFS(Table2[NewPointsAway],Table2[GameDate], "&lt;=" &amp; $A126, Table2[AwayTeam], N$1)+SUMIFS(Table2[NewPointsHome],Table2[GameDate], "&lt;=" &amp; $A126, Table2[HomeTeam], N$1)</f>
        <v>35</v>
      </c>
      <c r="O126" s="145">
        <f>SUMIFS(Table2[NewPointsAway],Table2[GameDate], "&lt;=" &amp; $A126, Table2[AwayTeam], O$1)+SUMIFS(Table2[NewPointsHome],Table2[GameDate], "&lt;=" &amp; $A126, Table2[HomeTeam], O$1)</f>
        <v>37</v>
      </c>
      <c r="P126" s="145">
        <f>SUMIFS(Table2[NewPointsAway],Table2[GameDate], "&lt;=" &amp; $A126, Table2[AwayTeam], P$1)+SUMIFS(Table2[NewPointsHome],Table2[GameDate], "&lt;=" &amp; $A126, Table2[HomeTeam], P$1)</f>
        <v>33</v>
      </c>
      <c r="Q126" s="145">
        <f>SUMIFS(Table2[NewPointsAway],Table2[GameDate], "&lt;=" &amp; $A126, Table2[AwayTeam], Q$1)+SUMIFS(Table2[NewPointsHome],Table2[GameDate], "&lt;=" &amp; $A126, Table2[HomeTeam], Q$1)</f>
        <v>33</v>
      </c>
      <c r="R126" s="145">
        <f>SUMIFS(Table2[NewPointsAway],Table2[GameDate], "&lt;=" &amp; $A126, Table2[AwayTeam], R$1)+SUMIFS(Table2[NewPointsHome],Table2[GameDate], "&lt;=" &amp; $A126, Table2[HomeTeam], R$1)</f>
        <v>24</v>
      </c>
      <c r="S126" s="145">
        <f>SUMIFS(Table2[NewPointsAway],Table2[GameDate], "&lt;=" &amp; $A126, Table2[AwayTeam], S$1)+SUMIFS(Table2[NewPointsHome],Table2[GameDate], "&lt;=" &amp; $A126, Table2[HomeTeam], S$1)</f>
        <v>35</v>
      </c>
      <c r="T126" s="145">
        <f>SUMIFS(Table2[NewPointsAway],Table2[GameDate], "&lt;=" &amp; $A126, Table2[AwayTeam], T$1)+SUMIFS(Table2[NewPointsHome],Table2[GameDate], "&lt;=" &amp; $A126, Table2[HomeTeam], T$1)</f>
        <v>34</v>
      </c>
      <c r="U126" s="145">
        <f>SUMIFS(Table2[NewPointsAway],Table2[GameDate], "&lt;=" &amp; $A126, Table2[AwayTeam], U$1)+SUMIFS(Table2[NewPointsHome],Table2[GameDate], "&lt;=" &amp; $A126, Table2[HomeTeam], U$1)</f>
        <v>30</v>
      </c>
      <c r="V126" s="145">
        <f>SUMIFS(Table2[NewPointsAway],Table2[GameDate], "&lt;=" &amp; $A126, Table2[AwayTeam], V$1)+SUMIFS(Table2[NewPointsHome],Table2[GameDate], "&lt;=" &amp; $A126, Table2[HomeTeam], V$1)</f>
        <v>32</v>
      </c>
      <c r="W126" s="145">
        <f>SUMIFS(Table2[NewPointsAway],Table2[GameDate], "&lt;=" &amp; $A126, Table2[AwayTeam], W$1)+SUMIFS(Table2[NewPointsHome],Table2[GameDate], "&lt;=" &amp; $A126, Table2[HomeTeam], W$1)</f>
        <v>34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31</v>
      </c>
      <c r="Z126" s="145">
        <f>SUMIFS(Table2[NewPointsAway],Table2[GameDate], "&lt;=" &amp; $A126, Table2[AwayTeam], Z$1)+SUMIFS(Table2[NewPointsHome],Table2[GameDate], "&lt;=" &amp; $A126, Table2[HomeTeam], Z$1)</f>
        <v>30</v>
      </c>
      <c r="AA126" s="145">
        <f>SUMIFS(Table2[NewPointsAway],Table2[GameDate], "&lt;=" &amp; $A126, Table2[AwayTeam], AA$1)+SUMIFS(Table2[NewPointsHome],Table2[GameDate], "&lt;=" &amp; $A126, Table2[HomeTeam], AA$1)</f>
        <v>34</v>
      </c>
      <c r="AB126" s="145">
        <f>SUMIFS(Table2[NewPointsAway],Table2[GameDate], "&lt;=" &amp; $A126, Table2[AwayTeam], AB$1)+SUMIFS(Table2[NewPointsHome],Table2[GameDate], "&lt;=" &amp; $A126, Table2[HomeTeam], AB$1)</f>
        <v>32</v>
      </c>
      <c r="AC126" s="145">
        <f>SUMIFS(Table2[NewPointsAway],Table2[GameDate], "&lt;=" &amp; $A126, Table2[AwayTeam], AC$1)+SUMIFS(Table2[NewPointsHome],Table2[GameDate], "&lt;=" &amp; $A126, Table2[HomeTeam], AC$1)</f>
        <v>31</v>
      </c>
      <c r="AD126" s="145">
        <f>SUMIFS(Table2[NewPointsAway],Table2[GameDate], "&lt;=" &amp; $A126, Table2[AwayTeam], AD$1)+SUMIFS(Table2[NewPointsHome],Table2[GameDate], "&lt;=" &amp; $A126, Table2[HomeTeam], AD$1)</f>
        <v>25</v>
      </c>
      <c r="AE126" s="145">
        <f>SUMIFS(Table2[NewPointsAway],Table2[GameDate], "&lt;=" &amp; $A126, Table2[AwayTeam], AE$1)+SUMIFS(Table2[NewPointsHome],Table2[GameDate], "&lt;=" &amp; $A126, Table2[HomeTeam], AE$1)</f>
        <v>36</v>
      </c>
      <c r="AF126" s="145">
        <f>SUMIFS(Table2[NewPointsAway],Table2[GameDate], "&lt;=" &amp; $A126, Table2[AwayTeam], AF$1)+SUMIFS(Table2[NewPointsHome],Table2[GameDate], "&lt;=" &amp; $A126, Table2[HomeTeam], AF$1)</f>
        <v>29</v>
      </c>
      <c r="AG126" s="145">
        <f>SUMIFS(Table2[NewPointsAway],Table2[GameDate], "&lt;=" &amp; $A126, Table2[AwayTeam], AG$1)+SUMIFS(Table2[NewPointsHome],Table2[GameDate], "&lt;=" &amp; $A126, Table2[HomeTeam], AG$1)</f>
        <v>39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37</v>
      </c>
      <c r="C127" s="145">
        <f>SUMIFS(Table2[NewPointsAway],Table2[GameDate], "&lt;=" &amp; $A127, Table2[AwayTeam], C$1)+SUMIFS(Table2[NewPointsHome],Table2[GameDate], "&lt;=" &amp; $A127, Table2[HomeTeam], C$1)</f>
        <v>34</v>
      </c>
      <c r="D127" s="145">
        <f>SUMIFS(Table2[NewPointsAway],Table2[GameDate], "&lt;=" &amp; $A127, Table2[AwayTeam], D$1)+SUMIFS(Table2[NewPointsHome],Table2[GameDate], "&lt;=" &amp; $A127, Table2[HomeTeam], D$1)</f>
        <v>26</v>
      </c>
      <c r="E127" s="145">
        <f>SUMIFS(Table2[NewPointsAway],Table2[GameDate], "&lt;=" &amp; $A127, Table2[AwayTeam], E$1)+SUMIFS(Table2[NewPointsHome],Table2[GameDate], "&lt;=" &amp; $A127, Table2[HomeTeam], E$1)</f>
        <v>36</v>
      </c>
      <c r="F127" s="145">
        <f>SUMIFS(Table2[NewPointsAway],Table2[GameDate], "&lt;=" &amp; $A127, Table2[AwayTeam], F$1)+SUMIFS(Table2[NewPointsHome],Table2[GameDate], "&lt;=" &amp; $A127, Table2[HomeTeam], F$1)</f>
        <v>32</v>
      </c>
      <c r="G127" s="145">
        <f>SUMIFS(Table2[NewPointsAway],Table2[GameDate], "&lt;=" &amp; $A127, Table2[AwayTeam], G$1)+SUMIFS(Table2[NewPointsHome],Table2[GameDate], "&lt;=" &amp; $A127, Table2[HomeTeam], G$1)</f>
        <v>28</v>
      </c>
      <c r="H127" s="145">
        <f>SUMIFS(Table2[NewPointsAway],Table2[GameDate], "&lt;=" &amp; $A127, Table2[AwayTeam], H$1)+SUMIFS(Table2[NewPointsHome],Table2[GameDate], "&lt;=" &amp; $A127, Table2[HomeTeam], H$1)</f>
        <v>30</v>
      </c>
      <c r="I127" s="145">
        <f>SUMIFS(Table2[NewPointsAway],Table2[GameDate], "&lt;=" &amp; $A127, Table2[AwayTeam], I$1)+SUMIFS(Table2[NewPointsHome],Table2[GameDate], "&lt;=" &amp; $A127, Table2[HomeTeam], I$1)</f>
        <v>48</v>
      </c>
      <c r="J127" s="145">
        <f>SUMIFS(Table2[NewPointsAway],Table2[GameDate], "&lt;=" &amp; $A127, Table2[AwayTeam], J$1)+SUMIFS(Table2[NewPointsHome],Table2[GameDate], "&lt;=" &amp; $A127, Table2[HomeTeam], J$1)</f>
        <v>45</v>
      </c>
      <c r="K127" s="145">
        <f>SUMIFS(Table2[NewPointsAway],Table2[GameDate], "&lt;=" &amp; $A127, Table2[AwayTeam], K$1)+SUMIFS(Table2[NewPointsHome],Table2[GameDate], "&lt;=" &amp; $A127, Table2[HomeTeam], K$1)</f>
        <v>35</v>
      </c>
      <c r="L127" s="145">
        <f>SUMIFS(Table2[NewPointsAway],Table2[GameDate], "&lt;=" &amp; $A127, Table2[AwayTeam], L$1)+SUMIFS(Table2[NewPointsHome],Table2[GameDate], "&lt;=" &amp; $A127, Table2[HomeTeam], L$1)</f>
        <v>31</v>
      </c>
      <c r="M127" s="145">
        <f>SUMIFS(Table2[NewPointsAway],Table2[GameDate], "&lt;=" &amp; $A127, Table2[AwayTeam], M$1)+SUMIFS(Table2[NewPointsHome],Table2[GameDate], "&lt;=" &amp; $A127, Table2[HomeTeam], M$1)</f>
        <v>30</v>
      </c>
      <c r="N127" s="145">
        <f>SUMIFS(Table2[NewPointsAway],Table2[GameDate], "&lt;=" &amp; $A127, Table2[AwayTeam], N$1)+SUMIFS(Table2[NewPointsHome],Table2[GameDate], "&lt;=" &amp; $A127, Table2[HomeTeam], N$1)</f>
        <v>35</v>
      </c>
      <c r="O127" s="145">
        <f>SUMIFS(Table2[NewPointsAway],Table2[GameDate], "&lt;=" &amp; $A127, Table2[AwayTeam], O$1)+SUMIFS(Table2[NewPointsHome],Table2[GameDate], "&lt;=" &amp; $A127, Table2[HomeTeam], O$1)</f>
        <v>37</v>
      </c>
      <c r="P127" s="145">
        <f>SUMIFS(Table2[NewPointsAway],Table2[GameDate], "&lt;=" &amp; $A127, Table2[AwayTeam], P$1)+SUMIFS(Table2[NewPointsHome],Table2[GameDate], "&lt;=" &amp; $A127, Table2[HomeTeam], P$1)</f>
        <v>33</v>
      </c>
      <c r="Q127" s="145">
        <f>SUMIFS(Table2[NewPointsAway],Table2[GameDate], "&lt;=" &amp; $A127, Table2[AwayTeam], Q$1)+SUMIFS(Table2[NewPointsHome],Table2[GameDate], "&lt;=" &amp; $A127, Table2[HomeTeam], Q$1)</f>
        <v>33</v>
      </c>
      <c r="R127" s="145">
        <f>SUMIFS(Table2[NewPointsAway],Table2[GameDate], "&lt;=" &amp; $A127, Table2[AwayTeam], R$1)+SUMIFS(Table2[NewPointsHome],Table2[GameDate], "&lt;=" &amp; $A127, Table2[HomeTeam], R$1)</f>
        <v>24</v>
      </c>
      <c r="S127" s="145">
        <f>SUMIFS(Table2[NewPointsAway],Table2[GameDate], "&lt;=" &amp; $A127, Table2[AwayTeam], S$1)+SUMIFS(Table2[NewPointsHome],Table2[GameDate], "&lt;=" &amp; $A127, Table2[HomeTeam], S$1)</f>
        <v>35</v>
      </c>
      <c r="T127" s="145">
        <f>SUMIFS(Table2[NewPointsAway],Table2[GameDate], "&lt;=" &amp; $A127, Table2[AwayTeam], T$1)+SUMIFS(Table2[NewPointsHome],Table2[GameDate], "&lt;=" &amp; $A127, Table2[HomeTeam], T$1)</f>
        <v>34</v>
      </c>
      <c r="U127" s="145">
        <f>SUMIFS(Table2[NewPointsAway],Table2[GameDate], "&lt;=" &amp; $A127, Table2[AwayTeam], U$1)+SUMIFS(Table2[NewPointsHome],Table2[GameDate], "&lt;=" &amp; $A127, Table2[HomeTeam], U$1)</f>
        <v>30</v>
      </c>
      <c r="V127" s="145">
        <f>SUMIFS(Table2[NewPointsAway],Table2[GameDate], "&lt;=" &amp; $A127, Table2[AwayTeam], V$1)+SUMIFS(Table2[NewPointsHome],Table2[GameDate], "&lt;=" &amp; $A127, Table2[HomeTeam], V$1)</f>
        <v>32</v>
      </c>
      <c r="W127" s="145">
        <f>SUMIFS(Table2[NewPointsAway],Table2[GameDate], "&lt;=" &amp; $A127, Table2[AwayTeam], W$1)+SUMIFS(Table2[NewPointsHome],Table2[GameDate], "&lt;=" &amp; $A127, Table2[HomeTeam], W$1)</f>
        <v>34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31</v>
      </c>
      <c r="Z127" s="145">
        <f>SUMIFS(Table2[NewPointsAway],Table2[GameDate], "&lt;=" &amp; $A127, Table2[AwayTeam], Z$1)+SUMIFS(Table2[NewPointsHome],Table2[GameDate], "&lt;=" &amp; $A127, Table2[HomeTeam], Z$1)</f>
        <v>30</v>
      </c>
      <c r="AA127" s="145">
        <f>SUMIFS(Table2[NewPointsAway],Table2[GameDate], "&lt;=" &amp; $A127, Table2[AwayTeam], AA$1)+SUMIFS(Table2[NewPointsHome],Table2[GameDate], "&lt;=" &amp; $A127, Table2[HomeTeam], AA$1)</f>
        <v>34</v>
      </c>
      <c r="AB127" s="145">
        <f>SUMIFS(Table2[NewPointsAway],Table2[GameDate], "&lt;=" &amp; $A127, Table2[AwayTeam], AB$1)+SUMIFS(Table2[NewPointsHome],Table2[GameDate], "&lt;=" &amp; $A127, Table2[HomeTeam], AB$1)</f>
        <v>32</v>
      </c>
      <c r="AC127" s="145">
        <f>SUMIFS(Table2[NewPointsAway],Table2[GameDate], "&lt;=" &amp; $A127, Table2[AwayTeam], AC$1)+SUMIFS(Table2[NewPointsHome],Table2[GameDate], "&lt;=" &amp; $A127, Table2[HomeTeam], AC$1)</f>
        <v>31</v>
      </c>
      <c r="AD127" s="145">
        <f>SUMIFS(Table2[NewPointsAway],Table2[GameDate], "&lt;=" &amp; $A127, Table2[AwayTeam], AD$1)+SUMIFS(Table2[NewPointsHome],Table2[GameDate], "&lt;=" &amp; $A127, Table2[HomeTeam], AD$1)</f>
        <v>25</v>
      </c>
      <c r="AE127" s="145">
        <f>SUMIFS(Table2[NewPointsAway],Table2[GameDate], "&lt;=" &amp; $A127, Table2[AwayTeam], AE$1)+SUMIFS(Table2[NewPointsHome],Table2[GameDate], "&lt;=" &amp; $A127, Table2[HomeTeam], AE$1)</f>
        <v>36</v>
      </c>
      <c r="AF127" s="145">
        <f>SUMIFS(Table2[NewPointsAway],Table2[GameDate], "&lt;=" &amp; $A127, Table2[AwayTeam], AF$1)+SUMIFS(Table2[NewPointsHome],Table2[GameDate], "&lt;=" &amp; $A127, Table2[HomeTeam], AF$1)</f>
        <v>29</v>
      </c>
      <c r="AG127" s="145">
        <f>SUMIFS(Table2[NewPointsAway],Table2[GameDate], "&lt;=" &amp; $A127, Table2[AwayTeam], AG$1)+SUMIFS(Table2[NewPointsHome],Table2[GameDate], "&lt;=" &amp; $A127, Table2[HomeTeam], AG$1)</f>
        <v>39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37</v>
      </c>
      <c r="C128" s="145">
        <f>SUMIFS(Table2[NewPointsAway],Table2[GameDate], "&lt;=" &amp; $A128, Table2[AwayTeam], C$1)+SUMIFS(Table2[NewPointsHome],Table2[GameDate], "&lt;=" &amp; $A128, Table2[HomeTeam], C$1)</f>
        <v>34</v>
      </c>
      <c r="D128" s="145">
        <f>SUMIFS(Table2[NewPointsAway],Table2[GameDate], "&lt;=" &amp; $A128, Table2[AwayTeam], D$1)+SUMIFS(Table2[NewPointsHome],Table2[GameDate], "&lt;=" &amp; $A128, Table2[HomeTeam], D$1)</f>
        <v>26</v>
      </c>
      <c r="E128" s="145">
        <f>SUMIFS(Table2[NewPointsAway],Table2[GameDate], "&lt;=" &amp; $A128, Table2[AwayTeam], E$1)+SUMIFS(Table2[NewPointsHome],Table2[GameDate], "&lt;=" &amp; $A128, Table2[HomeTeam], E$1)</f>
        <v>36</v>
      </c>
      <c r="F128" s="145">
        <f>SUMIFS(Table2[NewPointsAway],Table2[GameDate], "&lt;=" &amp; $A128, Table2[AwayTeam], F$1)+SUMIFS(Table2[NewPointsHome],Table2[GameDate], "&lt;=" &amp; $A128, Table2[HomeTeam], F$1)</f>
        <v>32</v>
      </c>
      <c r="G128" s="145">
        <f>SUMIFS(Table2[NewPointsAway],Table2[GameDate], "&lt;=" &amp; $A128, Table2[AwayTeam], G$1)+SUMIFS(Table2[NewPointsHome],Table2[GameDate], "&lt;=" &amp; $A128, Table2[HomeTeam], G$1)</f>
        <v>28</v>
      </c>
      <c r="H128" s="145">
        <f>SUMIFS(Table2[NewPointsAway],Table2[GameDate], "&lt;=" &amp; $A128, Table2[AwayTeam], H$1)+SUMIFS(Table2[NewPointsHome],Table2[GameDate], "&lt;=" &amp; $A128, Table2[HomeTeam], H$1)</f>
        <v>30</v>
      </c>
      <c r="I128" s="145">
        <f>SUMIFS(Table2[NewPointsAway],Table2[GameDate], "&lt;=" &amp; $A128, Table2[AwayTeam], I$1)+SUMIFS(Table2[NewPointsHome],Table2[GameDate], "&lt;=" &amp; $A128, Table2[HomeTeam], I$1)</f>
        <v>48</v>
      </c>
      <c r="J128" s="145">
        <f>SUMIFS(Table2[NewPointsAway],Table2[GameDate], "&lt;=" &amp; $A128, Table2[AwayTeam], J$1)+SUMIFS(Table2[NewPointsHome],Table2[GameDate], "&lt;=" &amp; $A128, Table2[HomeTeam], J$1)</f>
        <v>45</v>
      </c>
      <c r="K128" s="145">
        <f>SUMIFS(Table2[NewPointsAway],Table2[GameDate], "&lt;=" &amp; $A128, Table2[AwayTeam], K$1)+SUMIFS(Table2[NewPointsHome],Table2[GameDate], "&lt;=" &amp; $A128, Table2[HomeTeam], K$1)</f>
        <v>35</v>
      </c>
      <c r="L128" s="145">
        <f>SUMIFS(Table2[NewPointsAway],Table2[GameDate], "&lt;=" &amp; $A128, Table2[AwayTeam], L$1)+SUMIFS(Table2[NewPointsHome],Table2[GameDate], "&lt;=" &amp; $A128, Table2[HomeTeam], L$1)</f>
        <v>31</v>
      </c>
      <c r="M128" s="145">
        <f>SUMIFS(Table2[NewPointsAway],Table2[GameDate], "&lt;=" &amp; $A128, Table2[AwayTeam], M$1)+SUMIFS(Table2[NewPointsHome],Table2[GameDate], "&lt;=" &amp; $A128, Table2[HomeTeam], M$1)</f>
        <v>30</v>
      </c>
      <c r="N128" s="145">
        <f>SUMIFS(Table2[NewPointsAway],Table2[GameDate], "&lt;=" &amp; $A128, Table2[AwayTeam], N$1)+SUMIFS(Table2[NewPointsHome],Table2[GameDate], "&lt;=" &amp; $A128, Table2[HomeTeam], N$1)</f>
        <v>35</v>
      </c>
      <c r="O128" s="145">
        <f>SUMIFS(Table2[NewPointsAway],Table2[GameDate], "&lt;=" &amp; $A128, Table2[AwayTeam], O$1)+SUMIFS(Table2[NewPointsHome],Table2[GameDate], "&lt;=" &amp; $A128, Table2[HomeTeam], O$1)</f>
        <v>37</v>
      </c>
      <c r="P128" s="145">
        <f>SUMIFS(Table2[NewPointsAway],Table2[GameDate], "&lt;=" &amp; $A128, Table2[AwayTeam], P$1)+SUMIFS(Table2[NewPointsHome],Table2[GameDate], "&lt;=" &amp; $A128, Table2[HomeTeam], P$1)</f>
        <v>33</v>
      </c>
      <c r="Q128" s="145">
        <f>SUMIFS(Table2[NewPointsAway],Table2[GameDate], "&lt;=" &amp; $A128, Table2[AwayTeam], Q$1)+SUMIFS(Table2[NewPointsHome],Table2[GameDate], "&lt;=" &amp; $A128, Table2[HomeTeam], Q$1)</f>
        <v>33</v>
      </c>
      <c r="R128" s="145">
        <f>SUMIFS(Table2[NewPointsAway],Table2[GameDate], "&lt;=" &amp; $A128, Table2[AwayTeam], R$1)+SUMIFS(Table2[NewPointsHome],Table2[GameDate], "&lt;=" &amp; $A128, Table2[HomeTeam], R$1)</f>
        <v>24</v>
      </c>
      <c r="S128" s="145">
        <f>SUMIFS(Table2[NewPointsAway],Table2[GameDate], "&lt;=" &amp; $A128, Table2[AwayTeam], S$1)+SUMIFS(Table2[NewPointsHome],Table2[GameDate], "&lt;=" &amp; $A128, Table2[HomeTeam], S$1)</f>
        <v>35</v>
      </c>
      <c r="T128" s="145">
        <f>SUMIFS(Table2[NewPointsAway],Table2[GameDate], "&lt;=" &amp; $A128, Table2[AwayTeam], T$1)+SUMIFS(Table2[NewPointsHome],Table2[GameDate], "&lt;=" &amp; $A128, Table2[HomeTeam], T$1)</f>
        <v>34</v>
      </c>
      <c r="U128" s="145">
        <f>SUMIFS(Table2[NewPointsAway],Table2[GameDate], "&lt;=" &amp; $A128, Table2[AwayTeam], U$1)+SUMIFS(Table2[NewPointsHome],Table2[GameDate], "&lt;=" &amp; $A128, Table2[HomeTeam], U$1)</f>
        <v>30</v>
      </c>
      <c r="V128" s="145">
        <f>SUMIFS(Table2[NewPointsAway],Table2[GameDate], "&lt;=" &amp; $A128, Table2[AwayTeam], V$1)+SUMIFS(Table2[NewPointsHome],Table2[GameDate], "&lt;=" &amp; $A128, Table2[HomeTeam], V$1)</f>
        <v>32</v>
      </c>
      <c r="W128" s="145">
        <f>SUMIFS(Table2[NewPointsAway],Table2[GameDate], "&lt;=" &amp; $A128, Table2[AwayTeam], W$1)+SUMIFS(Table2[NewPointsHome],Table2[GameDate], "&lt;=" &amp; $A128, Table2[HomeTeam], W$1)</f>
        <v>34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31</v>
      </c>
      <c r="Z128" s="145">
        <f>SUMIFS(Table2[NewPointsAway],Table2[GameDate], "&lt;=" &amp; $A128, Table2[AwayTeam], Z$1)+SUMIFS(Table2[NewPointsHome],Table2[GameDate], "&lt;=" &amp; $A128, Table2[HomeTeam], Z$1)</f>
        <v>30</v>
      </c>
      <c r="AA128" s="145">
        <f>SUMIFS(Table2[NewPointsAway],Table2[GameDate], "&lt;=" &amp; $A128, Table2[AwayTeam], AA$1)+SUMIFS(Table2[NewPointsHome],Table2[GameDate], "&lt;=" &amp; $A128, Table2[HomeTeam], AA$1)</f>
        <v>34</v>
      </c>
      <c r="AB128" s="145">
        <f>SUMIFS(Table2[NewPointsAway],Table2[GameDate], "&lt;=" &amp; $A128, Table2[AwayTeam], AB$1)+SUMIFS(Table2[NewPointsHome],Table2[GameDate], "&lt;=" &amp; $A128, Table2[HomeTeam], AB$1)</f>
        <v>32</v>
      </c>
      <c r="AC128" s="145">
        <f>SUMIFS(Table2[NewPointsAway],Table2[GameDate], "&lt;=" &amp; $A128, Table2[AwayTeam], AC$1)+SUMIFS(Table2[NewPointsHome],Table2[GameDate], "&lt;=" &amp; $A128, Table2[HomeTeam], AC$1)</f>
        <v>31</v>
      </c>
      <c r="AD128" s="145">
        <f>SUMIFS(Table2[NewPointsAway],Table2[GameDate], "&lt;=" &amp; $A128, Table2[AwayTeam], AD$1)+SUMIFS(Table2[NewPointsHome],Table2[GameDate], "&lt;=" &amp; $A128, Table2[HomeTeam], AD$1)</f>
        <v>25</v>
      </c>
      <c r="AE128" s="145">
        <f>SUMIFS(Table2[NewPointsAway],Table2[GameDate], "&lt;=" &amp; $A128, Table2[AwayTeam], AE$1)+SUMIFS(Table2[NewPointsHome],Table2[GameDate], "&lt;=" &amp; $A128, Table2[HomeTeam], AE$1)</f>
        <v>36</v>
      </c>
      <c r="AF128" s="145">
        <f>SUMIFS(Table2[NewPointsAway],Table2[GameDate], "&lt;=" &amp; $A128, Table2[AwayTeam], AF$1)+SUMIFS(Table2[NewPointsHome],Table2[GameDate], "&lt;=" &amp; $A128, Table2[HomeTeam], AF$1)</f>
        <v>29</v>
      </c>
      <c r="AG128" s="145">
        <f>SUMIFS(Table2[NewPointsAway],Table2[GameDate], "&lt;=" &amp; $A128, Table2[AwayTeam], AG$1)+SUMIFS(Table2[NewPointsHome],Table2[GameDate], "&lt;=" &amp; $A128, Table2[HomeTeam], AG$1)</f>
        <v>39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37</v>
      </c>
      <c r="C129" s="145">
        <f>SUMIFS(Table2[NewPointsAway],Table2[GameDate], "&lt;=" &amp; $A129, Table2[AwayTeam], C$1)+SUMIFS(Table2[NewPointsHome],Table2[GameDate], "&lt;=" &amp; $A129, Table2[HomeTeam], C$1)</f>
        <v>34</v>
      </c>
      <c r="D129" s="145">
        <f>SUMIFS(Table2[NewPointsAway],Table2[GameDate], "&lt;=" &amp; $A129, Table2[AwayTeam], D$1)+SUMIFS(Table2[NewPointsHome],Table2[GameDate], "&lt;=" &amp; $A129, Table2[HomeTeam], D$1)</f>
        <v>26</v>
      </c>
      <c r="E129" s="145">
        <f>SUMIFS(Table2[NewPointsAway],Table2[GameDate], "&lt;=" &amp; $A129, Table2[AwayTeam], E$1)+SUMIFS(Table2[NewPointsHome],Table2[GameDate], "&lt;=" &amp; $A129, Table2[HomeTeam], E$1)</f>
        <v>36</v>
      </c>
      <c r="F129" s="145">
        <f>SUMIFS(Table2[NewPointsAway],Table2[GameDate], "&lt;=" &amp; $A129, Table2[AwayTeam], F$1)+SUMIFS(Table2[NewPointsHome],Table2[GameDate], "&lt;=" &amp; $A129, Table2[HomeTeam], F$1)</f>
        <v>32</v>
      </c>
      <c r="G129" s="145">
        <f>SUMIFS(Table2[NewPointsAway],Table2[GameDate], "&lt;=" &amp; $A129, Table2[AwayTeam], G$1)+SUMIFS(Table2[NewPointsHome],Table2[GameDate], "&lt;=" &amp; $A129, Table2[HomeTeam], G$1)</f>
        <v>28</v>
      </c>
      <c r="H129" s="145">
        <f>SUMIFS(Table2[NewPointsAway],Table2[GameDate], "&lt;=" &amp; $A129, Table2[AwayTeam], H$1)+SUMIFS(Table2[NewPointsHome],Table2[GameDate], "&lt;=" &amp; $A129, Table2[HomeTeam], H$1)</f>
        <v>30</v>
      </c>
      <c r="I129" s="145">
        <f>SUMIFS(Table2[NewPointsAway],Table2[GameDate], "&lt;=" &amp; $A129, Table2[AwayTeam], I$1)+SUMIFS(Table2[NewPointsHome],Table2[GameDate], "&lt;=" &amp; $A129, Table2[HomeTeam], I$1)</f>
        <v>48</v>
      </c>
      <c r="J129" s="145">
        <f>SUMIFS(Table2[NewPointsAway],Table2[GameDate], "&lt;=" &amp; $A129, Table2[AwayTeam], J$1)+SUMIFS(Table2[NewPointsHome],Table2[GameDate], "&lt;=" &amp; $A129, Table2[HomeTeam], J$1)</f>
        <v>45</v>
      </c>
      <c r="K129" s="145">
        <f>SUMIFS(Table2[NewPointsAway],Table2[GameDate], "&lt;=" &amp; $A129, Table2[AwayTeam], K$1)+SUMIFS(Table2[NewPointsHome],Table2[GameDate], "&lt;=" &amp; $A129, Table2[HomeTeam], K$1)</f>
        <v>35</v>
      </c>
      <c r="L129" s="145">
        <f>SUMIFS(Table2[NewPointsAway],Table2[GameDate], "&lt;=" &amp; $A129, Table2[AwayTeam], L$1)+SUMIFS(Table2[NewPointsHome],Table2[GameDate], "&lt;=" &amp; $A129, Table2[HomeTeam], L$1)</f>
        <v>31</v>
      </c>
      <c r="M129" s="145">
        <f>SUMIFS(Table2[NewPointsAway],Table2[GameDate], "&lt;=" &amp; $A129, Table2[AwayTeam], M$1)+SUMIFS(Table2[NewPointsHome],Table2[GameDate], "&lt;=" &amp; $A129, Table2[HomeTeam], M$1)</f>
        <v>30</v>
      </c>
      <c r="N129" s="145">
        <f>SUMIFS(Table2[NewPointsAway],Table2[GameDate], "&lt;=" &amp; $A129, Table2[AwayTeam], N$1)+SUMIFS(Table2[NewPointsHome],Table2[GameDate], "&lt;=" &amp; $A129, Table2[HomeTeam], N$1)</f>
        <v>35</v>
      </c>
      <c r="O129" s="145">
        <f>SUMIFS(Table2[NewPointsAway],Table2[GameDate], "&lt;=" &amp; $A129, Table2[AwayTeam], O$1)+SUMIFS(Table2[NewPointsHome],Table2[GameDate], "&lt;=" &amp; $A129, Table2[HomeTeam], O$1)</f>
        <v>37</v>
      </c>
      <c r="P129" s="145">
        <f>SUMIFS(Table2[NewPointsAway],Table2[GameDate], "&lt;=" &amp; $A129, Table2[AwayTeam], P$1)+SUMIFS(Table2[NewPointsHome],Table2[GameDate], "&lt;=" &amp; $A129, Table2[HomeTeam], P$1)</f>
        <v>33</v>
      </c>
      <c r="Q129" s="145">
        <f>SUMIFS(Table2[NewPointsAway],Table2[GameDate], "&lt;=" &amp; $A129, Table2[AwayTeam], Q$1)+SUMIFS(Table2[NewPointsHome],Table2[GameDate], "&lt;=" &amp; $A129, Table2[HomeTeam], Q$1)</f>
        <v>33</v>
      </c>
      <c r="R129" s="145">
        <f>SUMIFS(Table2[NewPointsAway],Table2[GameDate], "&lt;=" &amp; $A129, Table2[AwayTeam], R$1)+SUMIFS(Table2[NewPointsHome],Table2[GameDate], "&lt;=" &amp; $A129, Table2[HomeTeam], R$1)</f>
        <v>24</v>
      </c>
      <c r="S129" s="145">
        <f>SUMIFS(Table2[NewPointsAway],Table2[GameDate], "&lt;=" &amp; $A129, Table2[AwayTeam], S$1)+SUMIFS(Table2[NewPointsHome],Table2[GameDate], "&lt;=" &amp; $A129, Table2[HomeTeam], S$1)</f>
        <v>35</v>
      </c>
      <c r="T129" s="145">
        <f>SUMIFS(Table2[NewPointsAway],Table2[GameDate], "&lt;=" &amp; $A129, Table2[AwayTeam], T$1)+SUMIFS(Table2[NewPointsHome],Table2[GameDate], "&lt;=" &amp; $A129, Table2[HomeTeam], T$1)</f>
        <v>34</v>
      </c>
      <c r="U129" s="145">
        <f>SUMIFS(Table2[NewPointsAway],Table2[GameDate], "&lt;=" &amp; $A129, Table2[AwayTeam], U$1)+SUMIFS(Table2[NewPointsHome],Table2[GameDate], "&lt;=" &amp; $A129, Table2[HomeTeam], U$1)</f>
        <v>30</v>
      </c>
      <c r="V129" s="145">
        <f>SUMIFS(Table2[NewPointsAway],Table2[GameDate], "&lt;=" &amp; $A129, Table2[AwayTeam], V$1)+SUMIFS(Table2[NewPointsHome],Table2[GameDate], "&lt;=" &amp; $A129, Table2[HomeTeam], V$1)</f>
        <v>32</v>
      </c>
      <c r="W129" s="145">
        <f>SUMIFS(Table2[NewPointsAway],Table2[GameDate], "&lt;=" &amp; $A129, Table2[AwayTeam], W$1)+SUMIFS(Table2[NewPointsHome],Table2[GameDate], "&lt;=" &amp; $A129, Table2[HomeTeam], W$1)</f>
        <v>34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31</v>
      </c>
      <c r="Z129" s="145">
        <f>SUMIFS(Table2[NewPointsAway],Table2[GameDate], "&lt;=" &amp; $A129, Table2[AwayTeam], Z$1)+SUMIFS(Table2[NewPointsHome],Table2[GameDate], "&lt;=" &amp; $A129, Table2[HomeTeam], Z$1)</f>
        <v>30</v>
      </c>
      <c r="AA129" s="145">
        <f>SUMIFS(Table2[NewPointsAway],Table2[GameDate], "&lt;=" &amp; $A129, Table2[AwayTeam], AA$1)+SUMIFS(Table2[NewPointsHome],Table2[GameDate], "&lt;=" &amp; $A129, Table2[HomeTeam], AA$1)</f>
        <v>34</v>
      </c>
      <c r="AB129" s="145">
        <f>SUMIFS(Table2[NewPointsAway],Table2[GameDate], "&lt;=" &amp; $A129, Table2[AwayTeam], AB$1)+SUMIFS(Table2[NewPointsHome],Table2[GameDate], "&lt;=" &amp; $A129, Table2[HomeTeam], AB$1)</f>
        <v>32</v>
      </c>
      <c r="AC129" s="145">
        <f>SUMIFS(Table2[NewPointsAway],Table2[GameDate], "&lt;=" &amp; $A129, Table2[AwayTeam], AC$1)+SUMIFS(Table2[NewPointsHome],Table2[GameDate], "&lt;=" &amp; $A129, Table2[HomeTeam], AC$1)</f>
        <v>31</v>
      </c>
      <c r="AD129" s="145">
        <f>SUMIFS(Table2[NewPointsAway],Table2[GameDate], "&lt;=" &amp; $A129, Table2[AwayTeam], AD$1)+SUMIFS(Table2[NewPointsHome],Table2[GameDate], "&lt;=" &amp; $A129, Table2[HomeTeam], AD$1)</f>
        <v>25</v>
      </c>
      <c r="AE129" s="145">
        <f>SUMIFS(Table2[NewPointsAway],Table2[GameDate], "&lt;=" &amp; $A129, Table2[AwayTeam], AE$1)+SUMIFS(Table2[NewPointsHome],Table2[GameDate], "&lt;=" &amp; $A129, Table2[HomeTeam], AE$1)</f>
        <v>36</v>
      </c>
      <c r="AF129" s="145">
        <f>SUMIFS(Table2[NewPointsAway],Table2[GameDate], "&lt;=" &amp; $A129, Table2[AwayTeam], AF$1)+SUMIFS(Table2[NewPointsHome],Table2[GameDate], "&lt;=" &amp; $A129, Table2[HomeTeam], AF$1)</f>
        <v>29</v>
      </c>
      <c r="AG129" s="145">
        <f>SUMIFS(Table2[NewPointsAway],Table2[GameDate], "&lt;=" &amp; $A129, Table2[AwayTeam], AG$1)+SUMIFS(Table2[NewPointsHome],Table2[GameDate], "&lt;=" &amp; $A129, Table2[HomeTeam], AG$1)</f>
        <v>39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37</v>
      </c>
      <c r="C130" s="145">
        <f>SUMIFS(Table2[NewPointsAway],Table2[GameDate], "&lt;=" &amp; $A130, Table2[AwayTeam], C$1)+SUMIFS(Table2[NewPointsHome],Table2[GameDate], "&lt;=" &amp; $A130, Table2[HomeTeam], C$1)</f>
        <v>34</v>
      </c>
      <c r="D130" s="145">
        <f>SUMIFS(Table2[NewPointsAway],Table2[GameDate], "&lt;=" &amp; $A130, Table2[AwayTeam], D$1)+SUMIFS(Table2[NewPointsHome],Table2[GameDate], "&lt;=" &amp; $A130, Table2[HomeTeam], D$1)</f>
        <v>26</v>
      </c>
      <c r="E130" s="145">
        <f>SUMIFS(Table2[NewPointsAway],Table2[GameDate], "&lt;=" &amp; $A130, Table2[AwayTeam], E$1)+SUMIFS(Table2[NewPointsHome],Table2[GameDate], "&lt;=" &amp; $A130, Table2[HomeTeam], E$1)</f>
        <v>36</v>
      </c>
      <c r="F130" s="145">
        <f>SUMIFS(Table2[NewPointsAway],Table2[GameDate], "&lt;=" &amp; $A130, Table2[AwayTeam], F$1)+SUMIFS(Table2[NewPointsHome],Table2[GameDate], "&lt;=" &amp; $A130, Table2[HomeTeam], F$1)</f>
        <v>32</v>
      </c>
      <c r="G130" s="145">
        <f>SUMIFS(Table2[NewPointsAway],Table2[GameDate], "&lt;=" &amp; $A130, Table2[AwayTeam], G$1)+SUMIFS(Table2[NewPointsHome],Table2[GameDate], "&lt;=" &amp; $A130, Table2[HomeTeam], G$1)</f>
        <v>28</v>
      </c>
      <c r="H130" s="145">
        <f>SUMIFS(Table2[NewPointsAway],Table2[GameDate], "&lt;=" &amp; $A130, Table2[AwayTeam], H$1)+SUMIFS(Table2[NewPointsHome],Table2[GameDate], "&lt;=" &amp; $A130, Table2[HomeTeam], H$1)</f>
        <v>30</v>
      </c>
      <c r="I130" s="145">
        <f>SUMIFS(Table2[NewPointsAway],Table2[GameDate], "&lt;=" &amp; $A130, Table2[AwayTeam], I$1)+SUMIFS(Table2[NewPointsHome],Table2[GameDate], "&lt;=" &amp; $A130, Table2[HomeTeam], I$1)</f>
        <v>48</v>
      </c>
      <c r="J130" s="145">
        <f>SUMIFS(Table2[NewPointsAway],Table2[GameDate], "&lt;=" &amp; $A130, Table2[AwayTeam], J$1)+SUMIFS(Table2[NewPointsHome],Table2[GameDate], "&lt;=" &amp; $A130, Table2[HomeTeam], J$1)</f>
        <v>45</v>
      </c>
      <c r="K130" s="145">
        <f>SUMIFS(Table2[NewPointsAway],Table2[GameDate], "&lt;=" &amp; $A130, Table2[AwayTeam], K$1)+SUMIFS(Table2[NewPointsHome],Table2[GameDate], "&lt;=" &amp; $A130, Table2[HomeTeam], K$1)</f>
        <v>35</v>
      </c>
      <c r="L130" s="145">
        <f>SUMIFS(Table2[NewPointsAway],Table2[GameDate], "&lt;=" &amp; $A130, Table2[AwayTeam], L$1)+SUMIFS(Table2[NewPointsHome],Table2[GameDate], "&lt;=" &amp; $A130, Table2[HomeTeam], L$1)</f>
        <v>31</v>
      </c>
      <c r="M130" s="145">
        <f>SUMIFS(Table2[NewPointsAway],Table2[GameDate], "&lt;=" &amp; $A130, Table2[AwayTeam], M$1)+SUMIFS(Table2[NewPointsHome],Table2[GameDate], "&lt;=" &amp; $A130, Table2[HomeTeam], M$1)</f>
        <v>30</v>
      </c>
      <c r="N130" s="145">
        <f>SUMIFS(Table2[NewPointsAway],Table2[GameDate], "&lt;=" &amp; $A130, Table2[AwayTeam], N$1)+SUMIFS(Table2[NewPointsHome],Table2[GameDate], "&lt;=" &amp; $A130, Table2[HomeTeam], N$1)</f>
        <v>35</v>
      </c>
      <c r="O130" s="145">
        <f>SUMIFS(Table2[NewPointsAway],Table2[GameDate], "&lt;=" &amp; $A130, Table2[AwayTeam], O$1)+SUMIFS(Table2[NewPointsHome],Table2[GameDate], "&lt;=" &amp; $A130, Table2[HomeTeam], O$1)</f>
        <v>37</v>
      </c>
      <c r="P130" s="145">
        <f>SUMIFS(Table2[NewPointsAway],Table2[GameDate], "&lt;=" &amp; $A130, Table2[AwayTeam], P$1)+SUMIFS(Table2[NewPointsHome],Table2[GameDate], "&lt;=" &amp; $A130, Table2[HomeTeam], P$1)</f>
        <v>33</v>
      </c>
      <c r="Q130" s="145">
        <f>SUMIFS(Table2[NewPointsAway],Table2[GameDate], "&lt;=" &amp; $A130, Table2[AwayTeam], Q$1)+SUMIFS(Table2[NewPointsHome],Table2[GameDate], "&lt;=" &amp; $A130, Table2[HomeTeam], Q$1)</f>
        <v>33</v>
      </c>
      <c r="R130" s="145">
        <f>SUMIFS(Table2[NewPointsAway],Table2[GameDate], "&lt;=" &amp; $A130, Table2[AwayTeam], R$1)+SUMIFS(Table2[NewPointsHome],Table2[GameDate], "&lt;=" &amp; $A130, Table2[HomeTeam], R$1)</f>
        <v>24</v>
      </c>
      <c r="S130" s="145">
        <f>SUMIFS(Table2[NewPointsAway],Table2[GameDate], "&lt;=" &amp; $A130, Table2[AwayTeam], S$1)+SUMIFS(Table2[NewPointsHome],Table2[GameDate], "&lt;=" &amp; $A130, Table2[HomeTeam], S$1)</f>
        <v>35</v>
      </c>
      <c r="T130" s="145">
        <f>SUMIFS(Table2[NewPointsAway],Table2[GameDate], "&lt;=" &amp; $A130, Table2[AwayTeam], T$1)+SUMIFS(Table2[NewPointsHome],Table2[GameDate], "&lt;=" &amp; $A130, Table2[HomeTeam], T$1)</f>
        <v>34</v>
      </c>
      <c r="U130" s="145">
        <f>SUMIFS(Table2[NewPointsAway],Table2[GameDate], "&lt;=" &amp; $A130, Table2[AwayTeam], U$1)+SUMIFS(Table2[NewPointsHome],Table2[GameDate], "&lt;=" &amp; $A130, Table2[HomeTeam], U$1)</f>
        <v>30</v>
      </c>
      <c r="V130" s="145">
        <f>SUMIFS(Table2[NewPointsAway],Table2[GameDate], "&lt;=" &amp; $A130, Table2[AwayTeam], V$1)+SUMIFS(Table2[NewPointsHome],Table2[GameDate], "&lt;=" &amp; $A130, Table2[HomeTeam], V$1)</f>
        <v>32</v>
      </c>
      <c r="W130" s="145">
        <f>SUMIFS(Table2[NewPointsAway],Table2[GameDate], "&lt;=" &amp; $A130, Table2[AwayTeam], W$1)+SUMIFS(Table2[NewPointsHome],Table2[GameDate], "&lt;=" &amp; $A130, Table2[HomeTeam], W$1)</f>
        <v>34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31</v>
      </c>
      <c r="Z130" s="145">
        <f>SUMIFS(Table2[NewPointsAway],Table2[GameDate], "&lt;=" &amp; $A130, Table2[AwayTeam], Z$1)+SUMIFS(Table2[NewPointsHome],Table2[GameDate], "&lt;=" &amp; $A130, Table2[HomeTeam], Z$1)</f>
        <v>30</v>
      </c>
      <c r="AA130" s="145">
        <f>SUMIFS(Table2[NewPointsAway],Table2[GameDate], "&lt;=" &amp; $A130, Table2[AwayTeam], AA$1)+SUMIFS(Table2[NewPointsHome],Table2[GameDate], "&lt;=" &amp; $A130, Table2[HomeTeam], AA$1)</f>
        <v>34</v>
      </c>
      <c r="AB130" s="145">
        <f>SUMIFS(Table2[NewPointsAway],Table2[GameDate], "&lt;=" &amp; $A130, Table2[AwayTeam], AB$1)+SUMIFS(Table2[NewPointsHome],Table2[GameDate], "&lt;=" &amp; $A130, Table2[HomeTeam], AB$1)</f>
        <v>32</v>
      </c>
      <c r="AC130" s="145">
        <f>SUMIFS(Table2[NewPointsAway],Table2[GameDate], "&lt;=" &amp; $A130, Table2[AwayTeam], AC$1)+SUMIFS(Table2[NewPointsHome],Table2[GameDate], "&lt;=" &amp; $A130, Table2[HomeTeam], AC$1)</f>
        <v>31</v>
      </c>
      <c r="AD130" s="145">
        <f>SUMIFS(Table2[NewPointsAway],Table2[GameDate], "&lt;=" &amp; $A130, Table2[AwayTeam], AD$1)+SUMIFS(Table2[NewPointsHome],Table2[GameDate], "&lt;=" &amp; $A130, Table2[HomeTeam], AD$1)</f>
        <v>25</v>
      </c>
      <c r="AE130" s="145">
        <f>SUMIFS(Table2[NewPointsAway],Table2[GameDate], "&lt;=" &amp; $A130, Table2[AwayTeam], AE$1)+SUMIFS(Table2[NewPointsHome],Table2[GameDate], "&lt;=" &amp; $A130, Table2[HomeTeam], AE$1)</f>
        <v>36</v>
      </c>
      <c r="AF130" s="145">
        <f>SUMIFS(Table2[NewPointsAway],Table2[GameDate], "&lt;=" &amp; $A130, Table2[AwayTeam], AF$1)+SUMIFS(Table2[NewPointsHome],Table2[GameDate], "&lt;=" &amp; $A130, Table2[HomeTeam], AF$1)</f>
        <v>29</v>
      </c>
      <c r="AG130" s="145">
        <f>SUMIFS(Table2[NewPointsAway],Table2[GameDate], "&lt;=" &amp; $A130, Table2[AwayTeam], AG$1)+SUMIFS(Table2[NewPointsHome],Table2[GameDate], "&lt;=" &amp; $A130, Table2[HomeTeam], AG$1)</f>
        <v>39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37</v>
      </c>
      <c r="C131" s="145">
        <f>SUMIFS(Table2[NewPointsAway],Table2[GameDate], "&lt;=" &amp; $A131, Table2[AwayTeam], C$1)+SUMIFS(Table2[NewPointsHome],Table2[GameDate], "&lt;=" &amp; $A131, Table2[HomeTeam], C$1)</f>
        <v>34</v>
      </c>
      <c r="D131" s="145">
        <f>SUMIFS(Table2[NewPointsAway],Table2[GameDate], "&lt;=" &amp; $A131, Table2[AwayTeam], D$1)+SUMIFS(Table2[NewPointsHome],Table2[GameDate], "&lt;=" &amp; $A131, Table2[HomeTeam], D$1)</f>
        <v>26</v>
      </c>
      <c r="E131" s="145">
        <f>SUMIFS(Table2[NewPointsAway],Table2[GameDate], "&lt;=" &amp; $A131, Table2[AwayTeam], E$1)+SUMIFS(Table2[NewPointsHome],Table2[GameDate], "&lt;=" &amp; $A131, Table2[HomeTeam], E$1)</f>
        <v>36</v>
      </c>
      <c r="F131" s="145">
        <f>SUMIFS(Table2[NewPointsAway],Table2[GameDate], "&lt;=" &amp; $A131, Table2[AwayTeam], F$1)+SUMIFS(Table2[NewPointsHome],Table2[GameDate], "&lt;=" &amp; $A131, Table2[HomeTeam], F$1)</f>
        <v>32</v>
      </c>
      <c r="G131" s="145">
        <f>SUMIFS(Table2[NewPointsAway],Table2[GameDate], "&lt;=" &amp; $A131, Table2[AwayTeam], G$1)+SUMIFS(Table2[NewPointsHome],Table2[GameDate], "&lt;=" &amp; $A131, Table2[HomeTeam], G$1)</f>
        <v>28</v>
      </c>
      <c r="H131" s="145">
        <f>SUMIFS(Table2[NewPointsAway],Table2[GameDate], "&lt;=" &amp; $A131, Table2[AwayTeam], H$1)+SUMIFS(Table2[NewPointsHome],Table2[GameDate], "&lt;=" &amp; $A131, Table2[HomeTeam], H$1)</f>
        <v>30</v>
      </c>
      <c r="I131" s="145">
        <f>SUMIFS(Table2[NewPointsAway],Table2[GameDate], "&lt;=" &amp; $A131, Table2[AwayTeam], I$1)+SUMIFS(Table2[NewPointsHome],Table2[GameDate], "&lt;=" &amp; $A131, Table2[HomeTeam], I$1)</f>
        <v>48</v>
      </c>
      <c r="J131" s="145">
        <f>SUMIFS(Table2[NewPointsAway],Table2[GameDate], "&lt;=" &amp; $A131, Table2[AwayTeam], J$1)+SUMIFS(Table2[NewPointsHome],Table2[GameDate], "&lt;=" &amp; $A131, Table2[HomeTeam], J$1)</f>
        <v>45</v>
      </c>
      <c r="K131" s="145">
        <f>SUMIFS(Table2[NewPointsAway],Table2[GameDate], "&lt;=" &amp; $A131, Table2[AwayTeam], K$1)+SUMIFS(Table2[NewPointsHome],Table2[GameDate], "&lt;=" &amp; $A131, Table2[HomeTeam], K$1)</f>
        <v>35</v>
      </c>
      <c r="L131" s="145">
        <f>SUMIFS(Table2[NewPointsAway],Table2[GameDate], "&lt;=" &amp; $A131, Table2[AwayTeam], L$1)+SUMIFS(Table2[NewPointsHome],Table2[GameDate], "&lt;=" &amp; $A131, Table2[HomeTeam], L$1)</f>
        <v>31</v>
      </c>
      <c r="M131" s="145">
        <f>SUMIFS(Table2[NewPointsAway],Table2[GameDate], "&lt;=" &amp; $A131, Table2[AwayTeam], M$1)+SUMIFS(Table2[NewPointsHome],Table2[GameDate], "&lt;=" &amp; $A131, Table2[HomeTeam], M$1)</f>
        <v>30</v>
      </c>
      <c r="N131" s="145">
        <f>SUMIFS(Table2[NewPointsAway],Table2[GameDate], "&lt;=" &amp; $A131, Table2[AwayTeam], N$1)+SUMIFS(Table2[NewPointsHome],Table2[GameDate], "&lt;=" &amp; $A131, Table2[HomeTeam], N$1)</f>
        <v>35</v>
      </c>
      <c r="O131" s="145">
        <f>SUMIFS(Table2[NewPointsAway],Table2[GameDate], "&lt;=" &amp; $A131, Table2[AwayTeam], O$1)+SUMIFS(Table2[NewPointsHome],Table2[GameDate], "&lt;=" &amp; $A131, Table2[HomeTeam], O$1)</f>
        <v>37</v>
      </c>
      <c r="P131" s="145">
        <f>SUMIFS(Table2[NewPointsAway],Table2[GameDate], "&lt;=" &amp; $A131, Table2[AwayTeam], P$1)+SUMIFS(Table2[NewPointsHome],Table2[GameDate], "&lt;=" &amp; $A131, Table2[HomeTeam], P$1)</f>
        <v>33</v>
      </c>
      <c r="Q131" s="145">
        <f>SUMIFS(Table2[NewPointsAway],Table2[GameDate], "&lt;=" &amp; $A131, Table2[AwayTeam], Q$1)+SUMIFS(Table2[NewPointsHome],Table2[GameDate], "&lt;=" &amp; $A131, Table2[HomeTeam], Q$1)</f>
        <v>33</v>
      </c>
      <c r="R131" s="145">
        <f>SUMIFS(Table2[NewPointsAway],Table2[GameDate], "&lt;=" &amp; $A131, Table2[AwayTeam], R$1)+SUMIFS(Table2[NewPointsHome],Table2[GameDate], "&lt;=" &amp; $A131, Table2[HomeTeam], R$1)</f>
        <v>24</v>
      </c>
      <c r="S131" s="145">
        <f>SUMIFS(Table2[NewPointsAway],Table2[GameDate], "&lt;=" &amp; $A131, Table2[AwayTeam], S$1)+SUMIFS(Table2[NewPointsHome],Table2[GameDate], "&lt;=" &amp; $A131, Table2[HomeTeam], S$1)</f>
        <v>35</v>
      </c>
      <c r="T131" s="145">
        <f>SUMIFS(Table2[NewPointsAway],Table2[GameDate], "&lt;=" &amp; $A131, Table2[AwayTeam], T$1)+SUMIFS(Table2[NewPointsHome],Table2[GameDate], "&lt;=" &amp; $A131, Table2[HomeTeam], T$1)</f>
        <v>34</v>
      </c>
      <c r="U131" s="145">
        <f>SUMIFS(Table2[NewPointsAway],Table2[GameDate], "&lt;=" &amp; $A131, Table2[AwayTeam], U$1)+SUMIFS(Table2[NewPointsHome],Table2[GameDate], "&lt;=" &amp; $A131, Table2[HomeTeam], U$1)</f>
        <v>30</v>
      </c>
      <c r="V131" s="145">
        <f>SUMIFS(Table2[NewPointsAway],Table2[GameDate], "&lt;=" &amp; $A131, Table2[AwayTeam], V$1)+SUMIFS(Table2[NewPointsHome],Table2[GameDate], "&lt;=" &amp; $A131, Table2[HomeTeam], V$1)</f>
        <v>32</v>
      </c>
      <c r="W131" s="145">
        <f>SUMIFS(Table2[NewPointsAway],Table2[GameDate], "&lt;=" &amp; $A131, Table2[AwayTeam], W$1)+SUMIFS(Table2[NewPointsHome],Table2[GameDate], "&lt;=" &amp; $A131, Table2[HomeTeam], W$1)</f>
        <v>34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31</v>
      </c>
      <c r="Z131" s="145">
        <f>SUMIFS(Table2[NewPointsAway],Table2[GameDate], "&lt;=" &amp; $A131, Table2[AwayTeam], Z$1)+SUMIFS(Table2[NewPointsHome],Table2[GameDate], "&lt;=" &amp; $A131, Table2[HomeTeam], Z$1)</f>
        <v>30</v>
      </c>
      <c r="AA131" s="145">
        <f>SUMIFS(Table2[NewPointsAway],Table2[GameDate], "&lt;=" &amp; $A131, Table2[AwayTeam], AA$1)+SUMIFS(Table2[NewPointsHome],Table2[GameDate], "&lt;=" &amp; $A131, Table2[HomeTeam], AA$1)</f>
        <v>34</v>
      </c>
      <c r="AB131" s="145">
        <f>SUMIFS(Table2[NewPointsAway],Table2[GameDate], "&lt;=" &amp; $A131, Table2[AwayTeam], AB$1)+SUMIFS(Table2[NewPointsHome],Table2[GameDate], "&lt;=" &amp; $A131, Table2[HomeTeam], AB$1)</f>
        <v>32</v>
      </c>
      <c r="AC131" s="145">
        <f>SUMIFS(Table2[NewPointsAway],Table2[GameDate], "&lt;=" &amp; $A131, Table2[AwayTeam], AC$1)+SUMIFS(Table2[NewPointsHome],Table2[GameDate], "&lt;=" &amp; $A131, Table2[HomeTeam], AC$1)</f>
        <v>31</v>
      </c>
      <c r="AD131" s="145">
        <f>SUMIFS(Table2[NewPointsAway],Table2[GameDate], "&lt;=" &amp; $A131, Table2[AwayTeam], AD$1)+SUMIFS(Table2[NewPointsHome],Table2[GameDate], "&lt;=" &amp; $A131, Table2[HomeTeam], AD$1)</f>
        <v>25</v>
      </c>
      <c r="AE131" s="145">
        <f>SUMIFS(Table2[NewPointsAway],Table2[GameDate], "&lt;=" &amp; $A131, Table2[AwayTeam], AE$1)+SUMIFS(Table2[NewPointsHome],Table2[GameDate], "&lt;=" &amp; $A131, Table2[HomeTeam], AE$1)</f>
        <v>36</v>
      </c>
      <c r="AF131" s="145">
        <f>SUMIFS(Table2[NewPointsAway],Table2[GameDate], "&lt;=" &amp; $A131, Table2[AwayTeam], AF$1)+SUMIFS(Table2[NewPointsHome],Table2[GameDate], "&lt;=" &amp; $A131, Table2[HomeTeam], AF$1)</f>
        <v>29</v>
      </c>
      <c r="AG131" s="145">
        <f>SUMIFS(Table2[NewPointsAway],Table2[GameDate], "&lt;=" &amp; $A131, Table2[AwayTeam], AG$1)+SUMIFS(Table2[NewPointsHome],Table2[GameDate], "&lt;=" &amp; $A131, Table2[HomeTeam], AG$1)</f>
        <v>39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37</v>
      </c>
      <c r="C132" s="145">
        <f>SUMIFS(Table2[NewPointsAway],Table2[GameDate], "&lt;=" &amp; $A132, Table2[AwayTeam], C$1)+SUMIFS(Table2[NewPointsHome],Table2[GameDate], "&lt;=" &amp; $A132, Table2[HomeTeam], C$1)</f>
        <v>34</v>
      </c>
      <c r="D132" s="145">
        <f>SUMIFS(Table2[NewPointsAway],Table2[GameDate], "&lt;=" &amp; $A132, Table2[AwayTeam], D$1)+SUMIFS(Table2[NewPointsHome],Table2[GameDate], "&lt;=" &amp; $A132, Table2[HomeTeam], D$1)</f>
        <v>26</v>
      </c>
      <c r="E132" s="145">
        <f>SUMIFS(Table2[NewPointsAway],Table2[GameDate], "&lt;=" &amp; $A132, Table2[AwayTeam], E$1)+SUMIFS(Table2[NewPointsHome],Table2[GameDate], "&lt;=" &amp; $A132, Table2[HomeTeam], E$1)</f>
        <v>36</v>
      </c>
      <c r="F132" s="145">
        <f>SUMIFS(Table2[NewPointsAway],Table2[GameDate], "&lt;=" &amp; $A132, Table2[AwayTeam], F$1)+SUMIFS(Table2[NewPointsHome],Table2[GameDate], "&lt;=" &amp; $A132, Table2[HomeTeam], F$1)</f>
        <v>32</v>
      </c>
      <c r="G132" s="145">
        <f>SUMIFS(Table2[NewPointsAway],Table2[GameDate], "&lt;=" &amp; $A132, Table2[AwayTeam], G$1)+SUMIFS(Table2[NewPointsHome],Table2[GameDate], "&lt;=" &amp; $A132, Table2[HomeTeam], G$1)</f>
        <v>28</v>
      </c>
      <c r="H132" s="145">
        <f>SUMIFS(Table2[NewPointsAway],Table2[GameDate], "&lt;=" &amp; $A132, Table2[AwayTeam], H$1)+SUMIFS(Table2[NewPointsHome],Table2[GameDate], "&lt;=" &amp; $A132, Table2[HomeTeam], H$1)</f>
        <v>30</v>
      </c>
      <c r="I132" s="145">
        <f>SUMIFS(Table2[NewPointsAway],Table2[GameDate], "&lt;=" &amp; $A132, Table2[AwayTeam], I$1)+SUMIFS(Table2[NewPointsHome],Table2[GameDate], "&lt;=" &amp; $A132, Table2[HomeTeam], I$1)</f>
        <v>48</v>
      </c>
      <c r="J132" s="145">
        <f>SUMIFS(Table2[NewPointsAway],Table2[GameDate], "&lt;=" &amp; $A132, Table2[AwayTeam], J$1)+SUMIFS(Table2[NewPointsHome],Table2[GameDate], "&lt;=" &amp; $A132, Table2[HomeTeam], J$1)</f>
        <v>45</v>
      </c>
      <c r="K132" s="145">
        <f>SUMIFS(Table2[NewPointsAway],Table2[GameDate], "&lt;=" &amp; $A132, Table2[AwayTeam], K$1)+SUMIFS(Table2[NewPointsHome],Table2[GameDate], "&lt;=" &amp; $A132, Table2[HomeTeam], K$1)</f>
        <v>35</v>
      </c>
      <c r="L132" s="145">
        <f>SUMIFS(Table2[NewPointsAway],Table2[GameDate], "&lt;=" &amp; $A132, Table2[AwayTeam], L$1)+SUMIFS(Table2[NewPointsHome],Table2[GameDate], "&lt;=" &amp; $A132, Table2[HomeTeam], L$1)</f>
        <v>31</v>
      </c>
      <c r="M132" s="145">
        <f>SUMIFS(Table2[NewPointsAway],Table2[GameDate], "&lt;=" &amp; $A132, Table2[AwayTeam], M$1)+SUMIFS(Table2[NewPointsHome],Table2[GameDate], "&lt;=" &amp; $A132, Table2[HomeTeam], M$1)</f>
        <v>30</v>
      </c>
      <c r="N132" s="145">
        <f>SUMIFS(Table2[NewPointsAway],Table2[GameDate], "&lt;=" &amp; $A132, Table2[AwayTeam], N$1)+SUMIFS(Table2[NewPointsHome],Table2[GameDate], "&lt;=" &amp; $A132, Table2[HomeTeam], N$1)</f>
        <v>35</v>
      </c>
      <c r="O132" s="145">
        <f>SUMIFS(Table2[NewPointsAway],Table2[GameDate], "&lt;=" &amp; $A132, Table2[AwayTeam], O$1)+SUMIFS(Table2[NewPointsHome],Table2[GameDate], "&lt;=" &amp; $A132, Table2[HomeTeam], O$1)</f>
        <v>37</v>
      </c>
      <c r="P132" s="145">
        <f>SUMIFS(Table2[NewPointsAway],Table2[GameDate], "&lt;=" &amp; $A132, Table2[AwayTeam], P$1)+SUMIFS(Table2[NewPointsHome],Table2[GameDate], "&lt;=" &amp; $A132, Table2[HomeTeam], P$1)</f>
        <v>33</v>
      </c>
      <c r="Q132" s="145">
        <f>SUMIFS(Table2[NewPointsAway],Table2[GameDate], "&lt;=" &amp; $A132, Table2[AwayTeam], Q$1)+SUMIFS(Table2[NewPointsHome],Table2[GameDate], "&lt;=" &amp; $A132, Table2[HomeTeam], Q$1)</f>
        <v>33</v>
      </c>
      <c r="R132" s="145">
        <f>SUMIFS(Table2[NewPointsAway],Table2[GameDate], "&lt;=" &amp; $A132, Table2[AwayTeam], R$1)+SUMIFS(Table2[NewPointsHome],Table2[GameDate], "&lt;=" &amp; $A132, Table2[HomeTeam], R$1)</f>
        <v>24</v>
      </c>
      <c r="S132" s="145">
        <f>SUMIFS(Table2[NewPointsAway],Table2[GameDate], "&lt;=" &amp; $A132, Table2[AwayTeam], S$1)+SUMIFS(Table2[NewPointsHome],Table2[GameDate], "&lt;=" &amp; $A132, Table2[HomeTeam], S$1)</f>
        <v>35</v>
      </c>
      <c r="T132" s="145">
        <f>SUMIFS(Table2[NewPointsAway],Table2[GameDate], "&lt;=" &amp; $A132, Table2[AwayTeam], T$1)+SUMIFS(Table2[NewPointsHome],Table2[GameDate], "&lt;=" &amp; $A132, Table2[HomeTeam], T$1)</f>
        <v>34</v>
      </c>
      <c r="U132" s="145">
        <f>SUMIFS(Table2[NewPointsAway],Table2[GameDate], "&lt;=" &amp; $A132, Table2[AwayTeam], U$1)+SUMIFS(Table2[NewPointsHome],Table2[GameDate], "&lt;=" &amp; $A132, Table2[HomeTeam], U$1)</f>
        <v>30</v>
      </c>
      <c r="V132" s="145">
        <f>SUMIFS(Table2[NewPointsAway],Table2[GameDate], "&lt;=" &amp; $A132, Table2[AwayTeam], V$1)+SUMIFS(Table2[NewPointsHome],Table2[GameDate], "&lt;=" &amp; $A132, Table2[HomeTeam], V$1)</f>
        <v>32</v>
      </c>
      <c r="W132" s="145">
        <f>SUMIFS(Table2[NewPointsAway],Table2[GameDate], "&lt;=" &amp; $A132, Table2[AwayTeam], W$1)+SUMIFS(Table2[NewPointsHome],Table2[GameDate], "&lt;=" &amp; $A132, Table2[HomeTeam], W$1)</f>
        <v>34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31</v>
      </c>
      <c r="Z132" s="145">
        <f>SUMIFS(Table2[NewPointsAway],Table2[GameDate], "&lt;=" &amp; $A132, Table2[AwayTeam], Z$1)+SUMIFS(Table2[NewPointsHome],Table2[GameDate], "&lt;=" &amp; $A132, Table2[HomeTeam], Z$1)</f>
        <v>30</v>
      </c>
      <c r="AA132" s="145">
        <f>SUMIFS(Table2[NewPointsAway],Table2[GameDate], "&lt;=" &amp; $A132, Table2[AwayTeam], AA$1)+SUMIFS(Table2[NewPointsHome],Table2[GameDate], "&lt;=" &amp; $A132, Table2[HomeTeam], AA$1)</f>
        <v>34</v>
      </c>
      <c r="AB132" s="145">
        <f>SUMIFS(Table2[NewPointsAway],Table2[GameDate], "&lt;=" &amp; $A132, Table2[AwayTeam], AB$1)+SUMIFS(Table2[NewPointsHome],Table2[GameDate], "&lt;=" &amp; $A132, Table2[HomeTeam], AB$1)</f>
        <v>32</v>
      </c>
      <c r="AC132" s="145">
        <f>SUMIFS(Table2[NewPointsAway],Table2[GameDate], "&lt;=" &amp; $A132, Table2[AwayTeam], AC$1)+SUMIFS(Table2[NewPointsHome],Table2[GameDate], "&lt;=" &amp; $A132, Table2[HomeTeam], AC$1)</f>
        <v>31</v>
      </c>
      <c r="AD132" s="145">
        <f>SUMIFS(Table2[NewPointsAway],Table2[GameDate], "&lt;=" &amp; $A132, Table2[AwayTeam], AD$1)+SUMIFS(Table2[NewPointsHome],Table2[GameDate], "&lt;=" &amp; $A132, Table2[HomeTeam], AD$1)</f>
        <v>25</v>
      </c>
      <c r="AE132" s="145">
        <f>SUMIFS(Table2[NewPointsAway],Table2[GameDate], "&lt;=" &amp; $A132, Table2[AwayTeam], AE$1)+SUMIFS(Table2[NewPointsHome],Table2[GameDate], "&lt;=" &amp; $A132, Table2[HomeTeam], AE$1)</f>
        <v>36</v>
      </c>
      <c r="AF132" s="145">
        <f>SUMIFS(Table2[NewPointsAway],Table2[GameDate], "&lt;=" &amp; $A132, Table2[AwayTeam], AF$1)+SUMIFS(Table2[NewPointsHome],Table2[GameDate], "&lt;=" &amp; $A132, Table2[HomeTeam], AF$1)</f>
        <v>29</v>
      </c>
      <c r="AG132" s="145">
        <f>SUMIFS(Table2[NewPointsAway],Table2[GameDate], "&lt;=" &amp; $A132, Table2[AwayTeam], AG$1)+SUMIFS(Table2[NewPointsHome],Table2[GameDate], "&lt;=" &amp; $A132, Table2[HomeTeam], AG$1)</f>
        <v>39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37</v>
      </c>
      <c r="C133" s="145">
        <f>SUMIFS(Table2[NewPointsAway],Table2[GameDate], "&lt;=" &amp; $A133, Table2[AwayTeam], C$1)+SUMIFS(Table2[NewPointsHome],Table2[GameDate], "&lt;=" &amp; $A133, Table2[HomeTeam], C$1)</f>
        <v>34</v>
      </c>
      <c r="D133" s="145">
        <f>SUMIFS(Table2[NewPointsAway],Table2[GameDate], "&lt;=" &amp; $A133, Table2[AwayTeam], D$1)+SUMIFS(Table2[NewPointsHome],Table2[GameDate], "&lt;=" &amp; $A133, Table2[HomeTeam], D$1)</f>
        <v>26</v>
      </c>
      <c r="E133" s="145">
        <f>SUMIFS(Table2[NewPointsAway],Table2[GameDate], "&lt;=" &amp; $A133, Table2[AwayTeam], E$1)+SUMIFS(Table2[NewPointsHome],Table2[GameDate], "&lt;=" &amp; $A133, Table2[HomeTeam], E$1)</f>
        <v>36</v>
      </c>
      <c r="F133" s="145">
        <f>SUMIFS(Table2[NewPointsAway],Table2[GameDate], "&lt;=" &amp; $A133, Table2[AwayTeam], F$1)+SUMIFS(Table2[NewPointsHome],Table2[GameDate], "&lt;=" &amp; $A133, Table2[HomeTeam], F$1)</f>
        <v>32</v>
      </c>
      <c r="G133" s="145">
        <f>SUMIFS(Table2[NewPointsAway],Table2[GameDate], "&lt;=" &amp; $A133, Table2[AwayTeam], G$1)+SUMIFS(Table2[NewPointsHome],Table2[GameDate], "&lt;=" &amp; $A133, Table2[HomeTeam], G$1)</f>
        <v>28</v>
      </c>
      <c r="H133" s="145">
        <f>SUMIFS(Table2[NewPointsAway],Table2[GameDate], "&lt;=" &amp; $A133, Table2[AwayTeam], H$1)+SUMIFS(Table2[NewPointsHome],Table2[GameDate], "&lt;=" &amp; $A133, Table2[HomeTeam], H$1)</f>
        <v>30</v>
      </c>
      <c r="I133" s="145">
        <f>SUMIFS(Table2[NewPointsAway],Table2[GameDate], "&lt;=" &amp; $A133, Table2[AwayTeam], I$1)+SUMIFS(Table2[NewPointsHome],Table2[GameDate], "&lt;=" &amp; $A133, Table2[HomeTeam], I$1)</f>
        <v>48</v>
      </c>
      <c r="J133" s="145">
        <f>SUMIFS(Table2[NewPointsAway],Table2[GameDate], "&lt;=" &amp; $A133, Table2[AwayTeam], J$1)+SUMIFS(Table2[NewPointsHome],Table2[GameDate], "&lt;=" &amp; $A133, Table2[HomeTeam], J$1)</f>
        <v>45</v>
      </c>
      <c r="K133" s="145">
        <f>SUMIFS(Table2[NewPointsAway],Table2[GameDate], "&lt;=" &amp; $A133, Table2[AwayTeam], K$1)+SUMIFS(Table2[NewPointsHome],Table2[GameDate], "&lt;=" &amp; $A133, Table2[HomeTeam], K$1)</f>
        <v>35</v>
      </c>
      <c r="L133" s="145">
        <f>SUMIFS(Table2[NewPointsAway],Table2[GameDate], "&lt;=" &amp; $A133, Table2[AwayTeam], L$1)+SUMIFS(Table2[NewPointsHome],Table2[GameDate], "&lt;=" &amp; $A133, Table2[HomeTeam], L$1)</f>
        <v>31</v>
      </c>
      <c r="M133" s="145">
        <f>SUMIFS(Table2[NewPointsAway],Table2[GameDate], "&lt;=" &amp; $A133, Table2[AwayTeam], M$1)+SUMIFS(Table2[NewPointsHome],Table2[GameDate], "&lt;=" &amp; $A133, Table2[HomeTeam], M$1)</f>
        <v>30</v>
      </c>
      <c r="N133" s="145">
        <f>SUMIFS(Table2[NewPointsAway],Table2[GameDate], "&lt;=" &amp; $A133, Table2[AwayTeam], N$1)+SUMIFS(Table2[NewPointsHome],Table2[GameDate], "&lt;=" &amp; $A133, Table2[HomeTeam], N$1)</f>
        <v>35</v>
      </c>
      <c r="O133" s="145">
        <f>SUMIFS(Table2[NewPointsAway],Table2[GameDate], "&lt;=" &amp; $A133, Table2[AwayTeam], O$1)+SUMIFS(Table2[NewPointsHome],Table2[GameDate], "&lt;=" &amp; $A133, Table2[HomeTeam], O$1)</f>
        <v>37</v>
      </c>
      <c r="P133" s="145">
        <f>SUMIFS(Table2[NewPointsAway],Table2[GameDate], "&lt;=" &amp; $A133, Table2[AwayTeam], P$1)+SUMIFS(Table2[NewPointsHome],Table2[GameDate], "&lt;=" &amp; $A133, Table2[HomeTeam], P$1)</f>
        <v>33</v>
      </c>
      <c r="Q133" s="145">
        <f>SUMIFS(Table2[NewPointsAway],Table2[GameDate], "&lt;=" &amp; $A133, Table2[AwayTeam], Q$1)+SUMIFS(Table2[NewPointsHome],Table2[GameDate], "&lt;=" &amp; $A133, Table2[HomeTeam], Q$1)</f>
        <v>33</v>
      </c>
      <c r="R133" s="145">
        <f>SUMIFS(Table2[NewPointsAway],Table2[GameDate], "&lt;=" &amp; $A133, Table2[AwayTeam], R$1)+SUMIFS(Table2[NewPointsHome],Table2[GameDate], "&lt;=" &amp; $A133, Table2[HomeTeam], R$1)</f>
        <v>24</v>
      </c>
      <c r="S133" s="145">
        <f>SUMIFS(Table2[NewPointsAway],Table2[GameDate], "&lt;=" &amp; $A133, Table2[AwayTeam], S$1)+SUMIFS(Table2[NewPointsHome],Table2[GameDate], "&lt;=" &amp; $A133, Table2[HomeTeam], S$1)</f>
        <v>35</v>
      </c>
      <c r="T133" s="145">
        <f>SUMIFS(Table2[NewPointsAway],Table2[GameDate], "&lt;=" &amp; $A133, Table2[AwayTeam], T$1)+SUMIFS(Table2[NewPointsHome],Table2[GameDate], "&lt;=" &amp; $A133, Table2[HomeTeam], T$1)</f>
        <v>34</v>
      </c>
      <c r="U133" s="145">
        <f>SUMIFS(Table2[NewPointsAway],Table2[GameDate], "&lt;=" &amp; $A133, Table2[AwayTeam], U$1)+SUMIFS(Table2[NewPointsHome],Table2[GameDate], "&lt;=" &amp; $A133, Table2[HomeTeam], U$1)</f>
        <v>30</v>
      </c>
      <c r="V133" s="145">
        <f>SUMIFS(Table2[NewPointsAway],Table2[GameDate], "&lt;=" &amp; $A133, Table2[AwayTeam], V$1)+SUMIFS(Table2[NewPointsHome],Table2[GameDate], "&lt;=" &amp; $A133, Table2[HomeTeam], V$1)</f>
        <v>32</v>
      </c>
      <c r="W133" s="145">
        <f>SUMIFS(Table2[NewPointsAway],Table2[GameDate], "&lt;=" &amp; $A133, Table2[AwayTeam], W$1)+SUMIFS(Table2[NewPointsHome],Table2[GameDate], "&lt;=" &amp; $A133, Table2[HomeTeam], W$1)</f>
        <v>34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31</v>
      </c>
      <c r="Z133" s="145">
        <f>SUMIFS(Table2[NewPointsAway],Table2[GameDate], "&lt;=" &amp; $A133, Table2[AwayTeam], Z$1)+SUMIFS(Table2[NewPointsHome],Table2[GameDate], "&lt;=" &amp; $A133, Table2[HomeTeam], Z$1)</f>
        <v>30</v>
      </c>
      <c r="AA133" s="145">
        <f>SUMIFS(Table2[NewPointsAway],Table2[GameDate], "&lt;=" &amp; $A133, Table2[AwayTeam], AA$1)+SUMIFS(Table2[NewPointsHome],Table2[GameDate], "&lt;=" &amp; $A133, Table2[HomeTeam], AA$1)</f>
        <v>34</v>
      </c>
      <c r="AB133" s="145">
        <f>SUMIFS(Table2[NewPointsAway],Table2[GameDate], "&lt;=" &amp; $A133, Table2[AwayTeam], AB$1)+SUMIFS(Table2[NewPointsHome],Table2[GameDate], "&lt;=" &amp; $A133, Table2[HomeTeam], AB$1)</f>
        <v>32</v>
      </c>
      <c r="AC133" s="145">
        <f>SUMIFS(Table2[NewPointsAway],Table2[GameDate], "&lt;=" &amp; $A133, Table2[AwayTeam], AC$1)+SUMIFS(Table2[NewPointsHome],Table2[GameDate], "&lt;=" &amp; $A133, Table2[HomeTeam], AC$1)</f>
        <v>31</v>
      </c>
      <c r="AD133" s="145">
        <f>SUMIFS(Table2[NewPointsAway],Table2[GameDate], "&lt;=" &amp; $A133, Table2[AwayTeam], AD$1)+SUMIFS(Table2[NewPointsHome],Table2[GameDate], "&lt;=" &amp; $A133, Table2[HomeTeam], AD$1)</f>
        <v>25</v>
      </c>
      <c r="AE133" s="145">
        <f>SUMIFS(Table2[NewPointsAway],Table2[GameDate], "&lt;=" &amp; $A133, Table2[AwayTeam], AE$1)+SUMIFS(Table2[NewPointsHome],Table2[GameDate], "&lt;=" &amp; $A133, Table2[HomeTeam], AE$1)</f>
        <v>36</v>
      </c>
      <c r="AF133" s="145">
        <f>SUMIFS(Table2[NewPointsAway],Table2[GameDate], "&lt;=" &amp; $A133, Table2[AwayTeam], AF$1)+SUMIFS(Table2[NewPointsHome],Table2[GameDate], "&lt;=" &amp; $A133, Table2[HomeTeam], AF$1)</f>
        <v>29</v>
      </c>
      <c r="AG133" s="145">
        <f>SUMIFS(Table2[NewPointsAway],Table2[GameDate], "&lt;=" &amp; $A133, Table2[AwayTeam], AG$1)+SUMIFS(Table2[NewPointsHome],Table2[GameDate], "&lt;=" &amp; $A133, Table2[HomeTeam], AG$1)</f>
        <v>39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37</v>
      </c>
      <c r="C134" s="145">
        <f>SUMIFS(Table2[NewPointsAway],Table2[GameDate], "&lt;=" &amp; $A134, Table2[AwayTeam], C$1)+SUMIFS(Table2[NewPointsHome],Table2[GameDate], "&lt;=" &amp; $A134, Table2[HomeTeam], C$1)</f>
        <v>34</v>
      </c>
      <c r="D134" s="145">
        <f>SUMIFS(Table2[NewPointsAway],Table2[GameDate], "&lt;=" &amp; $A134, Table2[AwayTeam], D$1)+SUMIFS(Table2[NewPointsHome],Table2[GameDate], "&lt;=" &amp; $A134, Table2[HomeTeam], D$1)</f>
        <v>26</v>
      </c>
      <c r="E134" s="145">
        <f>SUMIFS(Table2[NewPointsAway],Table2[GameDate], "&lt;=" &amp; $A134, Table2[AwayTeam], E$1)+SUMIFS(Table2[NewPointsHome],Table2[GameDate], "&lt;=" &amp; $A134, Table2[HomeTeam], E$1)</f>
        <v>36</v>
      </c>
      <c r="F134" s="145">
        <f>SUMIFS(Table2[NewPointsAway],Table2[GameDate], "&lt;=" &amp; $A134, Table2[AwayTeam], F$1)+SUMIFS(Table2[NewPointsHome],Table2[GameDate], "&lt;=" &amp; $A134, Table2[HomeTeam], F$1)</f>
        <v>32</v>
      </c>
      <c r="G134" s="145">
        <f>SUMIFS(Table2[NewPointsAway],Table2[GameDate], "&lt;=" &amp; $A134, Table2[AwayTeam], G$1)+SUMIFS(Table2[NewPointsHome],Table2[GameDate], "&lt;=" &amp; $A134, Table2[HomeTeam], G$1)</f>
        <v>28</v>
      </c>
      <c r="H134" s="145">
        <f>SUMIFS(Table2[NewPointsAway],Table2[GameDate], "&lt;=" &amp; $A134, Table2[AwayTeam], H$1)+SUMIFS(Table2[NewPointsHome],Table2[GameDate], "&lt;=" &amp; $A134, Table2[HomeTeam], H$1)</f>
        <v>30</v>
      </c>
      <c r="I134" s="145">
        <f>SUMIFS(Table2[NewPointsAway],Table2[GameDate], "&lt;=" &amp; $A134, Table2[AwayTeam], I$1)+SUMIFS(Table2[NewPointsHome],Table2[GameDate], "&lt;=" &amp; $A134, Table2[HomeTeam], I$1)</f>
        <v>48</v>
      </c>
      <c r="J134" s="145">
        <f>SUMIFS(Table2[NewPointsAway],Table2[GameDate], "&lt;=" &amp; $A134, Table2[AwayTeam], J$1)+SUMIFS(Table2[NewPointsHome],Table2[GameDate], "&lt;=" &amp; $A134, Table2[HomeTeam], J$1)</f>
        <v>45</v>
      </c>
      <c r="K134" s="145">
        <f>SUMIFS(Table2[NewPointsAway],Table2[GameDate], "&lt;=" &amp; $A134, Table2[AwayTeam], K$1)+SUMIFS(Table2[NewPointsHome],Table2[GameDate], "&lt;=" &amp; $A134, Table2[HomeTeam], K$1)</f>
        <v>35</v>
      </c>
      <c r="L134" s="145">
        <f>SUMIFS(Table2[NewPointsAway],Table2[GameDate], "&lt;=" &amp; $A134, Table2[AwayTeam], L$1)+SUMIFS(Table2[NewPointsHome],Table2[GameDate], "&lt;=" &amp; $A134, Table2[HomeTeam], L$1)</f>
        <v>31</v>
      </c>
      <c r="M134" s="145">
        <f>SUMIFS(Table2[NewPointsAway],Table2[GameDate], "&lt;=" &amp; $A134, Table2[AwayTeam], M$1)+SUMIFS(Table2[NewPointsHome],Table2[GameDate], "&lt;=" &amp; $A134, Table2[HomeTeam], M$1)</f>
        <v>30</v>
      </c>
      <c r="N134" s="145">
        <f>SUMIFS(Table2[NewPointsAway],Table2[GameDate], "&lt;=" &amp; $A134, Table2[AwayTeam], N$1)+SUMIFS(Table2[NewPointsHome],Table2[GameDate], "&lt;=" &amp; $A134, Table2[HomeTeam], N$1)</f>
        <v>35</v>
      </c>
      <c r="O134" s="145">
        <f>SUMIFS(Table2[NewPointsAway],Table2[GameDate], "&lt;=" &amp; $A134, Table2[AwayTeam], O$1)+SUMIFS(Table2[NewPointsHome],Table2[GameDate], "&lt;=" &amp; $A134, Table2[HomeTeam], O$1)</f>
        <v>37</v>
      </c>
      <c r="P134" s="145">
        <f>SUMIFS(Table2[NewPointsAway],Table2[GameDate], "&lt;=" &amp; $A134, Table2[AwayTeam], P$1)+SUMIFS(Table2[NewPointsHome],Table2[GameDate], "&lt;=" &amp; $A134, Table2[HomeTeam], P$1)</f>
        <v>33</v>
      </c>
      <c r="Q134" s="145">
        <f>SUMIFS(Table2[NewPointsAway],Table2[GameDate], "&lt;=" &amp; $A134, Table2[AwayTeam], Q$1)+SUMIFS(Table2[NewPointsHome],Table2[GameDate], "&lt;=" &amp; $A134, Table2[HomeTeam], Q$1)</f>
        <v>33</v>
      </c>
      <c r="R134" s="145">
        <f>SUMIFS(Table2[NewPointsAway],Table2[GameDate], "&lt;=" &amp; $A134, Table2[AwayTeam], R$1)+SUMIFS(Table2[NewPointsHome],Table2[GameDate], "&lt;=" &amp; $A134, Table2[HomeTeam], R$1)</f>
        <v>24</v>
      </c>
      <c r="S134" s="145">
        <f>SUMIFS(Table2[NewPointsAway],Table2[GameDate], "&lt;=" &amp; $A134, Table2[AwayTeam], S$1)+SUMIFS(Table2[NewPointsHome],Table2[GameDate], "&lt;=" &amp; $A134, Table2[HomeTeam], S$1)</f>
        <v>35</v>
      </c>
      <c r="T134" s="145">
        <f>SUMIFS(Table2[NewPointsAway],Table2[GameDate], "&lt;=" &amp; $A134, Table2[AwayTeam], T$1)+SUMIFS(Table2[NewPointsHome],Table2[GameDate], "&lt;=" &amp; $A134, Table2[HomeTeam], T$1)</f>
        <v>34</v>
      </c>
      <c r="U134" s="145">
        <f>SUMIFS(Table2[NewPointsAway],Table2[GameDate], "&lt;=" &amp; $A134, Table2[AwayTeam], U$1)+SUMIFS(Table2[NewPointsHome],Table2[GameDate], "&lt;=" &amp; $A134, Table2[HomeTeam], U$1)</f>
        <v>30</v>
      </c>
      <c r="V134" s="145">
        <f>SUMIFS(Table2[NewPointsAway],Table2[GameDate], "&lt;=" &amp; $A134, Table2[AwayTeam], V$1)+SUMIFS(Table2[NewPointsHome],Table2[GameDate], "&lt;=" &amp; $A134, Table2[HomeTeam], V$1)</f>
        <v>32</v>
      </c>
      <c r="W134" s="145">
        <f>SUMIFS(Table2[NewPointsAway],Table2[GameDate], "&lt;=" &amp; $A134, Table2[AwayTeam], W$1)+SUMIFS(Table2[NewPointsHome],Table2[GameDate], "&lt;=" &amp; $A134, Table2[HomeTeam], W$1)</f>
        <v>34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31</v>
      </c>
      <c r="Z134" s="145">
        <f>SUMIFS(Table2[NewPointsAway],Table2[GameDate], "&lt;=" &amp; $A134, Table2[AwayTeam], Z$1)+SUMIFS(Table2[NewPointsHome],Table2[GameDate], "&lt;=" &amp; $A134, Table2[HomeTeam], Z$1)</f>
        <v>30</v>
      </c>
      <c r="AA134" s="145">
        <f>SUMIFS(Table2[NewPointsAway],Table2[GameDate], "&lt;=" &amp; $A134, Table2[AwayTeam], AA$1)+SUMIFS(Table2[NewPointsHome],Table2[GameDate], "&lt;=" &amp; $A134, Table2[HomeTeam], AA$1)</f>
        <v>34</v>
      </c>
      <c r="AB134" s="145">
        <f>SUMIFS(Table2[NewPointsAway],Table2[GameDate], "&lt;=" &amp; $A134, Table2[AwayTeam], AB$1)+SUMIFS(Table2[NewPointsHome],Table2[GameDate], "&lt;=" &amp; $A134, Table2[HomeTeam], AB$1)</f>
        <v>32</v>
      </c>
      <c r="AC134" s="145">
        <f>SUMIFS(Table2[NewPointsAway],Table2[GameDate], "&lt;=" &amp; $A134, Table2[AwayTeam], AC$1)+SUMIFS(Table2[NewPointsHome],Table2[GameDate], "&lt;=" &amp; $A134, Table2[HomeTeam], AC$1)</f>
        <v>31</v>
      </c>
      <c r="AD134" s="145">
        <f>SUMIFS(Table2[NewPointsAway],Table2[GameDate], "&lt;=" &amp; $A134, Table2[AwayTeam], AD$1)+SUMIFS(Table2[NewPointsHome],Table2[GameDate], "&lt;=" &amp; $A134, Table2[HomeTeam], AD$1)</f>
        <v>25</v>
      </c>
      <c r="AE134" s="145">
        <f>SUMIFS(Table2[NewPointsAway],Table2[GameDate], "&lt;=" &amp; $A134, Table2[AwayTeam], AE$1)+SUMIFS(Table2[NewPointsHome],Table2[GameDate], "&lt;=" &amp; $A134, Table2[HomeTeam], AE$1)</f>
        <v>36</v>
      </c>
      <c r="AF134" s="145">
        <f>SUMIFS(Table2[NewPointsAway],Table2[GameDate], "&lt;=" &amp; $A134, Table2[AwayTeam], AF$1)+SUMIFS(Table2[NewPointsHome],Table2[GameDate], "&lt;=" &amp; $A134, Table2[HomeTeam], AF$1)</f>
        <v>29</v>
      </c>
      <c r="AG134" s="145">
        <f>SUMIFS(Table2[NewPointsAway],Table2[GameDate], "&lt;=" &amp; $A134, Table2[AwayTeam], AG$1)+SUMIFS(Table2[NewPointsHome],Table2[GameDate], "&lt;=" &amp; $A134, Table2[HomeTeam], AG$1)</f>
        <v>39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37</v>
      </c>
      <c r="C135" s="145">
        <f>SUMIFS(Table2[NewPointsAway],Table2[GameDate], "&lt;=" &amp; $A135, Table2[AwayTeam], C$1)+SUMIFS(Table2[NewPointsHome],Table2[GameDate], "&lt;=" &amp; $A135, Table2[HomeTeam], C$1)</f>
        <v>34</v>
      </c>
      <c r="D135" s="145">
        <f>SUMIFS(Table2[NewPointsAway],Table2[GameDate], "&lt;=" &amp; $A135, Table2[AwayTeam], D$1)+SUMIFS(Table2[NewPointsHome],Table2[GameDate], "&lt;=" &amp; $A135, Table2[HomeTeam], D$1)</f>
        <v>26</v>
      </c>
      <c r="E135" s="145">
        <f>SUMIFS(Table2[NewPointsAway],Table2[GameDate], "&lt;=" &amp; $A135, Table2[AwayTeam], E$1)+SUMIFS(Table2[NewPointsHome],Table2[GameDate], "&lt;=" &amp; $A135, Table2[HomeTeam], E$1)</f>
        <v>36</v>
      </c>
      <c r="F135" s="145">
        <f>SUMIFS(Table2[NewPointsAway],Table2[GameDate], "&lt;=" &amp; $A135, Table2[AwayTeam], F$1)+SUMIFS(Table2[NewPointsHome],Table2[GameDate], "&lt;=" &amp; $A135, Table2[HomeTeam], F$1)</f>
        <v>32</v>
      </c>
      <c r="G135" s="145">
        <f>SUMIFS(Table2[NewPointsAway],Table2[GameDate], "&lt;=" &amp; $A135, Table2[AwayTeam], G$1)+SUMIFS(Table2[NewPointsHome],Table2[GameDate], "&lt;=" &amp; $A135, Table2[HomeTeam], G$1)</f>
        <v>28</v>
      </c>
      <c r="H135" s="145">
        <f>SUMIFS(Table2[NewPointsAway],Table2[GameDate], "&lt;=" &amp; $A135, Table2[AwayTeam], H$1)+SUMIFS(Table2[NewPointsHome],Table2[GameDate], "&lt;=" &amp; $A135, Table2[HomeTeam], H$1)</f>
        <v>30</v>
      </c>
      <c r="I135" s="145">
        <f>SUMIFS(Table2[NewPointsAway],Table2[GameDate], "&lt;=" &amp; $A135, Table2[AwayTeam], I$1)+SUMIFS(Table2[NewPointsHome],Table2[GameDate], "&lt;=" &amp; $A135, Table2[HomeTeam], I$1)</f>
        <v>48</v>
      </c>
      <c r="J135" s="145">
        <f>SUMIFS(Table2[NewPointsAway],Table2[GameDate], "&lt;=" &amp; $A135, Table2[AwayTeam], J$1)+SUMIFS(Table2[NewPointsHome],Table2[GameDate], "&lt;=" &amp; $A135, Table2[HomeTeam], J$1)</f>
        <v>45</v>
      </c>
      <c r="K135" s="145">
        <f>SUMIFS(Table2[NewPointsAway],Table2[GameDate], "&lt;=" &amp; $A135, Table2[AwayTeam], K$1)+SUMIFS(Table2[NewPointsHome],Table2[GameDate], "&lt;=" &amp; $A135, Table2[HomeTeam], K$1)</f>
        <v>35</v>
      </c>
      <c r="L135" s="145">
        <f>SUMIFS(Table2[NewPointsAway],Table2[GameDate], "&lt;=" &amp; $A135, Table2[AwayTeam], L$1)+SUMIFS(Table2[NewPointsHome],Table2[GameDate], "&lt;=" &amp; $A135, Table2[HomeTeam], L$1)</f>
        <v>31</v>
      </c>
      <c r="M135" s="145">
        <f>SUMIFS(Table2[NewPointsAway],Table2[GameDate], "&lt;=" &amp; $A135, Table2[AwayTeam], M$1)+SUMIFS(Table2[NewPointsHome],Table2[GameDate], "&lt;=" &amp; $A135, Table2[HomeTeam], M$1)</f>
        <v>30</v>
      </c>
      <c r="N135" s="145">
        <f>SUMIFS(Table2[NewPointsAway],Table2[GameDate], "&lt;=" &amp; $A135, Table2[AwayTeam], N$1)+SUMIFS(Table2[NewPointsHome],Table2[GameDate], "&lt;=" &amp; $A135, Table2[HomeTeam], N$1)</f>
        <v>35</v>
      </c>
      <c r="O135" s="145">
        <f>SUMIFS(Table2[NewPointsAway],Table2[GameDate], "&lt;=" &amp; $A135, Table2[AwayTeam], O$1)+SUMIFS(Table2[NewPointsHome],Table2[GameDate], "&lt;=" &amp; $A135, Table2[HomeTeam], O$1)</f>
        <v>37</v>
      </c>
      <c r="P135" s="145">
        <f>SUMIFS(Table2[NewPointsAway],Table2[GameDate], "&lt;=" &amp; $A135, Table2[AwayTeam], P$1)+SUMIFS(Table2[NewPointsHome],Table2[GameDate], "&lt;=" &amp; $A135, Table2[HomeTeam], P$1)</f>
        <v>33</v>
      </c>
      <c r="Q135" s="145">
        <f>SUMIFS(Table2[NewPointsAway],Table2[GameDate], "&lt;=" &amp; $A135, Table2[AwayTeam], Q$1)+SUMIFS(Table2[NewPointsHome],Table2[GameDate], "&lt;=" &amp; $A135, Table2[HomeTeam], Q$1)</f>
        <v>33</v>
      </c>
      <c r="R135" s="145">
        <f>SUMIFS(Table2[NewPointsAway],Table2[GameDate], "&lt;=" &amp; $A135, Table2[AwayTeam], R$1)+SUMIFS(Table2[NewPointsHome],Table2[GameDate], "&lt;=" &amp; $A135, Table2[HomeTeam], R$1)</f>
        <v>24</v>
      </c>
      <c r="S135" s="145">
        <f>SUMIFS(Table2[NewPointsAway],Table2[GameDate], "&lt;=" &amp; $A135, Table2[AwayTeam], S$1)+SUMIFS(Table2[NewPointsHome],Table2[GameDate], "&lt;=" &amp; $A135, Table2[HomeTeam], S$1)</f>
        <v>35</v>
      </c>
      <c r="T135" s="145">
        <f>SUMIFS(Table2[NewPointsAway],Table2[GameDate], "&lt;=" &amp; $A135, Table2[AwayTeam], T$1)+SUMIFS(Table2[NewPointsHome],Table2[GameDate], "&lt;=" &amp; $A135, Table2[HomeTeam], T$1)</f>
        <v>34</v>
      </c>
      <c r="U135" s="145">
        <f>SUMIFS(Table2[NewPointsAway],Table2[GameDate], "&lt;=" &amp; $A135, Table2[AwayTeam], U$1)+SUMIFS(Table2[NewPointsHome],Table2[GameDate], "&lt;=" &amp; $A135, Table2[HomeTeam], U$1)</f>
        <v>30</v>
      </c>
      <c r="V135" s="145">
        <f>SUMIFS(Table2[NewPointsAway],Table2[GameDate], "&lt;=" &amp; $A135, Table2[AwayTeam], V$1)+SUMIFS(Table2[NewPointsHome],Table2[GameDate], "&lt;=" &amp; $A135, Table2[HomeTeam], V$1)</f>
        <v>32</v>
      </c>
      <c r="W135" s="145">
        <f>SUMIFS(Table2[NewPointsAway],Table2[GameDate], "&lt;=" &amp; $A135, Table2[AwayTeam], W$1)+SUMIFS(Table2[NewPointsHome],Table2[GameDate], "&lt;=" &amp; $A135, Table2[HomeTeam], W$1)</f>
        <v>34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31</v>
      </c>
      <c r="Z135" s="145">
        <f>SUMIFS(Table2[NewPointsAway],Table2[GameDate], "&lt;=" &amp; $A135, Table2[AwayTeam], Z$1)+SUMIFS(Table2[NewPointsHome],Table2[GameDate], "&lt;=" &amp; $A135, Table2[HomeTeam], Z$1)</f>
        <v>30</v>
      </c>
      <c r="AA135" s="145">
        <f>SUMIFS(Table2[NewPointsAway],Table2[GameDate], "&lt;=" &amp; $A135, Table2[AwayTeam], AA$1)+SUMIFS(Table2[NewPointsHome],Table2[GameDate], "&lt;=" &amp; $A135, Table2[HomeTeam], AA$1)</f>
        <v>34</v>
      </c>
      <c r="AB135" s="145">
        <f>SUMIFS(Table2[NewPointsAway],Table2[GameDate], "&lt;=" &amp; $A135, Table2[AwayTeam], AB$1)+SUMIFS(Table2[NewPointsHome],Table2[GameDate], "&lt;=" &amp; $A135, Table2[HomeTeam], AB$1)</f>
        <v>32</v>
      </c>
      <c r="AC135" s="145">
        <f>SUMIFS(Table2[NewPointsAway],Table2[GameDate], "&lt;=" &amp; $A135, Table2[AwayTeam], AC$1)+SUMIFS(Table2[NewPointsHome],Table2[GameDate], "&lt;=" &amp; $A135, Table2[HomeTeam], AC$1)</f>
        <v>31</v>
      </c>
      <c r="AD135" s="145">
        <f>SUMIFS(Table2[NewPointsAway],Table2[GameDate], "&lt;=" &amp; $A135, Table2[AwayTeam], AD$1)+SUMIFS(Table2[NewPointsHome],Table2[GameDate], "&lt;=" &amp; $A135, Table2[HomeTeam], AD$1)</f>
        <v>25</v>
      </c>
      <c r="AE135" s="145">
        <f>SUMIFS(Table2[NewPointsAway],Table2[GameDate], "&lt;=" &amp; $A135, Table2[AwayTeam], AE$1)+SUMIFS(Table2[NewPointsHome],Table2[GameDate], "&lt;=" &amp; $A135, Table2[HomeTeam], AE$1)</f>
        <v>36</v>
      </c>
      <c r="AF135" s="145">
        <f>SUMIFS(Table2[NewPointsAway],Table2[GameDate], "&lt;=" &amp; $A135, Table2[AwayTeam], AF$1)+SUMIFS(Table2[NewPointsHome],Table2[GameDate], "&lt;=" &amp; $A135, Table2[HomeTeam], AF$1)</f>
        <v>29</v>
      </c>
      <c r="AG135" s="145">
        <f>SUMIFS(Table2[NewPointsAway],Table2[GameDate], "&lt;=" &amp; $A135, Table2[AwayTeam], AG$1)+SUMIFS(Table2[NewPointsHome],Table2[GameDate], "&lt;=" &amp; $A135, Table2[HomeTeam], AG$1)</f>
        <v>39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37</v>
      </c>
      <c r="C136" s="145">
        <f>SUMIFS(Table2[NewPointsAway],Table2[GameDate], "&lt;=" &amp; $A136, Table2[AwayTeam], C$1)+SUMIFS(Table2[NewPointsHome],Table2[GameDate], "&lt;=" &amp; $A136, Table2[HomeTeam], C$1)</f>
        <v>34</v>
      </c>
      <c r="D136" s="145">
        <f>SUMIFS(Table2[NewPointsAway],Table2[GameDate], "&lt;=" &amp; $A136, Table2[AwayTeam], D$1)+SUMIFS(Table2[NewPointsHome],Table2[GameDate], "&lt;=" &amp; $A136, Table2[HomeTeam], D$1)</f>
        <v>26</v>
      </c>
      <c r="E136" s="145">
        <f>SUMIFS(Table2[NewPointsAway],Table2[GameDate], "&lt;=" &amp; $A136, Table2[AwayTeam], E$1)+SUMIFS(Table2[NewPointsHome],Table2[GameDate], "&lt;=" &amp; $A136, Table2[HomeTeam], E$1)</f>
        <v>36</v>
      </c>
      <c r="F136" s="145">
        <f>SUMIFS(Table2[NewPointsAway],Table2[GameDate], "&lt;=" &amp; $A136, Table2[AwayTeam], F$1)+SUMIFS(Table2[NewPointsHome],Table2[GameDate], "&lt;=" &amp; $A136, Table2[HomeTeam], F$1)</f>
        <v>32</v>
      </c>
      <c r="G136" s="145">
        <f>SUMIFS(Table2[NewPointsAway],Table2[GameDate], "&lt;=" &amp; $A136, Table2[AwayTeam], G$1)+SUMIFS(Table2[NewPointsHome],Table2[GameDate], "&lt;=" &amp; $A136, Table2[HomeTeam], G$1)</f>
        <v>28</v>
      </c>
      <c r="H136" s="145">
        <f>SUMIFS(Table2[NewPointsAway],Table2[GameDate], "&lt;=" &amp; $A136, Table2[AwayTeam], H$1)+SUMIFS(Table2[NewPointsHome],Table2[GameDate], "&lt;=" &amp; $A136, Table2[HomeTeam], H$1)</f>
        <v>30</v>
      </c>
      <c r="I136" s="145">
        <f>SUMIFS(Table2[NewPointsAway],Table2[GameDate], "&lt;=" &amp; $A136, Table2[AwayTeam], I$1)+SUMIFS(Table2[NewPointsHome],Table2[GameDate], "&lt;=" &amp; $A136, Table2[HomeTeam], I$1)</f>
        <v>48</v>
      </c>
      <c r="J136" s="145">
        <f>SUMIFS(Table2[NewPointsAway],Table2[GameDate], "&lt;=" &amp; $A136, Table2[AwayTeam], J$1)+SUMIFS(Table2[NewPointsHome],Table2[GameDate], "&lt;=" &amp; $A136, Table2[HomeTeam], J$1)</f>
        <v>45</v>
      </c>
      <c r="K136" s="145">
        <f>SUMIFS(Table2[NewPointsAway],Table2[GameDate], "&lt;=" &amp; $A136, Table2[AwayTeam], K$1)+SUMIFS(Table2[NewPointsHome],Table2[GameDate], "&lt;=" &amp; $A136, Table2[HomeTeam], K$1)</f>
        <v>35</v>
      </c>
      <c r="L136" s="145">
        <f>SUMIFS(Table2[NewPointsAway],Table2[GameDate], "&lt;=" &amp; $A136, Table2[AwayTeam], L$1)+SUMIFS(Table2[NewPointsHome],Table2[GameDate], "&lt;=" &amp; $A136, Table2[HomeTeam], L$1)</f>
        <v>31</v>
      </c>
      <c r="M136" s="145">
        <f>SUMIFS(Table2[NewPointsAway],Table2[GameDate], "&lt;=" &amp; $A136, Table2[AwayTeam], M$1)+SUMIFS(Table2[NewPointsHome],Table2[GameDate], "&lt;=" &amp; $A136, Table2[HomeTeam], M$1)</f>
        <v>30</v>
      </c>
      <c r="N136" s="145">
        <f>SUMIFS(Table2[NewPointsAway],Table2[GameDate], "&lt;=" &amp; $A136, Table2[AwayTeam], N$1)+SUMIFS(Table2[NewPointsHome],Table2[GameDate], "&lt;=" &amp; $A136, Table2[HomeTeam], N$1)</f>
        <v>35</v>
      </c>
      <c r="O136" s="145">
        <f>SUMIFS(Table2[NewPointsAway],Table2[GameDate], "&lt;=" &amp; $A136, Table2[AwayTeam], O$1)+SUMIFS(Table2[NewPointsHome],Table2[GameDate], "&lt;=" &amp; $A136, Table2[HomeTeam], O$1)</f>
        <v>37</v>
      </c>
      <c r="P136" s="145">
        <f>SUMIFS(Table2[NewPointsAway],Table2[GameDate], "&lt;=" &amp; $A136, Table2[AwayTeam], P$1)+SUMIFS(Table2[NewPointsHome],Table2[GameDate], "&lt;=" &amp; $A136, Table2[HomeTeam], P$1)</f>
        <v>33</v>
      </c>
      <c r="Q136" s="145">
        <f>SUMIFS(Table2[NewPointsAway],Table2[GameDate], "&lt;=" &amp; $A136, Table2[AwayTeam], Q$1)+SUMIFS(Table2[NewPointsHome],Table2[GameDate], "&lt;=" &amp; $A136, Table2[HomeTeam], Q$1)</f>
        <v>33</v>
      </c>
      <c r="R136" s="145">
        <f>SUMIFS(Table2[NewPointsAway],Table2[GameDate], "&lt;=" &amp; $A136, Table2[AwayTeam], R$1)+SUMIFS(Table2[NewPointsHome],Table2[GameDate], "&lt;=" &amp; $A136, Table2[HomeTeam], R$1)</f>
        <v>24</v>
      </c>
      <c r="S136" s="145">
        <f>SUMIFS(Table2[NewPointsAway],Table2[GameDate], "&lt;=" &amp; $A136, Table2[AwayTeam], S$1)+SUMIFS(Table2[NewPointsHome],Table2[GameDate], "&lt;=" &amp; $A136, Table2[HomeTeam], S$1)</f>
        <v>35</v>
      </c>
      <c r="T136" s="145">
        <f>SUMIFS(Table2[NewPointsAway],Table2[GameDate], "&lt;=" &amp; $A136, Table2[AwayTeam], T$1)+SUMIFS(Table2[NewPointsHome],Table2[GameDate], "&lt;=" &amp; $A136, Table2[HomeTeam], T$1)</f>
        <v>34</v>
      </c>
      <c r="U136" s="145">
        <f>SUMIFS(Table2[NewPointsAway],Table2[GameDate], "&lt;=" &amp; $A136, Table2[AwayTeam], U$1)+SUMIFS(Table2[NewPointsHome],Table2[GameDate], "&lt;=" &amp; $A136, Table2[HomeTeam], U$1)</f>
        <v>30</v>
      </c>
      <c r="V136" s="145">
        <f>SUMIFS(Table2[NewPointsAway],Table2[GameDate], "&lt;=" &amp; $A136, Table2[AwayTeam], V$1)+SUMIFS(Table2[NewPointsHome],Table2[GameDate], "&lt;=" &amp; $A136, Table2[HomeTeam], V$1)</f>
        <v>32</v>
      </c>
      <c r="W136" s="145">
        <f>SUMIFS(Table2[NewPointsAway],Table2[GameDate], "&lt;=" &amp; $A136, Table2[AwayTeam], W$1)+SUMIFS(Table2[NewPointsHome],Table2[GameDate], "&lt;=" &amp; $A136, Table2[HomeTeam], W$1)</f>
        <v>34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31</v>
      </c>
      <c r="Z136" s="145">
        <f>SUMIFS(Table2[NewPointsAway],Table2[GameDate], "&lt;=" &amp; $A136, Table2[AwayTeam], Z$1)+SUMIFS(Table2[NewPointsHome],Table2[GameDate], "&lt;=" &amp; $A136, Table2[HomeTeam], Z$1)</f>
        <v>30</v>
      </c>
      <c r="AA136" s="145">
        <f>SUMIFS(Table2[NewPointsAway],Table2[GameDate], "&lt;=" &amp; $A136, Table2[AwayTeam], AA$1)+SUMIFS(Table2[NewPointsHome],Table2[GameDate], "&lt;=" &amp; $A136, Table2[HomeTeam], AA$1)</f>
        <v>34</v>
      </c>
      <c r="AB136" s="145">
        <f>SUMIFS(Table2[NewPointsAway],Table2[GameDate], "&lt;=" &amp; $A136, Table2[AwayTeam], AB$1)+SUMIFS(Table2[NewPointsHome],Table2[GameDate], "&lt;=" &amp; $A136, Table2[HomeTeam], AB$1)</f>
        <v>32</v>
      </c>
      <c r="AC136" s="145">
        <f>SUMIFS(Table2[NewPointsAway],Table2[GameDate], "&lt;=" &amp; $A136, Table2[AwayTeam], AC$1)+SUMIFS(Table2[NewPointsHome],Table2[GameDate], "&lt;=" &amp; $A136, Table2[HomeTeam], AC$1)</f>
        <v>31</v>
      </c>
      <c r="AD136" s="145">
        <f>SUMIFS(Table2[NewPointsAway],Table2[GameDate], "&lt;=" &amp; $A136, Table2[AwayTeam], AD$1)+SUMIFS(Table2[NewPointsHome],Table2[GameDate], "&lt;=" &amp; $A136, Table2[HomeTeam], AD$1)</f>
        <v>25</v>
      </c>
      <c r="AE136" s="145">
        <f>SUMIFS(Table2[NewPointsAway],Table2[GameDate], "&lt;=" &amp; $A136, Table2[AwayTeam], AE$1)+SUMIFS(Table2[NewPointsHome],Table2[GameDate], "&lt;=" &amp; $A136, Table2[HomeTeam], AE$1)</f>
        <v>36</v>
      </c>
      <c r="AF136" s="145">
        <f>SUMIFS(Table2[NewPointsAway],Table2[GameDate], "&lt;=" &amp; $A136, Table2[AwayTeam], AF$1)+SUMIFS(Table2[NewPointsHome],Table2[GameDate], "&lt;=" &amp; $A136, Table2[HomeTeam], AF$1)</f>
        <v>29</v>
      </c>
      <c r="AG136" s="145">
        <f>SUMIFS(Table2[NewPointsAway],Table2[GameDate], "&lt;=" &amp; $A136, Table2[AwayTeam], AG$1)+SUMIFS(Table2[NewPointsHome],Table2[GameDate], "&lt;=" &amp; $A136, Table2[HomeTeam], AG$1)</f>
        <v>39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37</v>
      </c>
      <c r="C137" s="145">
        <f>SUMIFS(Table2[NewPointsAway],Table2[GameDate], "&lt;=" &amp; $A137, Table2[AwayTeam], C$1)+SUMIFS(Table2[NewPointsHome],Table2[GameDate], "&lt;=" &amp; $A137, Table2[HomeTeam], C$1)</f>
        <v>34</v>
      </c>
      <c r="D137" s="145">
        <f>SUMIFS(Table2[NewPointsAway],Table2[GameDate], "&lt;=" &amp; $A137, Table2[AwayTeam], D$1)+SUMIFS(Table2[NewPointsHome],Table2[GameDate], "&lt;=" &amp; $A137, Table2[HomeTeam], D$1)</f>
        <v>26</v>
      </c>
      <c r="E137" s="145">
        <f>SUMIFS(Table2[NewPointsAway],Table2[GameDate], "&lt;=" &amp; $A137, Table2[AwayTeam], E$1)+SUMIFS(Table2[NewPointsHome],Table2[GameDate], "&lt;=" &amp; $A137, Table2[HomeTeam], E$1)</f>
        <v>36</v>
      </c>
      <c r="F137" s="145">
        <f>SUMIFS(Table2[NewPointsAway],Table2[GameDate], "&lt;=" &amp; $A137, Table2[AwayTeam], F$1)+SUMIFS(Table2[NewPointsHome],Table2[GameDate], "&lt;=" &amp; $A137, Table2[HomeTeam], F$1)</f>
        <v>32</v>
      </c>
      <c r="G137" s="145">
        <f>SUMIFS(Table2[NewPointsAway],Table2[GameDate], "&lt;=" &amp; $A137, Table2[AwayTeam], G$1)+SUMIFS(Table2[NewPointsHome],Table2[GameDate], "&lt;=" &amp; $A137, Table2[HomeTeam], G$1)</f>
        <v>28</v>
      </c>
      <c r="H137" s="145">
        <f>SUMIFS(Table2[NewPointsAway],Table2[GameDate], "&lt;=" &amp; $A137, Table2[AwayTeam], H$1)+SUMIFS(Table2[NewPointsHome],Table2[GameDate], "&lt;=" &amp; $A137, Table2[HomeTeam], H$1)</f>
        <v>30</v>
      </c>
      <c r="I137" s="145">
        <f>SUMIFS(Table2[NewPointsAway],Table2[GameDate], "&lt;=" &amp; $A137, Table2[AwayTeam], I$1)+SUMIFS(Table2[NewPointsHome],Table2[GameDate], "&lt;=" &amp; $A137, Table2[HomeTeam], I$1)</f>
        <v>48</v>
      </c>
      <c r="J137" s="145">
        <f>SUMIFS(Table2[NewPointsAway],Table2[GameDate], "&lt;=" &amp; $A137, Table2[AwayTeam], J$1)+SUMIFS(Table2[NewPointsHome],Table2[GameDate], "&lt;=" &amp; $A137, Table2[HomeTeam], J$1)</f>
        <v>45</v>
      </c>
      <c r="K137" s="145">
        <f>SUMIFS(Table2[NewPointsAway],Table2[GameDate], "&lt;=" &amp; $A137, Table2[AwayTeam], K$1)+SUMIFS(Table2[NewPointsHome],Table2[GameDate], "&lt;=" &amp; $A137, Table2[HomeTeam], K$1)</f>
        <v>35</v>
      </c>
      <c r="L137" s="145">
        <f>SUMIFS(Table2[NewPointsAway],Table2[GameDate], "&lt;=" &amp; $A137, Table2[AwayTeam], L$1)+SUMIFS(Table2[NewPointsHome],Table2[GameDate], "&lt;=" &amp; $A137, Table2[HomeTeam], L$1)</f>
        <v>31</v>
      </c>
      <c r="M137" s="145">
        <f>SUMIFS(Table2[NewPointsAway],Table2[GameDate], "&lt;=" &amp; $A137, Table2[AwayTeam], M$1)+SUMIFS(Table2[NewPointsHome],Table2[GameDate], "&lt;=" &amp; $A137, Table2[HomeTeam], M$1)</f>
        <v>30</v>
      </c>
      <c r="N137" s="145">
        <f>SUMIFS(Table2[NewPointsAway],Table2[GameDate], "&lt;=" &amp; $A137, Table2[AwayTeam], N$1)+SUMIFS(Table2[NewPointsHome],Table2[GameDate], "&lt;=" &amp; $A137, Table2[HomeTeam], N$1)</f>
        <v>35</v>
      </c>
      <c r="O137" s="145">
        <f>SUMIFS(Table2[NewPointsAway],Table2[GameDate], "&lt;=" &amp; $A137, Table2[AwayTeam], O$1)+SUMIFS(Table2[NewPointsHome],Table2[GameDate], "&lt;=" &amp; $A137, Table2[HomeTeam], O$1)</f>
        <v>37</v>
      </c>
      <c r="P137" s="145">
        <f>SUMIFS(Table2[NewPointsAway],Table2[GameDate], "&lt;=" &amp; $A137, Table2[AwayTeam], P$1)+SUMIFS(Table2[NewPointsHome],Table2[GameDate], "&lt;=" &amp; $A137, Table2[HomeTeam], P$1)</f>
        <v>33</v>
      </c>
      <c r="Q137" s="145">
        <f>SUMIFS(Table2[NewPointsAway],Table2[GameDate], "&lt;=" &amp; $A137, Table2[AwayTeam], Q$1)+SUMIFS(Table2[NewPointsHome],Table2[GameDate], "&lt;=" &amp; $A137, Table2[HomeTeam], Q$1)</f>
        <v>33</v>
      </c>
      <c r="R137" s="145">
        <f>SUMIFS(Table2[NewPointsAway],Table2[GameDate], "&lt;=" &amp; $A137, Table2[AwayTeam], R$1)+SUMIFS(Table2[NewPointsHome],Table2[GameDate], "&lt;=" &amp; $A137, Table2[HomeTeam], R$1)</f>
        <v>24</v>
      </c>
      <c r="S137" s="145">
        <f>SUMIFS(Table2[NewPointsAway],Table2[GameDate], "&lt;=" &amp; $A137, Table2[AwayTeam], S$1)+SUMIFS(Table2[NewPointsHome],Table2[GameDate], "&lt;=" &amp; $A137, Table2[HomeTeam], S$1)</f>
        <v>35</v>
      </c>
      <c r="T137" s="145">
        <f>SUMIFS(Table2[NewPointsAway],Table2[GameDate], "&lt;=" &amp; $A137, Table2[AwayTeam], T$1)+SUMIFS(Table2[NewPointsHome],Table2[GameDate], "&lt;=" &amp; $A137, Table2[HomeTeam], T$1)</f>
        <v>34</v>
      </c>
      <c r="U137" s="145">
        <f>SUMIFS(Table2[NewPointsAway],Table2[GameDate], "&lt;=" &amp; $A137, Table2[AwayTeam], U$1)+SUMIFS(Table2[NewPointsHome],Table2[GameDate], "&lt;=" &amp; $A137, Table2[HomeTeam], U$1)</f>
        <v>30</v>
      </c>
      <c r="V137" s="145">
        <f>SUMIFS(Table2[NewPointsAway],Table2[GameDate], "&lt;=" &amp; $A137, Table2[AwayTeam], V$1)+SUMIFS(Table2[NewPointsHome],Table2[GameDate], "&lt;=" &amp; $A137, Table2[HomeTeam], V$1)</f>
        <v>32</v>
      </c>
      <c r="W137" s="145">
        <f>SUMIFS(Table2[NewPointsAway],Table2[GameDate], "&lt;=" &amp; $A137, Table2[AwayTeam], W$1)+SUMIFS(Table2[NewPointsHome],Table2[GameDate], "&lt;=" &amp; $A137, Table2[HomeTeam], W$1)</f>
        <v>34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31</v>
      </c>
      <c r="Z137" s="145">
        <f>SUMIFS(Table2[NewPointsAway],Table2[GameDate], "&lt;=" &amp; $A137, Table2[AwayTeam], Z$1)+SUMIFS(Table2[NewPointsHome],Table2[GameDate], "&lt;=" &amp; $A137, Table2[HomeTeam], Z$1)</f>
        <v>30</v>
      </c>
      <c r="AA137" s="145">
        <f>SUMIFS(Table2[NewPointsAway],Table2[GameDate], "&lt;=" &amp; $A137, Table2[AwayTeam], AA$1)+SUMIFS(Table2[NewPointsHome],Table2[GameDate], "&lt;=" &amp; $A137, Table2[HomeTeam], AA$1)</f>
        <v>34</v>
      </c>
      <c r="AB137" s="145">
        <f>SUMIFS(Table2[NewPointsAway],Table2[GameDate], "&lt;=" &amp; $A137, Table2[AwayTeam], AB$1)+SUMIFS(Table2[NewPointsHome],Table2[GameDate], "&lt;=" &amp; $A137, Table2[HomeTeam], AB$1)</f>
        <v>32</v>
      </c>
      <c r="AC137" s="145">
        <f>SUMIFS(Table2[NewPointsAway],Table2[GameDate], "&lt;=" &amp; $A137, Table2[AwayTeam], AC$1)+SUMIFS(Table2[NewPointsHome],Table2[GameDate], "&lt;=" &amp; $A137, Table2[HomeTeam], AC$1)</f>
        <v>31</v>
      </c>
      <c r="AD137" s="145">
        <f>SUMIFS(Table2[NewPointsAway],Table2[GameDate], "&lt;=" &amp; $A137, Table2[AwayTeam], AD$1)+SUMIFS(Table2[NewPointsHome],Table2[GameDate], "&lt;=" &amp; $A137, Table2[HomeTeam], AD$1)</f>
        <v>25</v>
      </c>
      <c r="AE137" s="145">
        <f>SUMIFS(Table2[NewPointsAway],Table2[GameDate], "&lt;=" &amp; $A137, Table2[AwayTeam], AE$1)+SUMIFS(Table2[NewPointsHome],Table2[GameDate], "&lt;=" &amp; $A137, Table2[HomeTeam], AE$1)</f>
        <v>36</v>
      </c>
      <c r="AF137" s="145">
        <f>SUMIFS(Table2[NewPointsAway],Table2[GameDate], "&lt;=" &amp; $A137, Table2[AwayTeam], AF$1)+SUMIFS(Table2[NewPointsHome],Table2[GameDate], "&lt;=" &amp; $A137, Table2[HomeTeam], AF$1)</f>
        <v>29</v>
      </c>
      <c r="AG137" s="145">
        <f>SUMIFS(Table2[NewPointsAway],Table2[GameDate], "&lt;=" &amp; $A137, Table2[AwayTeam], AG$1)+SUMIFS(Table2[NewPointsHome],Table2[GameDate], "&lt;=" &amp; $A137, Table2[HomeTeam], AG$1)</f>
        <v>39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37</v>
      </c>
      <c r="C138" s="145">
        <f>SUMIFS(Table2[NewPointsAway],Table2[GameDate], "&lt;=" &amp; $A138, Table2[AwayTeam], C$1)+SUMIFS(Table2[NewPointsHome],Table2[GameDate], "&lt;=" &amp; $A138, Table2[HomeTeam], C$1)</f>
        <v>34</v>
      </c>
      <c r="D138" s="145">
        <f>SUMIFS(Table2[NewPointsAway],Table2[GameDate], "&lt;=" &amp; $A138, Table2[AwayTeam], D$1)+SUMIFS(Table2[NewPointsHome],Table2[GameDate], "&lt;=" &amp; $A138, Table2[HomeTeam], D$1)</f>
        <v>26</v>
      </c>
      <c r="E138" s="145">
        <f>SUMIFS(Table2[NewPointsAway],Table2[GameDate], "&lt;=" &amp; $A138, Table2[AwayTeam], E$1)+SUMIFS(Table2[NewPointsHome],Table2[GameDate], "&lt;=" &amp; $A138, Table2[HomeTeam], E$1)</f>
        <v>36</v>
      </c>
      <c r="F138" s="145">
        <f>SUMIFS(Table2[NewPointsAway],Table2[GameDate], "&lt;=" &amp; $A138, Table2[AwayTeam], F$1)+SUMIFS(Table2[NewPointsHome],Table2[GameDate], "&lt;=" &amp; $A138, Table2[HomeTeam], F$1)</f>
        <v>32</v>
      </c>
      <c r="G138" s="145">
        <f>SUMIFS(Table2[NewPointsAway],Table2[GameDate], "&lt;=" &amp; $A138, Table2[AwayTeam], G$1)+SUMIFS(Table2[NewPointsHome],Table2[GameDate], "&lt;=" &amp; $A138, Table2[HomeTeam], G$1)</f>
        <v>28</v>
      </c>
      <c r="H138" s="145">
        <f>SUMIFS(Table2[NewPointsAway],Table2[GameDate], "&lt;=" &amp; $A138, Table2[AwayTeam], H$1)+SUMIFS(Table2[NewPointsHome],Table2[GameDate], "&lt;=" &amp; $A138, Table2[HomeTeam], H$1)</f>
        <v>30</v>
      </c>
      <c r="I138" s="145">
        <f>SUMIFS(Table2[NewPointsAway],Table2[GameDate], "&lt;=" &amp; $A138, Table2[AwayTeam], I$1)+SUMIFS(Table2[NewPointsHome],Table2[GameDate], "&lt;=" &amp; $A138, Table2[HomeTeam], I$1)</f>
        <v>48</v>
      </c>
      <c r="J138" s="145">
        <f>SUMIFS(Table2[NewPointsAway],Table2[GameDate], "&lt;=" &amp; $A138, Table2[AwayTeam], J$1)+SUMIFS(Table2[NewPointsHome],Table2[GameDate], "&lt;=" &amp; $A138, Table2[HomeTeam], J$1)</f>
        <v>45</v>
      </c>
      <c r="K138" s="145">
        <f>SUMIFS(Table2[NewPointsAway],Table2[GameDate], "&lt;=" &amp; $A138, Table2[AwayTeam], K$1)+SUMIFS(Table2[NewPointsHome],Table2[GameDate], "&lt;=" &amp; $A138, Table2[HomeTeam], K$1)</f>
        <v>35</v>
      </c>
      <c r="L138" s="145">
        <f>SUMIFS(Table2[NewPointsAway],Table2[GameDate], "&lt;=" &amp; $A138, Table2[AwayTeam], L$1)+SUMIFS(Table2[NewPointsHome],Table2[GameDate], "&lt;=" &amp; $A138, Table2[HomeTeam], L$1)</f>
        <v>31</v>
      </c>
      <c r="M138" s="145">
        <f>SUMIFS(Table2[NewPointsAway],Table2[GameDate], "&lt;=" &amp; $A138, Table2[AwayTeam], M$1)+SUMIFS(Table2[NewPointsHome],Table2[GameDate], "&lt;=" &amp; $A138, Table2[HomeTeam], M$1)</f>
        <v>30</v>
      </c>
      <c r="N138" s="145">
        <f>SUMIFS(Table2[NewPointsAway],Table2[GameDate], "&lt;=" &amp; $A138, Table2[AwayTeam], N$1)+SUMIFS(Table2[NewPointsHome],Table2[GameDate], "&lt;=" &amp; $A138, Table2[HomeTeam], N$1)</f>
        <v>35</v>
      </c>
      <c r="O138" s="145">
        <f>SUMIFS(Table2[NewPointsAway],Table2[GameDate], "&lt;=" &amp; $A138, Table2[AwayTeam], O$1)+SUMIFS(Table2[NewPointsHome],Table2[GameDate], "&lt;=" &amp; $A138, Table2[HomeTeam], O$1)</f>
        <v>37</v>
      </c>
      <c r="P138" s="145">
        <f>SUMIFS(Table2[NewPointsAway],Table2[GameDate], "&lt;=" &amp; $A138, Table2[AwayTeam], P$1)+SUMIFS(Table2[NewPointsHome],Table2[GameDate], "&lt;=" &amp; $A138, Table2[HomeTeam], P$1)</f>
        <v>33</v>
      </c>
      <c r="Q138" s="145">
        <f>SUMIFS(Table2[NewPointsAway],Table2[GameDate], "&lt;=" &amp; $A138, Table2[AwayTeam], Q$1)+SUMIFS(Table2[NewPointsHome],Table2[GameDate], "&lt;=" &amp; $A138, Table2[HomeTeam], Q$1)</f>
        <v>33</v>
      </c>
      <c r="R138" s="145">
        <f>SUMIFS(Table2[NewPointsAway],Table2[GameDate], "&lt;=" &amp; $A138, Table2[AwayTeam], R$1)+SUMIFS(Table2[NewPointsHome],Table2[GameDate], "&lt;=" &amp; $A138, Table2[HomeTeam], R$1)</f>
        <v>24</v>
      </c>
      <c r="S138" s="145">
        <f>SUMIFS(Table2[NewPointsAway],Table2[GameDate], "&lt;=" &amp; $A138, Table2[AwayTeam], S$1)+SUMIFS(Table2[NewPointsHome],Table2[GameDate], "&lt;=" &amp; $A138, Table2[HomeTeam], S$1)</f>
        <v>35</v>
      </c>
      <c r="T138" s="145">
        <f>SUMIFS(Table2[NewPointsAway],Table2[GameDate], "&lt;=" &amp; $A138, Table2[AwayTeam], T$1)+SUMIFS(Table2[NewPointsHome],Table2[GameDate], "&lt;=" &amp; $A138, Table2[HomeTeam], T$1)</f>
        <v>34</v>
      </c>
      <c r="U138" s="145">
        <f>SUMIFS(Table2[NewPointsAway],Table2[GameDate], "&lt;=" &amp; $A138, Table2[AwayTeam], U$1)+SUMIFS(Table2[NewPointsHome],Table2[GameDate], "&lt;=" &amp; $A138, Table2[HomeTeam], U$1)</f>
        <v>30</v>
      </c>
      <c r="V138" s="145">
        <f>SUMIFS(Table2[NewPointsAway],Table2[GameDate], "&lt;=" &amp; $A138, Table2[AwayTeam], V$1)+SUMIFS(Table2[NewPointsHome],Table2[GameDate], "&lt;=" &amp; $A138, Table2[HomeTeam], V$1)</f>
        <v>32</v>
      </c>
      <c r="W138" s="145">
        <f>SUMIFS(Table2[NewPointsAway],Table2[GameDate], "&lt;=" &amp; $A138, Table2[AwayTeam], W$1)+SUMIFS(Table2[NewPointsHome],Table2[GameDate], "&lt;=" &amp; $A138, Table2[HomeTeam], W$1)</f>
        <v>34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31</v>
      </c>
      <c r="Z138" s="145">
        <f>SUMIFS(Table2[NewPointsAway],Table2[GameDate], "&lt;=" &amp; $A138, Table2[AwayTeam], Z$1)+SUMIFS(Table2[NewPointsHome],Table2[GameDate], "&lt;=" &amp; $A138, Table2[HomeTeam], Z$1)</f>
        <v>30</v>
      </c>
      <c r="AA138" s="145">
        <f>SUMIFS(Table2[NewPointsAway],Table2[GameDate], "&lt;=" &amp; $A138, Table2[AwayTeam], AA$1)+SUMIFS(Table2[NewPointsHome],Table2[GameDate], "&lt;=" &amp; $A138, Table2[HomeTeam], AA$1)</f>
        <v>34</v>
      </c>
      <c r="AB138" s="145">
        <f>SUMIFS(Table2[NewPointsAway],Table2[GameDate], "&lt;=" &amp; $A138, Table2[AwayTeam], AB$1)+SUMIFS(Table2[NewPointsHome],Table2[GameDate], "&lt;=" &amp; $A138, Table2[HomeTeam], AB$1)</f>
        <v>32</v>
      </c>
      <c r="AC138" s="145">
        <f>SUMIFS(Table2[NewPointsAway],Table2[GameDate], "&lt;=" &amp; $A138, Table2[AwayTeam], AC$1)+SUMIFS(Table2[NewPointsHome],Table2[GameDate], "&lt;=" &amp; $A138, Table2[HomeTeam], AC$1)</f>
        <v>31</v>
      </c>
      <c r="AD138" s="145">
        <f>SUMIFS(Table2[NewPointsAway],Table2[GameDate], "&lt;=" &amp; $A138, Table2[AwayTeam], AD$1)+SUMIFS(Table2[NewPointsHome],Table2[GameDate], "&lt;=" &amp; $A138, Table2[HomeTeam], AD$1)</f>
        <v>25</v>
      </c>
      <c r="AE138" s="145">
        <f>SUMIFS(Table2[NewPointsAway],Table2[GameDate], "&lt;=" &amp; $A138, Table2[AwayTeam], AE$1)+SUMIFS(Table2[NewPointsHome],Table2[GameDate], "&lt;=" &amp; $A138, Table2[HomeTeam], AE$1)</f>
        <v>36</v>
      </c>
      <c r="AF138" s="145">
        <f>SUMIFS(Table2[NewPointsAway],Table2[GameDate], "&lt;=" &amp; $A138, Table2[AwayTeam], AF$1)+SUMIFS(Table2[NewPointsHome],Table2[GameDate], "&lt;=" &amp; $A138, Table2[HomeTeam], AF$1)</f>
        <v>29</v>
      </c>
      <c r="AG138" s="145">
        <f>SUMIFS(Table2[NewPointsAway],Table2[GameDate], "&lt;=" &amp; $A138, Table2[AwayTeam], AG$1)+SUMIFS(Table2[NewPointsHome],Table2[GameDate], "&lt;=" &amp; $A138, Table2[HomeTeam], AG$1)</f>
        <v>39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37</v>
      </c>
      <c r="C139" s="145">
        <f>SUMIFS(Table2[NewPointsAway],Table2[GameDate], "&lt;=" &amp; $A139, Table2[AwayTeam], C$1)+SUMIFS(Table2[NewPointsHome],Table2[GameDate], "&lt;=" &amp; $A139, Table2[HomeTeam], C$1)</f>
        <v>34</v>
      </c>
      <c r="D139" s="145">
        <f>SUMIFS(Table2[NewPointsAway],Table2[GameDate], "&lt;=" &amp; $A139, Table2[AwayTeam], D$1)+SUMIFS(Table2[NewPointsHome],Table2[GameDate], "&lt;=" &amp; $A139, Table2[HomeTeam], D$1)</f>
        <v>26</v>
      </c>
      <c r="E139" s="145">
        <f>SUMIFS(Table2[NewPointsAway],Table2[GameDate], "&lt;=" &amp; $A139, Table2[AwayTeam], E$1)+SUMIFS(Table2[NewPointsHome],Table2[GameDate], "&lt;=" &amp; $A139, Table2[HomeTeam], E$1)</f>
        <v>36</v>
      </c>
      <c r="F139" s="145">
        <f>SUMIFS(Table2[NewPointsAway],Table2[GameDate], "&lt;=" &amp; $A139, Table2[AwayTeam], F$1)+SUMIFS(Table2[NewPointsHome],Table2[GameDate], "&lt;=" &amp; $A139, Table2[HomeTeam], F$1)</f>
        <v>32</v>
      </c>
      <c r="G139" s="145">
        <f>SUMIFS(Table2[NewPointsAway],Table2[GameDate], "&lt;=" &amp; $A139, Table2[AwayTeam], G$1)+SUMIFS(Table2[NewPointsHome],Table2[GameDate], "&lt;=" &amp; $A139, Table2[HomeTeam], G$1)</f>
        <v>28</v>
      </c>
      <c r="H139" s="145">
        <f>SUMIFS(Table2[NewPointsAway],Table2[GameDate], "&lt;=" &amp; $A139, Table2[AwayTeam], H$1)+SUMIFS(Table2[NewPointsHome],Table2[GameDate], "&lt;=" &amp; $A139, Table2[HomeTeam], H$1)</f>
        <v>30</v>
      </c>
      <c r="I139" s="145">
        <f>SUMIFS(Table2[NewPointsAway],Table2[GameDate], "&lt;=" &amp; $A139, Table2[AwayTeam], I$1)+SUMIFS(Table2[NewPointsHome],Table2[GameDate], "&lt;=" &amp; $A139, Table2[HomeTeam], I$1)</f>
        <v>48</v>
      </c>
      <c r="J139" s="145">
        <f>SUMIFS(Table2[NewPointsAway],Table2[GameDate], "&lt;=" &amp; $A139, Table2[AwayTeam], J$1)+SUMIFS(Table2[NewPointsHome],Table2[GameDate], "&lt;=" &amp; $A139, Table2[HomeTeam], J$1)</f>
        <v>45</v>
      </c>
      <c r="K139" s="145">
        <f>SUMIFS(Table2[NewPointsAway],Table2[GameDate], "&lt;=" &amp; $A139, Table2[AwayTeam], K$1)+SUMIFS(Table2[NewPointsHome],Table2[GameDate], "&lt;=" &amp; $A139, Table2[HomeTeam], K$1)</f>
        <v>35</v>
      </c>
      <c r="L139" s="145">
        <f>SUMIFS(Table2[NewPointsAway],Table2[GameDate], "&lt;=" &amp; $A139, Table2[AwayTeam], L$1)+SUMIFS(Table2[NewPointsHome],Table2[GameDate], "&lt;=" &amp; $A139, Table2[HomeTeam], L$1)</f>
        <v>31</v>
      </c>
      <c r="M139" s="145">
        <f>SUMIFS(Table2[NewPointsAway],Table2[GameDate], "&lt;=" &amp; $A139, Table2[AwayTeam], M$1)+SUMIFS(Table2[NewPointsHome],Table2[GameDate], "&lt;=" &amp; $A139, Table2[HomeTeam], M$1)</f>
        <v>30</v>
      </c>
      <c r="N139" s="145">
        <f>SUMIFS(Table2[NewPointsAway],Table2[GameDate], "&lt;=" &amp; $A139, Table2[AwayTeam], N$1)+SUMIFS(Table2[NewPointsHome],Table2[GameDate], "&lt;=" &amp; $A139, Table2[HomeTeam], N$1)</f>
        <v>35</v>
      </c>
      <c r="O139" s="145">
        <f>SUMIFS(Table2[NewPointsAway],Table2[GameDate], "&lt;=" &amp; $A139, Table2[AwayTeam], O$1)+SUMIFS(Table2[NewPointsHome],Table2[GameDate], "&lt;=" &amp; $A139, Table2[HomeTeam], O$1)</f>
        <v>37</v>
      </c>
      <c r="P139" s="145">
        <f>SUMIFS(Table2[NewPointsAway],Table2[GameDate], "&lt;=" &amp; $A139, Table2[AwayTeam], P$1)+SUMIFS(Table2[NewPointsHome],Table2[GameDate], "&lt;=" &amp; $A139, Table2[HomeTeam], P$1)</f>
        <v>33</v>
      </c>
      <c r="Q139" s="145">
        <f>SUMIFS(Table2[NewPointsAway],Table2[GameDate], "&lt;=" &amp; $A139, Table2[AwayTeam], Q$1)+SUMIFS(Table2[NewPointsHome],Table2[GameDate], "&lt;=" &amp; $A139, Table2[HomeTeam], Q$1)</f>
        <v>33</v>
      </c>
      <c r="R139" s="145">
        <f>SUMIFS(Table2[NewPointsAway],Table2[GameDate], "&lt;=" &amp; $A139, Table2[AwayTeam], R$1)+SUMIFS(Table2[NewPointsHome],Table2[GameDate], "&lt;=" &amp; $A139, Table2[HomeTeam], R$1)</f>
        <v>24</v>
      </c>
      <c r="S139" s="145">
        <f>SUMIFS(Table2[NewPointsAway],Table2[GameDate], "&lt;=" &amp; $A139, Table2[AwayTeam], S$1)+SUMIFS(Table2[NewPointsHome],Table2[GameDate], "&lt;=" &amp; $A139, Table2[HomeTeam], S$1)</f>
        <v>35</v>
      </c>
      <c r="T139" s="145">
        <f>SUMIFS(Table2[NewPointsAway],Table2[GameDate], "&lt;=" &amp; $A139, Table2[AwayTeam], T$1)+SUMIFS(Table2[NewPointsHome],Table2[GameDate], "&lt;=" &amp; $A139, Table2[HomeTeam], T$1)</f>
        <v>34</v>
      </c>
      <c r="U139" s="145">
        <f>SUMIFS(Table2[NewPointsAway],Table2[GameDate], "&lt;=" &amp; $A139, Table2[AwayTeam], U$1)+SUMIFS(Table2[NewPointsHome],Table2[GameDate], "&lt;=" &amp; $A139, Table2[HomeTeam], U$1)</f>
        <v>30</v>
      </c>
      <c r="V139" s="145">
        <f>SUMIFS(Table2[NewPointsAway],Table2[GameDate], "&lt;=" &amp; $A139, Table2[AwayTeam], V$1)+SUMIFS(Table2[NewPointsHome],Table2[GameDate], "&lt;=" &amp; $A139, Table2[HomeTeam], V$1)</f>
        <v>32</v>
      </c>
      <c r="W139" s="145">
        <f>SUMIFS(Table2[NewPointsAway],Table2[GameDate], "&lt;=" &amp; $A139, Table2[AwayTeam], W$1)+SUMIFS(Table2[NewPointsHome],Table2[GameDate], "&lt;=" &amp; $A139, Table2[HomeTeam], W$1)</f>
        <v>34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31</v>
      </c>
      <c r="Z139" s="145">
        <f>SUMIFS(Table2[NewPointsAway],Table2[GameDate], "&lt;=" &amp; $A139, Table2[AwayTeam], Z$1)+SUMIFS(Table2[NewPointsHome],Table2[GameDate], "&lt;=" &amp; $A139, Table2[HomeTeam], Z$1)</f>
        <v>30</v>
      </c>
      <c r="AA139" s="145">
        <f>SUMIFS(Table2[NewPointsAway],Table2[GameDate], "&lt;=" &amp; $A139, Table2[AwayTeam], AA$1)+SUMIFS(Table2[NewPointsHome],Table2[GameDate], "&lt;=" &amp; $A139, Table2[HomeTeam], AA$1)</f>
        <v>34</v>
      </c>
      <c r="AB139" s="145">
        <f>SUMIFS(Table2[NewPointsAway],Table2[GameDate], "&lt;=" &amp; $A139, Table2[AwayTeam], AB$1)+SUMIFS(Table2[NewPointsHome],Table2[GameDate], "&lt;=" &amp; $A139, Table2[HomeTeam], AB$1)</f>
        <v>32</v>
      </c>
      <c r="AC139" s="145">
        <f>SUMIFS(Table2[NewPointsAway],Table2[GameDate], "&lt;=" &amp; $A139, Table2[AwayTeam], AC$1)+SUMIFS(Table2[NewPointsHome],Table2[GameDate], "&lt;=" &amp; $A139, Table2[HomeTeam], AC$1)</f>
        <v>31</v>
      </c>
      <c r="AD139" s="145">
        <f>SUMIFS(Table2[NewPointsAway],Table2[GameDate], "&lt;=" &amp; $A139, Table2[AwayTeam], AD$1)+SUMIFS(Table2[NewPointsHome],Table2[GameDate], "&lt;=" &amp; $A139, Table2[HomeTeam], AD$1)</f>
        <v>25</v>
      </c>
      <c r="AE139" s="145">
        <f>SUMIFS(Table2[NewPointsAway],Table2[GameDate], "&lt;=" &amp; $A139, Table2[AwayTeam], AE$1)+SUMIFS(Table2[NewPointsHome],Table2[GameDate], "&lt;=" &amp; $A139, Table2[HomeTeam], AE$1)</f>
        <v>36</v>
      </c>
      <c r="AF139" s="145">
        <f>SUMIFS(Table2[NewPointsAway],Table2[GameDate], "&lt;=" &amp; $A139, Table2[AwayTeam], AF$1)+SUMIFS(Table2[NewPointsHome],Table2[GameDate], "&lt;=" &amp; $A139, Table2[HomeTeam], AF$1)</f>
        <v>29</v>
      </c>
      <c r="AG139" s="145">
        <f>SUMIFS(Table2[NewPointsAway],Table2[GameDate], "&lt;=" &amp; $A139, Table2[AwayTeam], AG$1)+SUMIFS(Table2[NewPointsHome],Table2[GameDate], "&lt;=" &amp; $A139, Table2[HomeTeam], AG$1)</f>
        <v>39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37</v>
      </c>
      <c r="C140" s="145">
        <f>SUMIFS(Table2[NewPointsAway],Table2[GameDate], "&lt;=" &amp; $A140, Table2[AwayTeam], C$1)+SUMIFS(Table2[NewPointsHome],Table2[GameDate], "&lt;=" &amp; $A140, Table2[HomeTeam], C$1)</f>
        <v>34</v>
      </c>
      <c r="D140" s="145">
        <f>SUMIFS(Table2[NewPointsAway],Table2[GameDate], "&lt;=" &amp; $A140, Table2[AwayTeam], D$1)+SUMIFS(Table2[NewPointsHome],Table2[GameDate], "&lt;=" &amp; $A140, Table2[HomeTeam], D$1)</f>
        <v>26</v>
      </c>
      <c r="E140" s="145">
        <f>SUMIFS(Table2[NewPointsAway],Table2[GameDate], "&lt;=" &amp; $A140, Table2[AwayTeam], E$1)+SUMIFS(Table2[NewPointsHome],Table2[GameDate], "&lt;=" &amp; $A140, Table2[HomeTeam], E$1)</f>
        <v>36</v>
      </c>
      <c r="F140" s="145">
        <f>SUMIFS(Table2[NewPointsAway],Table2[GameDate], "&lt;=" &amp; $A140, Table2[AwayTeam], F$1)+SUMIFS(Table2[NewPointsHome],Table2[GameDate], "&lt;=" &amp; $A140, Table2[HomeTeam], F$1)</f>
        <v>32</v>
      </c>
      <c r="G140" s="145">
        <f>SUMIFS(Table2[NewPointsAway],Table2[GameDate], "&lt;=" &amp; $A140, Table2[AwayTeam], G$1)+SUMIFS(Table2[NewPointsHome],Table2[GameDate], "&lt;=" &amp; $A140, Table2[HomeTeam], G$1)</f>
        <v>28</v>
      </c>
      <c r="H140" s="145">
        <f>SUMIFS(Table2[NewPointsAway],Table2[GameDate], "&lt;=" &amp; $A140, Table2[AwayTeam], H$1)+SUMIFS(Table2[NewPointsHome],Table2[GameDate], "&lt;=" &amp; $A140, Table2[HomeTeam], H$1)</f>
        <v>30</v>
      </c>
      <c r="I140" s="145">
        <f>SUMIFS(Table2[NewPointsAway],Table2[GameDate], "&lt;=" &amp; $A140, Table2[AwayTeam], I$1)+SUMIFS(Table2[NewPointsHome],Table2[GameDate], "&lt;=" &amp; $A140, Table2[HomeTeam], I$1)</f>
        <v>48</v>
      </c>
      <c r="J140" s="145">
        <f>SUMIFS(Table2[NewPointsAway],Table2[GameDate], "&lt;=" &amp; $A140, Table2[AwayTeam], J$1)+SUMIFS(Table2[NewPointsHome],Table2[GameDate], "&lt;=" &amp; $A140, Table2[HomeTeam], J$1)</f>
        <v>45</v>
      </c>
      <c r="K140" s="145">
        <f>SUMIFS(Table2[NewPointsAway],Table2[GameDate], "&lt;=" &amp; $A140, Table2[AwayTeam], K$1)+SUMIFS(Table2[NewPointsHome],Table2[GameDate], "&lt;=" &amp; $A140, Table2[HomeTeam], K$1)</f>
        <v>35</v>
      </c>
      <c r="L140" s="145">
        <f>SUMIFS(Table2[NewPointsAway],Table2[GameDate], "&lt;=" &amp; $A140, Table2[AwayTeam], L$1)+SUMIFS(Table2[NewPointsHome],Table2[GameDate], "&lt;=" &amp; $A140, Table2[HomeTeam], L$1)</f>
        <v>31</v>
      </c>
      <c r="M140" s="145">
        <f>SUMIFS(Table2[NewPointsAway],Table2[GameDate], "&lt;=" &amp; $A140, Table2[AwayTeam], M$1)+SUMIFS(Table2[NewPointsHome],Table2[GameDate], "&lt;=" &amp; $A140, Table2[HomeTeam], M$1)</f>
        <v>30</v>
      </c>
      <c r="N140" s="145">
        <f>SUMIFS(Table2[NewPointsAway],Table2[GameDate], "&lt;=" &amp; $A140, Table2[AwayTeam], N$1)+SUMIFS(Table2[NewPointsHome],Table2[GameDate], "&lt;=" &amp; $A140, Table2[HomeTeam], N$1)</f>
        <v>35</v>
      </c>
      <c r="O140" s="145">
        <f>SUMIFS(Table2[NewPointsAway],Table2[GameDate], "&lt;=" &amp; $A140, Table2[AwayTeam], O$1)+SUMIFS(Table2[NewPointsHome],Table2[GameDate], "&lt;=" &amp; $A140, Table2[HomeTeam], O$1)</f>
        <v>37</v>
      </c>
      <c r="P140" s="145">
        <f>SUMIFS(Table2[NewPointsAway],Table2[GameDate], "&lt;=" &amp; $A140, Table2[AwayTeam], P$1)+SUMIFS(Table2[NewPointsHome],Table2[GameDate], "&lt;=" &amp; $A140, Table2[HomeTeam], P$1)</f>
        <v>33</v>
      </c>
      <c r="Q140" s="145">
        <f>SUMIFS(Table2[NewPointsAway],Table2[GameDate], "&lt;=" &amp; $A140, Table2[AwayTeam], Q$1)+SUMIFS(Table2[NewPointsHome],Table2[GameDate], "&lt;=" &amp; $A140, Table2[HomeTeam], Q$1)</f>
        <v>33</v>
      </c>
      <c r="R140" s="145">
        <f>SUMIFS(Table2[NewPointsAway],Table2[GameDate], "&lt;=" &amp; $A140, Table2[AwayTeam], R$1)+SUMIFS(Table2[NewPointsHome],Table2[GameDate], "&lt;=" &amp; $A140, Table2[HomeTeam], R$1)</f>
        <v>24</v>
      </c>
      <c r="S140" s="145">
        <f>SUMIFS(Table2[NewPointsAway],Table2[GameDate], "&lt;=" &amp; $A140, Table2[AwayTeam], S$1)+SUMIFS(Table2[NewPointsHome],Table2[GameDate], "&lt;=" &amp; $A140, Table2[HomeTeam], S$1)</f>
        <v>35</v>
      </c>
      <c r="T140" s="145">
        <f>SUMIFS(Table2[NewPointsAway],Table2[GameDate], "&lt;=" &amp; $A140, Table2[AwayTeam], T$1)+SUMIFS(Table2[NewPointsHome],Table2[GameDate], "&lt;=" &amp; $A140, Table2[HomeTeam], T$1)</f>
        <v>34</v>
      </c>
      <c r="U140" s="145">
        <f>SUMIFS(Table2[NewPointsAway],Table2[GameDate], "&lt;=" &amp; $A140, Table2[AwayTeam], U$1)+SUMIFS(Table2[NewPointsHome],Table2[GameDate], "&lt;=" &amp; $A140, Table2[HomeTeam], U$1)</f>
        <v>30</v>
      </c>
      <c r="V140" s="145">
        <f>SUMIFS(Table2[NewPointsAway],Table2[GameDate], "&lt;=" &amp; $A140, Table2[AwayTeam], V$1)+SUMIFS(Table2[NewPointsHome],Table2[GameDate], "&lt;=" &amp; $A140, Table2[HomeTeam], V$1)</f>
        <v>32</v>
      </c>
      <c r="W140" s="145">
        <f>SUMIFS(Table2[NewPointsAway],Table2[GameDate], "&lt;=" &amp; $A140, Table2[AwayTeam], W$1)+SUMIFS(Table2[NewPointsHome],Table2[GameDate], "&lt;=" &amp; $A140, Table2[HomeTeam], W$1)</f>
        <v>34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31</v>
      </c>
      <c r="Z140" s="145">
        <f>SUMIFS(Table2[NewPointsAway],Table2[GameDate], "&lt;=" &amp; $A140, Table2[AwayTeam], Z$1)+SUMIFS(Table2[NewPointsHome],Table2[GameDate], "&lt;=" &amp; $A140, Table2[HomeTeam], Z$1)</f>
        <v>30</v>
      </c>
      <c r="AA140" s="145">
        <f>SUMIFS(Table2[NewPointsAway],Table2[GameDate], "&lt;=" &amp; $A140, Table2[AwayTeam], AA$1)+SUMIFS(Table2[NewPointsHome],Table2[GameDate], "&lt;=" &amp; $A140, Table2[HomeTeam], AA$1)</f>
        <v>34</v>
      </c>
      <c r="AB140" s="145">
        <f>SUMIFS(Table2[NewPointsAway],Table2[GameDate], "&lt;=" &amp; $A140, Table2[AwayTeam], AB$1)+SUMIFS(Table2[NewPointsHome],Table2[GameDate], "&lt;=" &amp; $A140, Table2[HomeTeam], AB$1)</f>
        <v>32</v>
      </c>
      <c r="AC140" s="145">
        <f>SUMIFS(Table2[NewPointsAway],Table2[GameDate], "&lt;=" &amp; $A140, Table2[AwayTeam], AC$1)+SUMIFS(Table2[NewPointsHome],Table2[GameDate], "&lt;=" &amp; $A140, Table2[HomeTeam], AC$1)</f>
        <v>31</v>
      </c>
      <c r="AD140" s="145">
        <f>SUMIFS(Table2[NewPointsAway],Table2[GameDate], "&lt;=" &amp; $A140, Table2[AwayTeam], AD$1)+SUMIFS(Table2[NewPointsHome],Table2[GameDate], "&lt;=" &amp; $A140, Table2[HomeTeam], AD$1)</f>
        <v>25</v>
      </c>
      <c r="AE140" s="145">
        <f>SUMIFS(Table2[NewPointsAway],Table2[GameDate], "&lt;=" &amp; $A140, Table2[AwayTeam], AE$1)+SUMIFS(Table2[NewPointsHome],Table2[GameDate], "&lt;=" &amp; $A140, Table2[HomeTeam], AE$1)</f>
        <v>36</v>
      </c>
      <c r="AF140" s="145">
        <f>SUMIFS(Table2[NewPointsAway],Table2[GameDate], "&lt;=" &amp; $A140, Table2[AwayTeam], AF$1)+SUMIFS(Table2[NewPointsHome],Table2[GameDate], "&lt;=" &amp; $A140, Table2[HomeTeam], AF$1)</f>
        <v>29</v>
      </c>
      <c r="AG140" s="145">
        <f>SUMIFS(Table2[NewPointsAway],Table2[GameDate], "&lt;=" &amp; $A140, Table2[AwayTeam], AG$1)+SUMIFS(Table2[NewPointsHome],Table2[GameDate], "&lt;=" &amp; $A140, Table2[HomeTeam], AG$1)</f>
        <v>39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37</v>
      </c>
      <c r="C141" s="145">
        <f>SUMIFS(Table2[NewPointsAway],Table2[GameDate], "&lt;=" &amp; $A141, Table2[AwayTeam], C$1)+SUMIFS(Table2[NewPointsHome],Table2[GameDate], "&lt;=" &amp; $A141, Table2[HomeTeam], C$1)</f>
        <v>34</v>
      </c>
      <c r="D141" s="145">
        <f>SUMIFS(Table2[NewPointsAway],Table2[GameDate], "&lt;=" &amp; $A141, Table2[AwayTeam], D$1)+SUMIFS(Table2[NewPointsHome],Table2[GameDate], "&lt;=" &amp; $A141, Table2[HomeTeam], D$1)</f>
        <v>26</v>
      </c>
      <c r="E141" s="145">
        <f>SUMIFS(Table2[NewPointsAway],Table2[GameDate], "&lt;=" &amp; $A141, Table2[AwayTeam], E$1)+SUMIFS(Table2[NewPointsHome],Table2[GameDate], "&lt;=" &amp; $A141, Table2[HomeTeam], E$1)</f>
        <v>36</v>
      </c>
      <c r="F141" s="145">
        <f>SUMIFS(Table2[NewPointsAway],Table2[GameDate], "&lt;=" &amp; $A141, Table2[AwayTeam], F$1)+SUMIFS(Table2[NewPointsHome],Table2[GameDate], "&lt;=" &amp; $A141, Table2[HomeTeam], F$1)</f>
        <v>32</v>
      </c>
      <c r="G141" s="145">
        <f>SUMIFS(Table2[NewPointsAway],Table2[GameDate], "&lt;=" &amp; $A141, Table2[AwayTeam], G$1)+SUMIFS(Table2[NewPointsHome],Table2[GameDate], "&lt;=" &amp; $A141, Table2[HomeTeam], G$1)</f>
        <v>28</v>
      </c>
      <c r="H141" s="145">
        <f>SUMIFS(Table2[NewPointsAway],Table2[GameDate], "&lt;=" &amp; $A141, Table2[AwayTeam], H$1)+SUMIFS(Table2[NewPointsHome],Table2[GameDate], "&lt;=" &amp; $A141, Table2[HomeTeam], H$1)</f>
        <v>30</v>
      </c>
      <c r="I141" s="145">
        <f>SUMIFS(Table2[NewPointsAway],Table2[GameDate], "&lt;=" &amp; $A141, Table2[AwayTeam], I$1)+SUMIFS(Table2[NewPointsHome],Table2[GameDate], "&lt;=" &amp; $A141, Table2[HomeTeam], I$1)</f>
        <v>48</v>
      </c>
      <c r="J141" s="145">
        <f>SUMIFS(Table2[NewPointsAway],Table2[GameDate], "&lt;=" &amp; $A141, Table2[AwayTeam], J$1)+SUMIFS(Table2[NewPointsHome],Table2[GameDate], "&lt;=" &amp; $A141, Table2[HomeTeam], J$1)</f>
        <v>45</v>
      </c>
      <c r="K141" s="145">
        <f>SUMIFS(Table2[NewPointsAway],Table2[GameDate], "&lt;=" &amp; $A141, Table2[AwayTeam], K$1)+SUMIFS(Table2[NewPointsHome],Table2[GameDate], "&lt;=" &amp; $A141, Table2[HomeTeam], K$1)</f>
        <v>35</v>
      </c>
      <c r="L141" s="145">
        <f>SUMIFS(Table2[NewPointsAway],Table2[GameDate], "&lt;=" &amp; $A141, Table2[AwayTeam], L$1)+SUMIFS(Table2[NewPointsHome],Table2[GameDate], "&lt;=" &amp; $A141, Table2[HomeTeam], L$1)</f>
        <v>31</v>
      </c>
      <c r="M141" s="145">
        <f>SUMIFS(Table2[NewPointsAway],Table2[GameDate], "&lt;=" &amp; $A141, Table2[AwayTeam], M$1)+SUMIFS(Table2[NewPointsHome],Table2[GameDate], "&lt;=" &amp; $A141, Table2[HomeTeam], M$1)</f>
        <v>30</v>
      </c>
      <c r="N141" s="145">
        <f>SUMIFS(Table2[NewPointsAway],Table2[GameDate], "&lt;=" &amp; $A141, Table2[AwayTeam], N$1)+SUMIFS(Table2[NewPointsHome],Table2[GameDate], "&lt;=" &amp; $A141, Table2[HomeTeam], N$1)</f>
        <v>35</v>
      </c>
      <c r="O141" s="145">
        <f>SUMIFS(Table2[NewPointsAway],Table2[GameDate], "&lt;=" &amp; $A141, Table2[AwayTeam], O$1)+SUMIFS(Table2[NewPointsHome],Table2[GameDate], "&lt;=" &amp; $A141, Table2[HomeTeam], O$1)</f>
        <v>37</v>
      </c>
      <c r="P141" s="145">
        <f>SUMIFS(Table2[NewPointsAway],Table2[GameDate], "&lt;=" &amp; $A141, Table2[AwayTeam], P$1)+SUMIFS(Table2[NewPointsHome],Table2[GameDate], "&lt;=" &amp; $A141, Table2[HomeTeam], P$1)</f>
        <v>33</v>
      </c>
      <c r="Q141" s="145">
        <f>SUMIFS(Table2[NewPointsAway],Table2[GameDate], "&lt;=" &amp; $A141, Table2[AwayTeam], Q$1)+SUMIFS(Table2[NewPointsHome],Table2[GameDate], "&lt;=" &amp; $A141, Table2[HomeTeam], Q$1)</f>
        <v>33</v>
      </c>
      <c r="R141" s="145">
        <f>SUMIFS(Table2[NewPointsAway],Table2[GameDate], "&lt;=" &amp; $A141, Table2[AwayTeam], R$1)+SUMIFS(Table2[NewPointsHome],Table2[GameDate], "&lt;=" &amp; $A141, Table2[HomeTeam], R$1)</f>
        <v>24</v>
      </c>
      <c r="S141" s="145">
        <f>SUMIFS(Table2[NewPointsAway],Table2[GameDate], "&lt;=" &amp; $A141, Table2[AwayTeam], S$1)+SUMIFS(Table2[NewPointsHome],Table2[GameDate], "&lt;=" &amp; $A141, Table2[HomeTeam], S$1)</f>
        <v>35</v>
      </c>
      <c r="T141" s="145">
        <f>SUMIFS(Table2[NewPointsAway],Table2[GameDate], "&lt;=" &amp; $A141, Table2[AwayTeam], T$1)+SUMIFS(Table2[NewPointsHome],Table2[GameDate], "&lt;=" &amp; $A141, Table2[HomeTeam], T$1)</f>
        <v>34</v>
      </c>
      <c r="U141" s="145">
        <f>SUMIFS(Table2[NewPointsAway],Table2[GameDate], "&lt;=" &amp; $A141, Table2[AwayTeam], U$1)+SUMIFS(Table2[NewPointsHome],Table2[GameDate], "&lt;=" &amp; $A141, Table2[HomeTeam], U$1)</f>
        <v>30</v>
      </c>
      <c r="V141" s="145">
        <f>SUMIFS(Table2[NewPointsAway],Table2[GameDate], "&lt;=" &amp; $A141, Table2[AwayTeam], V$1)+SUMIFS(Table2[NewPointsHome],Table2[GameDate], "&lt;=" &amp; $A141, Table2[HomeTeam], V$1)</f>
        <v>32</v>
      </c>
      <c r="W141" s="145">
        <f>SUMIFS(Table2[NewPointsAway],Table2[GameDate], "&lt;=" &amp; $A141, Table2[AwayTeam], W$1)+SUMIFS(Table2[NewPointsHome],Table2[GameDate], "&lt;=" &amp; $A141, Table2[HomeTeam], W$1)</f>
        <v>34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31</v>
      </c>
      <c r="Z141" s="145">
        <f>SUMIFS(Table2[NewPointsAway],Table2[GameDate], "&lt;=" &amp; $A141, Table2[AwayTeam], Z$1)+SUMIFS(Table2[NewPointsHome],Table2[GameDate], "&lt;=" &amp; $A141, Table2[HomeTeam], Z$1)</f>
        <v>30</v>
      </c>
      <c r="AA141" s="145">
        <f>SUMIFS(Table2[NewPointsAway],Table2[GameDate], "&lt;=" &amp; $A141, Table2[AwayTeam], AA$1)+SUMIFS(Table2[NewPointsHome],Table2[GameDate], "&lt;=" &amp; $A141, Table2[HomeTeam], AA$1)</f>
        <v>34</v>
      </c>
      <c r="AB141" s="145">
        <f>SUMIFS(Table2[NewPointsAway],Table2[GameDate], "&lt;=" &amp; $A141, Table2[AwayTeam], AB$1)+SUMIFS(Table2[NewPointsHome],Table2[GameDate], "&lt;=" &amp; $A141, Table2[HomeTeam], AB$1)</f>
        <v>32</v>
      </c>
      <c r="AC141" s="145">
        <f>SUMIFS(Table2[NewPointsAway],Table2[GameDate], "&lt;=" &amp; $A141, Table2[AwayTeam], AC$1)+SUMIFS(Table2[NewPointsHome],Table2[GameDate], "&lt;=" &amp; $A141, Table2[HomeTeam], AC$1)</f>
        <v>31</v>
      </c>
      <c r="AD141" s="145">
        <f>SUMIFS(Table2[NewPointsAway],Table2[GameDate], "&lt;=" &amp; $A141, Table2[AwayTeam], AD$1)+SUMIFS(Table2[NewPointsHome],Table2[GameDate], "&lt;=" &amp; $A141, Table2[HomeTeam], AD$1)</f>
        <v>25</v>
      </c>
      <c r="AE141" s="145">
        <f>SUMIFS(Table2[NewPointsAway],Table2[GameDate], "&lt;=" &amp; $A141, Table2[AwayTeam], AE$1)+SUMIFS(Table2[NewPointsHome],Table2[GameDate], "&lt;=" &amp; $A141, Table2[HomeTeam], AE$1)</f>
        <v>36</v>
      </c>
      <c r="AF141" s="145">
        <f>SUMIFS(Table2[NewPointsAway],Table2[GameDate], "&lt;=" &amp; $A141, Table2[AwayTeam], AF$1)+SUMIFS(Table2[NewPointsHome],Table2[GameDate], "&lt;=" &amp; $A141, Table2[HomeTeam], AF$1)</f>
        <v>29</v>
      </c>
      <c r="AG141" s="145">
        <f>SUMIFS(Table2[NewPointsAway],Table2[GameDate], "&lt;=" &amp; $A141, Table2[AwayTeam], AG$1)+SUMIFS(Table2[NewPointsHome],Table2[GameDate], "&lt;=" &amp; $A141, Table2[HomeTeam], AG$1)</f>
        <v>39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37</v>
      </c>
      <c r="C142" s="145">
        <f>SUMIFS(Table2[NewPointsAway],Table2[GameDate], "&lt;=" &amp; $A142, Table2[AwayTeam], C$1)+SUMIFS(Table2[NewPointsHome],Table2[GameDate], "&lt;=" &amp; $A142, Table2[HomeTeam], C$1)</f>
        <v>34</v>
      </c>
      <c r="D142" s="145">
        <f>SUMIFS(Table2[NewPointsAway],Table2[GameDate], "&lt;=" &amp; $A142, Table2[AwayTeam], D$1)+SUMIFS(Table2[NewPointsHome],Table2[GameDate], "&lt;=" &amp; $A142, Table2[HomeTeam], D$1)</f>
        <v>26</v>
      </c>
      <c r="E142" s="145">
        <f>SUMIFS(Table2[NewPointsAway],Table2[GameDate], "&lt;=" &amp; $A142, Table2[AwayTeam], E$1)+SUMIFS(Table2[NewPointsHome],Table2[GameDate], "&lt;=" &amp; $A142, Table2[HomeTeam], E$1)</f>
        <v>36</v>
      </c>
      <c r="F142" s="145">
        <f>SUMIFS(Table2[NewPointsAway],Table2[GameDate], "&lt;=" &amp; $A142, Table2[AwayTeam], F$1)+SUMIFS(Table2[NewPointsHome],Table2[GameDate], "&lt;=" &amp; $A142, Table2[HomeTeam], F$1)</f>
        <v>32</v>
      </c>
      <c r="G142" s="145">
        <f>SUMIFS(Table2[NewPointsAway],Table2[GameDate], "&lt;=" &amp; $A142, Table2[AwayTeam], G$1)+SUMIFS(Table2[NewPointsHome],Table2[GameDate], "&lt;=" &amp; $A142, Table2[HomeTeam], G$1)</f>
        <v>28</v>
      </c>
      <c r="H142" s="145">
        <f>SUMIFS(Table2[NewPointsAway],Table2[GameDate], "&lt;=" &amp; $A142, Table2[AwayTeam], H$1)+SUMIFS(Table2[NewPointsHome],Table2[GameDate], "&lt;=" &amp; $A142, Table2[HomeTeam], H$1)</f>
        <v>30</v>
      </c>
      <c r="I142" s="145">
        <f>SUMIFS(Table2[NewPointsAway],Table2[GameDate], "&lt;=" &amp; $A142, Table2[AwayTeam], I$1)+SUMIFS(Table2[NewPointsHome],Table2[GameDate], "&lt;=" &amp; $A142, Table2[HomeTeam], I$1)</f>
        <v>48</v>
      </c>
      <c r="J142" s="145">
        <f>SUMIFS(Table2[NewPointsAway],Table2[GameDate], "&lt;=" &amp; $A142, Table2[AwayTeam], J$1)+SUMIFS(Table2[NewPointsHome],Table2[GameDate], "&lt;=" &amp; $A142, Table2[HomeTeam], J$1)</f>
        <v>45</v>
      </c>
      <c r="K142" s="145">
        <f>SUMIFS(Table2[NewPointsAway],Table2[GameDate], "&lt;=" &amp; $A142, Table2[AwayTeam], K$1)+SUMIFS(Table2[NewPointsHome],Table2[GameDate], "&lt;=" &amp; $A142, Table2[HomeTeam], K$1)</f>
        <v>35</v>
      </c>
      <c r="L142" s="145">
        <f>SUMIFS(Table2[NewPointsAway],Table2[GameDate], "&lt;=" &amp; $A142, Table2[AwayTeam], L$1)+SUMIFS(Table2[NewPointsHome],Table2[GameDate], "&lt;=" &amp; $A142, Table2[HomeTeam], L$1)</f>
        <v>31</v>
      </c>
      <c r="M142" s="145">
        <f>SUMIFS(Table2[NewPointsAway],Table2[GameDate], "&lt;=" &amp; $A142, Table2[AwayTeam], M$1)+SUMIFS(Table2[NewPointsHome],Table2[GameDate], "&lt;=" &amp; $A142, Table2[HomeTeam], M$1)</f>
        <v>30</v>
      </c>
      <c r="N142" s="145">
        <f>SUMIFS(Table2[NewPointsAway],Table2[GameDate], "&lt;=" &amp; $A142, Table2[AwayTeam], N$1)+SUMIFS(Table2[NewPointsHome],Table2[GameDate], "&lt;=" &amp; $A142, Table2[HomeTeam], N$1)</f>
        <v>35</v>
      </c>
      <c r="O142" s="145">
        <f>SUMIFS(Table2[NewPointsAway],Table2[GameDate], "&lt;=" &amp; $A142, Table2[AwayTeam], O$1)+SUMIFS(Table2[NewPointsHome],Table2[GameDate], "&lt;=" &amp; $A142, Table2[HomeTeam], O$1)</f>
        <v>37</v>
      </c>
      <c r="P142" s="145">
        <f>SUMIFS(Table2[NewPointsAway],Table2[GameDate], "&lt;=" &amp; $A142, Table2[AwayTeam], P$1)+SUMIFS(Table2[NewPointsHome],Table2[GameDate], "&lt;=" &amp; $A142, Table2[HomeTeam], P$1)</f>
        <v>33</v>
      </c>
      <c r="Q142" s="145">
        <f>SUMIFS(Table2[NewPointsAway],Table2[GameDate], "&lt;=" &amp; $A142, Table2[AwayTeam], Q$1)+SUMIFS(Table2[NewPointsHome],Table2[GameDate], "&lt;=" &amp; $A142, Table2[HomeTeam], Q$1)</f>
        <v>33</v>
      </c>
      <c r="R142" s="145">
        <f>SUMIFS(Table2[NewPointsAway],Table2[GameDate], "&lt;=" &amp; $A142, Table2[AwayTeam], R$1)+SUMIFS(Table2[NewPointsHome],Table2[GameDate], "&lt;=" &amp; $A142, Table2[HomeTeam], R$1)</f>
        <v>24</v>
      </c>
      <c r="S142" s="145">
        <f>SUMIFS(Table2[NewPointsAway],Table2[GameDate], "&lt;=" &amp; $A142, Table2[AwayTeam], S$1)+SUMIFS(Table2[NewPointsHome],Table2[GameDate], "&lt;=" &amp; $A142, Table2[HomeTeam], S$1)</f>
        <v>35</v>
      </c>
      <c r="T142" s="145">
        <f>SUMIFS(Table2[NewPointsAway],Table2[GameDate], "&lt;=" &amp; $A142, Table2[AwayTeam], T$1)+SUMIFS(Table2[NewPointsHome],Table2[GameDate], "&lt;=" &amp; $A142, Table2[HomeTeam], T$1)</f>
        <v>34</v>
      </c>
      <c r="U142" s="145">
        <f>SUMIFS(Table2[NewPointsAway],Table2[GameDate], "&lt;=" &amp; $A142, Table2[AwayTeam], U$1)+SUMIFS(Table2[NewPointsHome],Table2[GameDate], "&lt;=" &amp; $A142, Table2[HomeTeam], U$1)</f>
        <v>30</v>
      </c>
      <c r="V142" s="145">
        <f>SUMIFS(Table2[NewPointsAway],Table2[GameDate], "&lt;=" &amp; $A142, Table2[AwayTeam], V$1)+SUMIFS(Table2[NewPointsHome],Table2[GameDate], "&lt;=" &amp; $A142, Table2[HomeTeam], V$1)</f>
        <v>32</v>
      </c>
      <c r="W142" s="145">
        <f>SUMIFS(Table2[NewPointsAway],Table2[GameDate], "&lt;=" &amp; $A142, Table2[AwayTeam], W$1)+SUMIFS(Table2[NewPointsHome],Table2[GameDate], "&lt;=" &amp; $A142, Table2[HomeTeam], W$1)</f>
        <v>34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31</v>
      </c>
      <c r="Z142" s="145">
        <f>SUMIFS(Table2[NewPointsAway],Table2[GameDate], "&lt;=" &amp; $A142, Table2[AwayTeam], Z$1)+SUMIFS(Table2[NewPointsHome],Table2[GameDate], "&lt;=" &amp; $A142, Table2[HomeTeam], Z$1)</f>
        <v>30</v>
      </c>
      <c r="AA142" s="145">
        <f>SUMIFS(Table2[NewPointsAway],Table2[GameDate], "&lt;=" &amp; $A142, Table2[AwayTeam], AA$1)+SUMIFS(Table2[NewPointsHome],Table2[GameDate], "&lt;=" &amp; $A142, Table2[HomeTeam], AA$1)</f>
        <v>34</v>
      </c>
      <c r="AB142" s="145">
        <f>SUMIFS(Table2[NewPointsAway],Table2[GameDate], "&lt;=" &amp; $A142, Table2[AwayTeam], AB$1)+SUMIFS(Table2[NewPointsHome],Table2[GameDate], "&lt;=" &amp; $A142, Table2[HomeTeam], AB$1)</f>
        <v>32</v>
      </c>
      <c r="AC142" s="145">
        <f>SUMIFS(Table2[NewPointsAway],Table2[GameDate], "&lt;=" &amp; $A142, Table2[AwayTeam], AC$1)+SUMIFS(Table2[NewPointsHome],Table2[GameDate], "&lt;=" &amp; $A142, Table2[HomeTeam], AC$1)</f>
        <v>31</v>
      </c>
      <c r="AD142" s="145">
        <f>SUMIFS(Table2[NewPointsAway],Table2[GameDate], "&lt;=" &amp; $A142, Table2[AwayTeam], AD$1)+SUMIFS(Table2[NewPointsHome],Table2[GameDate], "&lt;=" &amp; $A142, Table2[HomeTeam], AD$1)</f>
        <v>25</v>
      </c>
      <c r="AE142" s="145">
        <f>SUMIFS(Table2[NewPointsAway],Table2[GameDate], "&lt;=" &amp; $A142, Table2[AwayTeam], AE$1)+SUMIFS(Table2[NewPointsHome],Table2[GameDate], "&lt;=" &amp; $A142, Table2[HomeTeam], AE$1)</f>
        <v>36</v>
      </c>
      <c r="AF142" s="145">
        <f>SUMIFS(Table2[NewPointsAway],Table2[GameDate], "&lt;=" &amp; $A142, Table2[AwayTeam], AF$1)+SUMIFS(Table2[NewPointsHome],Table2[GameDate], "&lt;=" &amp; $A142, Table2[HomeTeam], AF$1)</f>
        <v>29</v>
      </c>
      <c r="AG142" s="145">
        <f>SUMIFS(Table2[NewPointsAway],Table2[GameDate], "&lt;=" &amp; $A142, Table2[AwayTeam], AG$1)+SUMIFS(Table2[NewPointsHome],Table2[GameDate], "&lt;=" &amp; $A142, Table2[HomeTeam], AG$1)</f>
        <v>39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37</v>
      </c>
      <c r="C143" s="145">
        <f>SUMIFS(Table2[NewPointsAway],Table2[GameDate], "&lt;=" &amp; $A143, Table2[AwayTeam], C$1)+SUMIFS(Table2[NewPointsHome],Table2[GameDate], "&lt;=" &amp; $A143, Table2[HomeTeam], C$1)</f>
        <v>34</v>
      </c>
      <c r="D143" s="145">
        <f>SUMIFS(Table2[NewPointsAway],Table2[GameDate], "&lt;=" &amp; $A143, Table2[AwayTeam], D$1)+SUMIFS(Table2[NewPointsHome],Table2[GameDate], "&lt;=" &amp; $A143, Table2[HomeTeam], D$1)</f>
        <v>26</v>
      </c>
      <c r="E143" s="145">
        <f>SUMIFS(Table2[NewPointsAway],Table2[GameDate], "&lt;=" &amp; $A143, Table2[AwayTeam], E$1)+SUMIFS(Table2[NewPointsHome],Table2[GameDate], "&lt;=" &amp; $A143, Table2[HomeTeam], E$1)</f>
        <v>36</v>
      </c>
      <c r="F143" s="145">
        <f>SUMIFS(Table2[NewPointsAway],Table2[GameDate], "&lt;=" &amp; $A143, Table2[AwayTeam], F$1)+SUMIFS(Table2[NewPointsHome],Table2[GameDate], "&lt;=" &amp; $A143, Table2[HomeTeam], F$1)</f>
        <v>32</v>
      </c>
      <c r="G143" s="145">
        <f>SUMIFS(Table2[NewPointsAway],Table2[GameDate], "&lt;=" &amp; $A143, Table2[AwayTeam], G$1)+SUMIFS(Table2[NewPointsHome],Table2[GameDate], "&lt;=" &amp; $A143, Table2[HomeTeam], G$1)</f>
        <v>28</v>
      </c>
      <c r="H143" s="145">
        <f>SUMIFS(Table2[NewPointsAway],Table2[GameDate], "&lt;=" &amp; $A143, Table2[AwayTeam], H$1)+SUMIFS(Table2[NewPointsHome],Table2[GameDate], "&lt;=" &amp; $A143, Table2[HomeTeam], H$1)</f>
        <v>30</v>
      </c>
      <c r="I143" s="145">
        <f>SUMIFS(Table2[NewPointsAway],Table2[GameDate], "&lt;=" &amp; $A143, Table2[AwayTeam], I$1)+SUMIFS(Table2[NewPointsHome],Table2[GameDate], "&lt;=" &amp; $A143, Table2[HomeTeam], I$1)</f>
        <v>48</v>
      </c>
      <c r="J143" s="145">
        <f>SUMIFS(Table2[NewPointsAway],Table2[GameDate], "&lt;=" &amp; $A143, Table2[AwayTeam], J$1)+SUMIFS(Table2[NewPointsHome],Table2[GameDate], "&lt;=" &amp; $A143, Table2[HomeTeam], J$1)</f>
        <v>45</v>
      </c>
      <c r="K143" s="145">
        <f>SUMIFS(Table2[NewPointsAway],Table2[GameDate], "&lt;=" &amp; $A143, Table2[AwayTeam], K$1)+SUMIFS(Table2[NewPointsHome],Table2[GameDate], "&lt;=" &amp; $A143, Table2[HomeTeam], K$1)</f>
        <v>35</v>
      </c>
      <c r="L143" s="145">
        <f>SUMIFS(Table2[NewPointsAway],Table2[GameDate], "&lt;=" &amp; $A143, Table2[AwayTeam], L$1)+SUMIFS(Table2[NewPointsHome],Table2[GameDate], "&lt;=" &amp; $A143, Table2[HomeTeam], L$1)</f>
        <v>31</v>
      </c>
      <c r="M143" s="145">
        <f>SUMIFS(Table2[NewPointsAway],Table2[GameDate], "&lt;=" &amp; $A143, Table2[AwayTeam], M$1)+SUMIFS(Table2[NewPointsHome],Table2[GameDate], "&lt;=" &amp; $A143, Table2[HomeTeam], M$1)</f>
        <v>30</v>
      </c>
      <c r="N143" s="145">
        <f>SUMIFS(Table2[NewPointsAway],Table2[GameDate], "&lt;=" &amp; $A143, Table2[AwayTeam], N$1)+SUMIFS(Table2[NewPointsHome],Table2[GameDate], "&lt;=" &amp; $A143, Table2[HomeTeam], N$1)</f>
        <v>35</v>
      </c>
      <c r="O143" s="145">
        <f>SUMIFS(Table2[NewPointsAway],Table2[GameDate], "&lt;=" &amp; $A143, Table2[AwayTeam], O$1)+SUMIFS(Table2[NewPointsHome],Table2[GameDate], "&lt;=" &amp; $A143, Table2[HomeTeam], O$1)</f>
        <v>37</v>
      </c>
      <c r="P143" s="145">
        <f>SUMIFS(Table2[NewPointsAway],Table2[GameDate], "&lt;=" &amp; $A143, Table2[AwayTeam], P$1)+SUMIFS(Table2[NewPointsHome],Table2[GameDate], "&lt;=" &amp; $A143, Table2[HomeTeam], P$1)</f>
        <v>33</v>
      </c>
      <c r="Q143" s="145">
        <f>SUMIFS(Table2[NewPointsAway],Table2[GameDate], "&lt;=" &amp; $A143, Table2[AwayTeam], Q$1)+SUMIFS(Table2[NewPointsHome],Table2[GameDate], "&lt;=" &amp; $A143, Table2[HomeTeam], Q$1)</f>
        <v>33</v>
      </c>
      <c r="R143" s="145">
        <f>SUMIFS(Table2[NewPointsAway],Table2[GameDate], "&lt;=" &amp; $A143, Table2[AwayTeam], R$1)+SUMIFS(Table2[NewPointsHome],Table2[GameDate], "&lt;=" &amp; $A143, Table2[HomeTeam], R$1)</f>
        <v>24</v>
      </c>
      <c r="S143" s="145">
        <f>SUMIFS(Table2[NewPointsAway],Table2[GameDate], "&lt;=" &amp; $A143, Table2[AwayTeam], S$1)+SUMIFS(Table2[NewPointsHome],Table2[GameDate], "&lt;=" &amp; $A143, Table2[HomeTeam], S$1)</f>
        <v>35</v>
      </c>
      <c r="T143" s="145">
        <f>SUMIFS(Table2[NewPointsAway],Table2[GameDate], "&lt;=" &amp; $A143, Table2[AwayTeam], T$1)+SUMIFS(Table2[NewPointsHome],Table2[GameDate], "&lt;=" &amp; $A143, Table2[HomeTeam], T$1)</f>
        <v>34</v>
      </c>
      <c r="U143" s="145">
        <f>SUMIFS(Table2[NewPointsAway],Table2[GameDate], "&lt;=" &amp; $A143, Table2[AwayTeam], U$1)+SUMIFS(Table2[NewPointsHome],Table2[GameDate], "&lt;=" &amp; $A143, Table2[HomeTeam], U$1)</f>
        <v>30</v>
      </c>
      <c r="V143" s="145">
        <f>SUMIFS(Table2[NewPointsAway],Table2[GameDate], "&lt;=" &amp; $A143, Table2[AwayTeam], V$1)+SUMIFS(Table2[NewPointsHome],Table2[GameDate], "&lt;=" &amp; $A143, Table2[HomeTeam], V$1)</f>
        <v>32</v>
      </c>
      <c r="W143" s="145">
        <f>SUMIFS(Table2[NewPointsAway],Table2[GameDate], "&lt;=" &amp; $A143, Table2[AwayTeam], W$1)+SUMIFS(Table2[NewPointsHome],Table2[GameDate], "&lt;=" &amp; $A143, Table2[HomeTeam], W$1)</f>
        <v>34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31</v>
      </c>
      <c r="Z143" s="145">
        <f>SUMIFS(Table2[NewPointsAway],Table2[GameDate], "&lt;=" &amp; $A143, Table2[AwayTeam], Z$1)+SUMIFS(Table2[NewPointsHome],Table2[GameDate], "&lt;=" &amp; $A143, Table2[HomeTeam], Z$1)</f>
        <v>30</v>
      </c>
      <c r="AA143" s="145">
        <f>SUMIFS(Table2[NewPointsAway],Table2[GameDate], "&lt;=" &amp; $A143, Table2[AwayTeam], AA$1)+SUMIFS(Table2[NewPointsHome],Table2[GameDate], "&lt;=" &amp; $A143, Table2[HomeTeam], AA$1)</f>
        <v>34</v>
      </c>
      <c r="AB143" s="145">
        <f>SUMIFS(Table2[NewPointsAway],Table2[GameDate], "&lt;=" &amp; $A143, Table2[AwayTeam], AB$1)+SUMIFS(Table2[NewPointsHome],Table2[GameDate], "&lt;=" &amp; $A143, Table2[HomeTeam], AB$1)</f>
        <v>32</v>
      </c>
      <c r="AC143" s="145">
        <f>SUMIFS(Table2[NewPointsAway],Table2[GameDate], "&lt;=" &amp; $A143, Table2[AwayTeam], AC$1)+SUMIFS(Table2[NewPointsHome],Table2[GameDate], "&lt;=" &amp; $A143, Table2[HomeTeam], AC$1)</f>
        <v>31</v>
      </c>
      <c r="AD143" s="145">
        <f>SUMIFS(Table2[NewPointsAway],Table2[GameDate], "&lt;=" &amp; $A143, Table2[AwayTeam], AD$1)+SUMIFS(Table2[NewPointsHome],Table2[GameDate], "&lt;=" &amp; $A143, Table2[HomeTeam], AD$1)</f>
        <v>25</v>
      </c>
      <c r="AE143" s="145">
        <f>SUMIFS(Table2[NewPointsAway],Table2[GameDate], "&lt;=" &amp; $A143, Table2[AwayTeam], AE$1)+SUMIFS(Table2[NewPointsHome],Table2[GameDate], "&lt;=" &amp; $A143, Table2[HomeTeam], AE$1)</f>
        <v>36</v>
      </c>
      <c r="AF143" s="145">
        <f>SUMIFS(Table2[NewPointsAway],Table2[GameDate], "&lt;=" &amp; $A143, Table2[AwayTeam], AF$1)+SUMIFS(Table2[NewPointsHome],Table2[GameDate], "&lt;=" &amp; $A143, Table2[HomeTeam], AF$1)</f>
        <v>29</v>
      </c>
      <c r="AG143" s="145">
        <f>SUMIFS(Table2[NewPointsAway],Table2[GameDate], "&lt;=" &amp; $A143, Table2[AwayTeam], AG$1)+SUMIFS(Table2[NewPointsHome],Table2[GameDate], "&lt;=" &amp; $A143, Table2[HomeTeam], AG$1)</f>
        <v>39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37</v>
      </c>
      <c r="C144" s="145">
        <f>SUMIFS(Table2[NewPointsAway],Table2[GameDate], "&lt;=" &amp; $A144, Table2[AwayTeam], C$1)+SUMIFS(Table2[NewPointsHome],Table2[GameDate], "&lt;=" &amp; $A144, Table2[HomeTeam], C$1)</f>
        <v>34</v>
      </c>
      <c r="D144" s="145">
        <f>SUMIFS(Table2[NewPointsAway],Table2[GameDate], "&lt;=" &amp; $A144, Table2[AwayTeam], D$1)+SUMIFS(Table2[NewPointsHome],Table2[GameDate], "&lt;=" &amp; $A144, Table2[HomeTeam], D$1)</f>
        <v>26</v>
      </c>
      <c r="E144" s="145">
        <f>SUMIFS(Table2[NewPointsAway],Table2[GameDate], "&lt;=" &amp; $A144, Table2[AwayTeam], E$1)+SUMIFS(Table2[NewPointsHome],Table2[GameDate], "&lt;=" &amp; $A144, Table2[HomeTeam], E$1)</f>
        <v>36</v>
      </c>
      <c r="F144" s="145">
        <f>SUMIFS(Table2[NewPointsAway],Table2[GameDate], "&lt;=" &amp; $A144, Table2[AwayTeam], F$1)+SUMIFS(Table2[NewPointsHome],Table2[GameDate], "&lt;=" &amp; $A144, Table2[HomeTeam], F$1)</f>
        <v>32</v>
      </c>
      <c r="G144" s="145">
        <f>SUMIFS(Table2[NewPointsAway],Table2[GameDate], "&lt;=" &amp; $A144, Table2[AwayTeam], G$1)+SUMIFS(Table2[NewPointsHome],Table2[GameDate], "&lt;=" &amp; $A144, Table2[HomeTeam], G$1)</f>
        <v>28</v>
      </c>
      <c r="H144" s="145">
        <f>SUMIFS(Table2[NewPointsAway],Table2[GameDate], "&lt;=" &amp; $A144, Table2[AwayTeam], H$1)+SUMIFS(Table2[NewPointsHome],Table2[GameDate], "&lt;=" &amp; $A144, Table2[HomeTeam], H$1)</f>
        <v>30</v>
      </c>
      <c r="I144" s="145">
        <f>SUMIFS(Table2[NewPointsAway],Table2[GameDate], "&lt;=" &amp; $A144, Table2[AwayTeam], I$1)+SUMIFS(Table2[NewPointsHome],Table2[GameDate], "&lt;=" &amp; $A144, Table2[HomeTeam], I$1)</f>
        <v>48</v>
      </c>
      <c r="J144" s="145">
        <f>SUMIFS(Table2[NewPointsAway],Table2[GameDate], "&lt;=" &amp; $A144, Table2[AwayTeam], J$1)+SUMIFS(Table2[NewPointsHome],Table2[GameDate], "&lt;=" &amp; $A144, Table2[HomeTeam], J$1)</f>
        <v>45</v>
      </c>
      <c r="K144" s="145">
        <f>SUMIFS(Table2[NewPointsAway],Table2[GameDate], "&lt;=" &amp; $A144, Table2[AwayTeam], K$1)+SUMIFS(Table2[NewPointsHome],Table2[GameDate], "&lt;=" &amp; $A144, Table2[HomeTeam], K$1)</f>
        <v>35</v>
      </c>
      <c r="L144" s="145">
        <f>SUMIFS(Table2[NewPointsAway],Table2[GameDate], "&lt;=" &amp; $A144, Table2[AwayTeam], L$1)+SUMIFS(Table2[NewPointsHome],Table2[GameDate], "&lt;=" &amp; $A144, Table2[HomeTeam], L$1)</f>
        <v>31</v>
      </c>
      <c r="M144" s="145">
        <f>SUMIFS(Table2[NewPointsAway],Table2[GameDate], "&lt;=" &amp; $A144, Table2[AwayTeam], M$1)+SUMIFS(Table2[NewPointsHome],Table2[GameDate], "&lt;=" &amp; $A144, Table2[HomeTeam], M$1)</f>
        <v>30</v>
      </c>
      <c r="N144" s="145">
        <f>SUMIFS(Table2[NewPointsAway],Table2[GameDate], "&lt;=" &amp; $A144, Table2[AwayTeam], N$1)+SUMIFS(Table2[NewPointsHome],Table2[GameDate], "&lt;=" &amp; $A144, Table2[HomeTeam], N$1)</f>
        <v>35</v>
      </c>
      <c r="O144" s="145">
        <f>SUMIFS(Table2[NewPointsAway],Table2[GameDate], "&lt;=" &amp; $A144, Table2[AwayTeam], O$1)+SUMIFS(Table2[NewPointsHome],Table2[GameDate], "&lt;=" &amp; $A144, Table2[HomeTeam], O$1)</f>
        <v>37</v>
      </c>
      <c r="P144" s="145">
        <f>SUMIFS(Table2[NewPointsAway],Table2[GameDate], "&lt;=" &amp; $A144, Table2[AwayTeam], P$1)+SUMIFS(Table2[NewPointsHome],Table2[GameDate], "&lt;=" &amp; $A144, Table2[HomeTeam], P$1)</f>
        <v>33</v>
      </c>
      <c r="Q144" s="145">
        <f>SUMIFS(Table2[NewPointsAway],Table2[GameDate], "&lt;=" &amp; $A144, Table2[AwayTeam], Q$1)+SUMIFS(Table2[NewPointsHome],Table2[GameDate], "&lt;=" &amp; $A144, Table2[HomeTeam], Q$1)</f>
        <v>33</v>
      </c>
      <c r="R144" s="145">
        <f>SUMIFS(Table2[NewPointsAway],Table2[GameDate], "&lt;=" &amp; $A144, Table2[AwayTeam], R$1)+SUMIFS(Table2[NewPointsHome],Table2[GameDate], "&lt;=" &amp; $A144, Table2[HomeTeam], R$1)</f>
        <v>24</v>
      </c>
      <c r="S144" s="145">
        <f>SUMIFS(Table2[NewPointsAway],Table2[GameDate], "&lt;=" &amp; $A144, Table2[AwayTeam], S$1)+SUMIFS(Table2[NewPointsHome],Table2[GameDate], "&lt;=" &amp; $A144, Table2[HomeTeam], S$1)</f>
        <v>35</v>
      </c>
      <c r="T144" s="145">
        <f>SUMIFS(Table2[NewPointsAway],Table2[GameDate], "&lt;=" &amp; $A144, Table2[AwayTeam], T$1)+SUMIFS(Table2[NewPointsHome],Table2[GameDate], "&lt;=" &amp; $A144, Table2[HomeTeam], T$1)</f>
        <v>34</v>
      </c>
      <c r="U144" s="145">
        <f>SUMIFS(Table2[NewPointsAway],Table2[GameDate], "&lt;=" &amp; $A144, Table2[AwayTeam], U$1)+SUMIFS(Table2[NewPointsHome],Table2[GameDate], "&lt;=" &amp; $A144, Table2[HomeTeam], U$1)</f>
        <v>30</v>
      </c>
      <c r="V144" s="145">
        <f>SUMIFS(Table2[NewPointsAway],Table2[GameDate], "&lt;=" &amp; $A144, Table2[AwayTeam], V$1)+SUMIFS(Table2[NewPointsHome],Table2[GameDate], "&lt;=" &amp; $A144, Table2[HomeTeam], V$1)</f>
        <v>32</v>
      </c>
      <c r="W144" s="145">
        <f>SUMIFS(Table2[NewPointsAway],Table2[GameDate], "&lt;=" &amp; $A144, Table2[AwayTeam], W$1)+SUMIFS(Table2[NewPointsHome],Table2[GameDate], "&lt;=" &amp; $A144, Table2[HomeTeam], W$1)</f>
        <v>34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31</v>
      </c>
      <c r="Z144" s="145">
        <f>SUMIFS(Table2[NewPointsAway],Table2[GameDate], "&lt;=" &amp; $A144, Table2[AwayTeam], Z$1)+SUMIFS(Table2[NewPointsHome],Table2[GameDate], "&lt;=" &amp; $A144, Table2[HomeTeam], Z$1)</f>
        <v>30</v>
      </c>
      <c r="AA144" s="145">
        <f>SUMIFS(Table2[NewPointsAway],Table2[GameDate], "&lt;=" &amp; $A144, Table2[AwayTeam], AA$1)+SUMIFS(Table2[NewPointsHome],Table2[GameDate], "&lt;=" &amp; $A144, Table2[HomeTeam], AA$1)</f>
        <v>34</v>
      </c>
      <c r="AB144" s="145">
        <f>SUMIFS(Table2[NewPointsAway],Table2[GameDate], "&lt;=" &amp; $A144, Table2[AwayTeam], AB$1)+SUMIFS(Table2[NewPointsHome],Table2[GameDate], "&lt;=" &amp; $A144, Table2[HomeTeam], AB$1)</f>
        <v>32</v>
      </c>
      <c r="AC144" s="145">
        <f>SUMIFS(Table2[NewPointsAway],Table2[GameDate], "&lt;=" &amp; $A144, Table2[AwayTeam], AC$1)+SUMIFS(Table2[NewPointsHome],Table2[GameDate], "&lt;=" &amp; $A144, Table2[HomeTeam], AC$1)</f>
        <v>31</v>
      </c>
      <c r="AD144" s="145">
        <f>SUMIFS(Table2[NewPointsAway],Table2[GameDate], "&lt;=" &amp; $A144, Table2[AwayTeam], AD$1)+SUMIFS(Table2[NewPointsHome],Table2[GameDate], "&lt;=" &amp; $A144, Table2[HomeTeam], AD$1)</f>
        <v>25</v>
      </c>
      <c r="AE144" s="145">
        <f>SUMIFS(Table2[NewPointsAway],Table2[GameDate], "&lt;=" &amp; $A144, Table2[AwayTeam], AE$1)+SUMIFS(Table2[NewPointsHome],Table2[GameDate], "&lt;=" &amp; $A144, Table2[HomeTeam], AE$1)</f>
        <v>36</v>
      </c>
      <c r="AF144" s="145">
        <f>SUMIFS(Table2[NewPointsAway],Table2[GameDate], "&lt;=" &amp; $A144, Table2[AwayTeam], AF$1)+SUMIFS(Table2[NewPointsHome],Table2[GameDate], "&lt;=" &amp; $A144, Table2[HomeTeam], AF$1)</f>
        <v>29</v>
      </c>
      <c r="AG144" s="145">
        <f>SUMIFS(Table2[NewPointsAway],Table2[GameDate], "&lt;=" &amp; $A144, Table2[AwayTeam], AG$1)+SUMIFS(Table2[NewPointsHome],Table2[GameDate], "&lt;=" &amp; $A144, Table2[HomeTeam], AG$1)</f>
        <v>39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37</v>
      </c>
      <c r="C145" s="145">
        <f>SUMIFS(Table2[NewPointsAway],Table2[GameDate], "&lt;=" &amp; $A145, Table2[AwayTeam], C$1)+SUMIFS(Table2[NewPointsHome],Table2[GameDate], "&lt;=" &amp; $A145, Table2[HomeTeam], C$1)</f>
        <v>34</v>
      </c>
      <c r="D145" s="145">
        <f>SUMIFS(Table2[NewPointsAway],Table2[GameDate], "&lt;=" &amp; $A145, Table2[AwayTeam], D$1)+SUMIFS(Table2[NewPointsHome],Table2[GameDate], "&lt;=" &amp; $A145, Table2[HomeTeam], D$1)</f>
        <v>26</v>
      </c>
      <c r="E145" s="145">
        <f>SUMIFS(Table2[NewPointsAway],Table2[GameDate], "&lt;=" &amp; $A145, Table2[AwayTeam], E$1)+SUMIFS(Table2[NewPointsHome],Table2[GameDate], "&lt;=" &amp; $A145, Table2[HomeTeam], E$1)</f>
        <v>36</v>
      </c>
      <c r="F145" s="145">
        <f>SUMIFS(Table2[NewPointsAway],Table2[GameDate], "&lt;=" &amp; $A145, Table2[AwayTeam], F$1)+SUMIFS(Table2[NewPointsHome],Table2[GameDate], "&lt;=" &amp; $A145, Table2[HomeTeam], F$1)</f>
        <v>32</v>
      </c>
      <c r="G145" s="145">
        <f>SUMIFS(Table2[NewPointsAway],Table2[GameDate], "&lt;=" &amp; $A145, Table2[AwayTeam], G$1)+SUMIFS(Table2[NewPointsHome],Table2[GameDate], "&lt;=" &amp; $A145, Table2[HomeTeam], G$1)</f>
        <v>28</v>
      </c>
      <c r="H145" s="145">
        <f>SUMIFS(Table2[NewPointsAway],Table2[GameDate], "&lt;=" &amp; $A145, Table2[AwayTeam], H$1)+SUMIFS(Table2[NewPointsHome],Table2[GameDate], "&lt;=" &amp; $A145, Table2[HomeTeam], H$1)</f>
        <v>30</v>
      </c>
      <c r="I145" s="145">
        <f>SUMIFS(Table2[NewPointsAway],Table2[GameDate], "&lt;=" &amp; $A145, Table2[AwayTeam], I$1)+SUMIFS(Table2[NewPointsHome],Table2[GameDate], "&lt;=" &amp; $A145, Table2[HomeTeam], I$1)</f>
        <v>48</v>
      </c>
      <c r="J145" s="145">
        <f>SUMIFS(Table2[NewPointsAway],Table2[GameDate], "&lt;=" &amp; $A145, Table2[AwayTeam], J$1)+SUMIFS(Table2[NewPointsHome],Table2[GameDate], "&lt;=" &amp; $A145, Table2[HomeTeam], J$1)</f>
        <v>45</v>
      </c>
      <c r="K145" s="145">
        <f>SUMIFS(Table2[NewPointsAway],Table2[GameDate], "&lt;=" &amp; $A145, Table2[AwayTeam], K$1)+SUMIFS(Table2[NewPointsHome],Table2[GameDate], "&lt;=" &amp; $A145, Table2[HomeTeam], K$1)</f>
        <v>35</v>
      </c>
      <c r="L145" s="145">
        <f>SUMIFS(Table2[NewPointsAway],Table2[GameDate], "&lt;=" &amp; $A145, Table2[AwayTeam], L$1)+SUMIFS(Table2[NewPointsHome],Table2[GameDate], "&lt;=" &amp; $A145, Table2[HomeTeam], L$1)</f>
        <v>31</v>
      </c>
      <c r="M145" s="145">
        <f>SUMIFS(Table2[NewPointsAway],Table2[GameDate], "&lt;=" &amp; $A145, Table2[AwayTeam], M$1)+SUMIFS(Table2[NewPointsHome],Table2[GameDate], "&lt;=" &amp; $A145, Table2[HomeTeam], M$1)</f>
        <v>30</v>
      </c>
      <c r="N145" s="145">
        <f>SUMIFS(Table2[NewPointsAway],Table2[GameDate], "&lt;=" &amp; $A145, Table2[AwayTeam], N$1)+SUMIFS(Table2[NewPointsHome],Table2[GameDate], "&lt;=" &amp; $A145, Table2[HomeTeam], N$1)</f>
        <v>35</v>
      </c>
      <c r="O145" s="145">
        <f>SUMIFS(Table2[NewPointsAway],Table2[GameDate], "&lt;=" &amp; $A145, Table2[AwayTeam], O$1)+SUMIFS(Table2[NewPointsHome],Table2[GameDate], "&lt;=" &amp; $A145, Table2[HomeTeam], O$1)</f>
        <v>37</v>
      </c>
      <c r="P145" s="145">
        <f>SUMIFS(Table2[NewPointsAway],Table2[GameDate], "&lt;=" &amp; $A145, Table2[AwayTeam], P$1)+SUMIFS(Table2[NewPointsHome],Table2[GameDate], "&lt;=" &amp; $A145, Table2[HomeTeam], P$1)</f>
        <v>33</v>
      </c>
      <c r="Q145" s="145">
        <f>SUMIFS(Table2[NewPointsAway],Table2[GameDate], "&lt;=" &amp; $A145, Table2[AwayTeam], Q$1)+SUMIFS(Table2[NewPointsHome],Table2[GameDate], "&lt;=" &amp; $A145, Table2[HomeTeam], Q$1)</f>
        <v>33</v>
      </c>
      <c r="R145" s="145">
        <f>SUMIFS(Table2[NewPointsAway],Table2[GameDate], "&lt;=" &amp; $A145, Table2[AwayTeam], R$1)+SUMIFS(Table2[NewPointsHome],Table2[GameDate], "&lt;=" &amp; $A145, Table2[HomeTeam], R$1)</f>
        <v>24</v>
      </c>
      <c r="S145" s="145">
        <f>SUMIFS(Table2[NewPointsAway],Table2[GameDate], "&lt;=" &amp; $A145, Table2[AwayTeam], S$1)+SUMIFS(Table2[NewPointsHome],Table2[GameDate], "&lt;=" &amp; $A145, Table2[HomeTeam], S$1)</f>
        <v>35</v>
      </c>
      <c r="T145" s="145">
        <f>SUMIFS(Table2[NewPointsAway],Table2[GameDate], "&lt;=" &amp; $A145, Table2[AwayTeam], T$1)+SUMIFS(Table2[NewPointsHome],Table2[GameDate], "&lt;=" &amp; $A145, Table2[HomeTeam], T$1)</f>
        <v>34</v>
      </c>
      <c r="U145" s="145">
        <f>SUMIFS(Table2[NewPointsAway],Table2[GameDate], "&lt;=" &amp; $A145, Table2[AwayTeam], U$1)+SUMIFS(Table2[NewPointsHome],Table2[GameDate], "&lt;=" &amp; $A145, Table2[HomeTeam], U$1)</f>
        <v>30</v>
      </c>
      <c r="V145" s="145">
        <f>SUMIFS(Table2[NewPointsAway],Table2[GameDate], "&lt;=" &amp; $A145, Table2[AwayTeam], V$1)+SUMIFS(Table2[NewPointsHome],Table2[GameDate], "&lt;=" &amp; $A145, Table2[HomeTeam], V$1)</f>
        <v>32</v>
      </c>
      <c r="W145" s="145">
        <f>SUMIFS(Table2[NewPointsAway],Table2[GameDate], "&lt;=" &amp; $A145, Table2[AwayTeam], W$1)+SUMIFS(Table2[NewPointsHome],Table2[GameDate], "&lt;=" &amp; $A145, Table2[HomeTeam], W$1)</f>
        <v>34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31</v>
      </c>
      <c r="Z145" s="145">
        <f>SUMIFS(Table2[NewPointsAway],Table2[GameDate], "&lt;=" &amp; $A145, Table2[AwayTeam], Z$1)+SUMIFS(Table2[NewPointsHome],Table2[GameDate], "&lt;=" &amp; $A145, Table2[HomeTeam], Z$1)</f>
        <v>30</v>
      </c>
      <c r="AA145" s="145">
        <f>SUMIFS(Table2[NewPointsAway],Table2[GameDate], "&lt;=" &amp; $A145, Table2[AwayTeam], AA$1)+SUMIFS(Table2[NewPointsHome],Table2[GameDate], "&lt;=" &amp; $A145, Table2[HomeTeam], AA$1)</f>
        <v>34</v>
      </c>
      <c r="AB145" s="145">
        <f>SUMIFS(Table2[NewPointsAway],Table2[GameDate], "&lt;=" &amp; $A145, Table2[AwayTeam], AB$1)+SUMIFS(Table2[NewPointsHome],Table2[GameDate], "&lt;=" &amp; $A145, Table2[HomeTeam], AB$1)</f>
        <v>32</v>
      </c>
      <c r="AC145" s="145">
        <f>SUMIFS(Table2[NewPointsAway],Table2[GameDate], "&lt;=" &amp; $A145, Table2[AwayTeam], AC$1)+SUMIFS(Table2[NewPointsHome],Table2[GameDate], "&lt;=" &amp; $A145, Table2[HomeTeam], AC$1)</f>
        <v>31</v>
      </c>
      <c r="AD145" s="145">
        <f>SUMIFS(Table2[NewPointsAway],Table2[GameDate], "&lt;=" &amp; $A145, Table2[AwayTeam], AD$1)+SUMIFS(Table2[NewPointsHome],Table2[GameDate], "&lt;=" &amp; $A145, Table2[HomeTeam], AD$1)</f>
        <v>25</v>
      </c>
      <c r="AE145" s="145">
        <f>SUMIFS(Table2[NewPointsAway],Table2[GameDate], "&lt;=" &amp; $A145, Table2[AwayTeam], AE$1)+SUMIFS(Table2[NewPointsHome],Table2[GameDate], "&lt;=" &amp; $A145, Table2[HomeTeam], AE$1)</f>
        <v>36</v>
      </c>
      <c r="AF145" s="145">
        <f>SUMIFS(Table2[NewPointsAway],Table2[GameDate], "&lt;=" &amp; $A145, Table2[AwayTeam], AF$1)+SUMIFS(Table2[NewPointsHome],Table2[GameDate], "&lt;=" &amp; $A145, Table2[HomeTeam], AF$1)</f>
        <v>29</v>
      </c>
      <c r="AG145" s="145">
        <f>SUMIFS(Table2[NewPointsAway],Table2[GameDate], "&lt;=" &amp; $A145, Table2[AwayTeam], AG$1)+SUMIFS(Table2[NewPointsHome],Table2[GameDate], "&lt;=" &amp; $A145, Table2[HomeTeam], AG$1)</f>
        <v>39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37</v>
      </c>
      <c r="C146" s="145">
        <f>SUMIFS(Table2[NewPointsAway],Table2[GameDate], "&lt;=" &amp; $A146, Table2[AwayTeam], C$1)+SUMIFS(Table2[NewPointsHome],Table2[GameDate], "&lt;=" &amp; $A146, Table2[HomeTeam], C$1)</f>
        <v>34</v>
      </c>
      <c r="D146" s="145">
        <f>SUMIFS(Table2[NewPointsAway],Table2[GameDate], "&lt;=" &amp; $A146, Table2[AwayTeam], D$1)+SUMIFS(Table2[NewPointsHome],Table2[GameDate], "&lt;=" &amp; $A146, Table2[HomeTeam], D$1)</f>
        <v>26</v>
      </c>
      <c r="E146" s="145">
        <f>SUMIFS(Table2[NewPointsAway],Table2[GameDate], "&lt;=" &amp; $A146, Table2[AwayTeam], E$1)+SUMIFS(Table2[NewPointsHome],Table2[GameDate], "&lt;=" &amp; $A146, Table2[HomeTeam], E$1)</f>
        <v>36</v>
      </c>
      <c r="F146" s="145">
        <f>SUMIFS(Table2[NewPointsAway],Table2[GameDate], "&lt;=" &amp; $A146, Table2[AwayTeam], F$1)+SUMIFS(Table2[NewPointsHome],Table2[GameDate], "&lt;=" &amp; $A146, Table2[HomeTeam], F$1)</f>
        <v>32</v>
      </c>
      <c r="G146" s="145">
        <f>SUMIFS(Table2[NewPointsAway],Table2[GameDate], "&lt;=" &amp; $A146, Table2[AwayTeam], G$1)+SUMIFS(Table2[NewPointsHome],Table2[GameDate], "&lt;=" &amp; $A146, Table2[HomeTeam], G$1)</f>
        <v>28</v>
      </c>
      <c r="H146" s="145">
        <f>SUMIFS(Table2[NewPointsAway],Table2[GameDate], "&lt;=" &amp; $A146, Table2[AwayTeam], H$1)+SUMIFS(Table2[NewPointsHome],Table2[GameDate], "&lt;=" &amp; $A146, Table2[HomeTeam], H$1)</f>
        <v>30</v>
      </c>
      <c r="I146" s="145">
        <f>SUMIFS(Table2[NewPointsAway],Table2[GameDate], "&lt;=" &amp; $A146, Table2[AwayTeam], I$1)+SUMIFS(Table2[NewPointsHome],Table2[GameDate], "&lt;=" &amp; $A146, Table2[HomeTeam], I$1)</f>
        <v>48</v>
      </c>
      <c r="J146" s="145">
        <f>SUMIFS(Table2[NewPointsAway],Table2[GameDate], "&lt;=" &amp; $A146, Table2[AwayTeam], J$1)+SUMIFS(Table2[NewPointsHome],Table2[GameDate], "&lt;=" &amp; $A146, Table2[HomeTeam], J$1)</f>
        <v>45</v>
      </c>
      <c r="K146" s="145">
        <f>SUMIFS(Table2[NewPointsAway],Table2[GameDate], "&lt;=" &amp; $A146, Table2[AwayTeam], K$1)+SUMIFS(Table2[NewPointsHome],Table2[GameDate], "&lt;=" &amp; $A146, Table2[HomeTeam], K$1)</f>
        <v>35</v>
      </c>
      <c r="L146" s="145">
        <f>SUMIFS(Table2[NewPointsAway],Table2[GameDate], "&lt;=" &amp; $A146, Table2[AwayTeam], L$1)+SUMIFS(Table2[NewPointsHome],Table2[GameDate], "&lt;=" &amp; $A146, Table2[HomeTeam], L$1)</f>
        <v>31</v>
      </c>
      <c r="M146" s="145">
        <f>SUMIFS(Table2[NewPointsAway],Table2[GameDate], "&lt;=" &amp; $A146, Table2[AwayTeam], M$1)+SUMIFS(Table2[NewPointsHome],Table2[GameDate], "&lt;=" &amp; $A146, Table2[HomeTeam], M$1)</f>
        <v>30</v>
      </c>
      <c r="N146" s="145">
        <f>SUMIFS(Table2[NewPointsAway],Table2[GameDate], "&lt;=" &amp; $A146, Table2[AwayTeam], N$1)+SUMIFS(Table2[NewPointsHome],Table2[GameDate], "&lt;=" &amp; $A146, Table2[HomeTeam], N$1)</f>
        <v>35</v>
      </c>
      <c r="O146" s="145">
        <f>SUMIFS(Table2[NewPointsAway],Table2[GameDate], "&lt;=" &amp; $A146, Table2[AwayTeam], O$1)+SUMIFS(Table2[NewPointsHome],Table2[GameDate], "&lt;=" &amp; $A146, Table2[HomeTeam], O$1)</f>
        <v>37</v>
      </c>
      <c r="P146" s="145">
        <f>SUMIFS(Table2[NewPointsAway],Table2[GameDate], "&lt;=" &amp; $A146, Table2[AwayTeam], P$1)+SUMIFS(Table2[NewPointsHome],Table2[GameDate], "&lt;=" &amp; $A146, Table2[HomeTeam], P$1)</f>
        <v>33</v>
      </c>
      <c r="Q146" s="145">
        <f>SUMIFS(Table2[NewPointsAway],Table2[GameDate], "&lt;=" &amp; $A146, Table2[AwayTeam], Q$1)+SUMIFS(Table2[NewPointsHome],Table2[GameDate], "&lt;=" &amp; $A146, Table2[HomeTeam], Q$1)</f>
        <v>33</v>
      </c>
      <c r="R146" s="145">
        <f>SUMIFS(Table2[NewPointsAway],Table2[GameDate], "&lt;=" &amp; $A146, Table2[AwayTeam], R$1)+SUMIFS(Table2[NewPointsHome],Table2[GameDate], "&lt;=" &amp; $A146, Table2[HomeTeam], R$1)</f>
        <v>24</v>
      </c>
      <c r="S146" s="145">
        <f>SUMIFS(Table2[NewPointsAway],Table2[GameDate], "&lt;=" &amp; $A146, Table2[AwayTeam], S$1)+SUMIFS(Table2[NewPointsHome],Table2[GameDate], "&lt;=" &amp; $A146, Table2[HomeTeam], S$1)</f>
        <v>35</v>
      </c>
      <c r="T146" s="145">
        <f>SUMIFS(Table2[NewPointsAway],Table2[GameDate], "&lt;=" &amp; $A146, Table2[AwayTeam], T$1)+SUMIFS(Table2[NewPointsHome],Table2[GameDate], "&lt;=" &amp; $A146, Table2[HomeTeam], T$1)</f>
        <v>34</v>
      </c>
      <c r="U146" s="145">
        <f>SUMIFS(Table2[NewPointsAway],Table2[GameDate], "&lt;=" &amp; $A146, Table2[AwayTeam], U$1)+SUMIFS(Table2[NewPointsHome],Table2[GameDate], "&lt;=" &amp; $A146, Table2[HomeTeam], U$1)</f>
        <v>30</v>
      </c>
      <c r="V146" s="145">
        <f>SUMIFS(Table2[NewPointsAway],Table2[GameDate], "&lt;=" &amp; $A146, Table2[AwayTeam], V$1)+SUMIFS(Table2[NewPointsHome],Table2[GameDate], "&lt;=" &amp; $A146, Table2[HomeTeam], V$1)</f>
        <v>32</v>
      </c>
      <c r="W146" s="145">
        <f>SUMIFS(Table2[NewPointsAway],Table2[GameDate], "&lt;=" &amp; $A146, Table2[AwayTeam], W$1)+SUMIFS(Table2[NewPointsHome],Table2[GameDate], "&lt;=" &amp; $A146, Table2[HomeTeam], W$1)</f>
        <v>34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31</v>
      </c>
      <c r="Z146" s="145">
        <f>SUMIFS(Table2[NewPointsAway],Table2[GameDate], "&lt;=" &amp; $A146, Table2[AwayTeam], Z$1)+SUMIFS(Table2[NewPointsHome],Table2[GameDate], "&lt;=" &amp; $A146, Table2[HomeTeam], Z$1)</f>
        <v>30</v>
      </c>
      <c r="AA146" s="145">
        <f>SUMIFS(Table2[NewPointsAway],Table2[GameDate], "&lt;=" &amp; $A146, Table2[AwayTeam], AA$1)+SUMIFS(Table2[NewPointsHome],Table2[GameDate], "&lt;=" &amp; $A146, Table2[HomeTeam], AA$1)</f>
        <v>34</v>
      </c>
      <c r="AB146" s="145">
        <f>SUMIFS(Table2[NewPointsAway],Table2[GameDate], "&lt;=" &amp; $A146, Table2[AwayTeam], AB$1)+SUMIFS(Table2[NewPointsHome],Table2[GameDate], "&lt;=" &amp; $A146, Table2[HomeTeam], AB$1)</f>
        <v>32</v>
      </c>
      <c r="AC146" s="145">
        <f>SUMIFS(Table2[NewPointsAway],Table2[GameDate], "&lt;=" &amp; $A146, Table2[AwayTeam], AC$1)+SUMIFS(Table2[NewPointsHome],Table2[GameDate], "&lt;=" &amp; $A146, Table2[HomeTeam], AC$1)</f>
        <v>31</v>
      </c>
      <c r="AD146" s="145">
        <f>SUMIFS(Table2[NewPointsAway],Table2[GameDate], "&lt;=" &amp; $A146, Table2[AwayTeam], AD$1)+SUMIFS(Table2[NewPointsHome],Table2[GameDate], "&lt;=" &amp; $A146, Table2[HomeTeam], AD$1)</f>
        <v>25</v>
      </c>
      <c r="AE146" s="145">
        <f>SUMIFS(Table2[NewPointsAway],Table2[GameDate], "&lt;=" &amp; $A146, Table2[AwayTeam], AE$1)+SUMIFS(Table2[NewPointsHome],Table2[GameDate], "&lt;=" &amp; $A146, Table2[HomeTeam], AE$1)</f>
        <v>36</v>
      </c>
      <c r="AF146" s="145">
        <f>SUMIFS(Table2[NewPointsAway],Table2[GameDate], "&lt;=" &amp; $A146, Table2[AwayTeam], AF$1)+SUMIFS(Table2[NewPointsHome],Table2[GameDate], "&lt;=" &amp; $A146, Table2[HomeTeam], AF$1)</f>
        <v>29</v>
      </c>
      <c r="AG146" s="145">
        <f>SUMIFS(Table2[NewPointsAway],Table2[GameDate], "&lt;=" &amp; $A146, Table2[AwayTeam], AG$1)+SUMIFS(Table2[NewPointsHome],Table2[GameDate], "&lt;=" &amp; $A146, Table2[HomeTeam], AG$1)</f>
        <v>39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37</v>
      </c>
      <c r="C147" s="145">
        <f>SUMIFS(Table2[NewPointsAway],Table2[GameDate], "&lt;=" &amp; $A147, Table2[AwayTeam], C$1)+SUMIFS(Table2[NewPointsHome],Table2[GameDate], "&lt;=" &amp; $A147, Table2[HomeTeam], C$1)</f>
        <v>34</v>
      </c>
      <c r="D147" s="145">
        <f>SUMIFS(Table2[NewPointsAway],Table2[GameDate], "&lt;=" &amp; $A147, Table2[AwayTeam], D$1)+SUMIFS(Table2[NewPointsHome],Table2[GameDate], "&lt;=" &amp; $A147, Table2[HomeTeam], D$1)</f>
        <v>26</v>
      </c>
      <c r="E147" s="145">
        <f>SUMIFS(Table2[NewPointsAway],Table2[GameDate], "&lt;=" &amp; $A147, Table2[AwayTeam], E$1)+SUMIFS(Table2[NewPointsHome],Table2[GameDate], "&lt;=" &amp; $A147, Table2[HomeTeam], E$1)</f>
        <v>36</v>
      </c>
      <c r="F147" s="145">
        <f>SUMIFS(Table2[NewPointsAway],Table2[GameDate], "&lt;=" &amp; $A147, Table2[AwayTeam], F$1)+SUMIFS(Table2[NewPointsHome],Table2[GameDate], "&lt;=" &amp; $A147, Table2[HomeTeam], F$1)</f>
        <v>32</v>
      </c>
      <c r="G147" s="145">
        <f>SUMIFS(Table2[NewPointsAway],Table2[GameDate], "&lt;=" &amp; $A147, Table2[AwayTeam], G$1)+SUMIFS(Table2[NewPointsHome],Table2[GameDate], "&lt;=" &amp; $A147, Table2[HomeTeam], G$1)</f>
        <v>28</v>
      </c>
      <c r="H147" s="145">
        <f>SUMIFS(Table2[NewPointsAway],Table2[GameDate], "&lt;=" &amp; $A147, Table2[AwayTeam], H$1)+SUMIFS(Table2[NewPointsHome],Table2[GameDate], "&lt;=" &amp; $A147, Table2[HomeTeam], H$1)</f>
        <v>30</v>
      </c>
      <c r="I147" s="145">
        <f>SUMIFS(Table2[NewPointsAway],Table2[GameDate], "&lt;=" &amp; $A147, Table2[AwayTeam], I$1)+SUMIFS(Table2[NewPointsHome],Table2[GameDate], "&lt;=" &amp; $A147, Table2[HomeTeam], I$1)</f>
        <v>48</v>
      </c>
      <c r="J147" s="145">
        <f>SUMIFS(Table2[NewPointsAway],Table2[GameDate], "&lt;=" &amp; $A147, Table2[AwayTeam], J$1)+SUMIFS(Table2[NewPointsHome],Table2[GameDate], "&lt;=" &amp; $A147, Table2[HomeTeam], J$1)</f>
        <v>45</v>
      </c>
      <c r="K147" s="145">
        <f>SUMIFS(Table2[NewPointsAway],Table2[GameDate], "&lt;=" &amp; $A147, Table2[AwayTeam], K$1)+SUMIFS(Table2[NewPointsHome],Table2[GameDate], "&lt;=" &amp; $A147, Table2[HomeTeam], K$1)</f>
        <v>35</v>
      </c>
      <c r="L147" s="145">
        <f>SUMIFS(Table2[NewPointsAway],Table2[GameDate], "&lt;=" &amp; $A147, Table2[AwayTeam], L$1)+SUMIFS(Table2[NewPointsHome],Table2[GameDate], "&lt;=" &amp; $A147, Table2[HomeTeam], L$1)</f>
        <v>31</v>
      </c>
      <c r="M147" s="145">
        <f>SUMIFS(Table2[NewPointsAway],Table2[GameDate], "&lt;=" &amp; $A147, Table2[AwayTeam], M$1)+SUMIFS(Table2[NewPointsHome],Table2[GameDate], "&lt;=" &amp; $A147, Table2[HomeTeam], M$1)</f>
        <v>30</v>
      </c>
      <c r="N147" s="145">
        <f>SUMIFS(Table2[NewPointsAway],Table2[GameDate], "&lt;=" &amp; $A147, Table2[AwayTeam], N$1)+SUMIFS(Table2[NewPointsHome],Table2[GameDate], "&lt;=" &amp; $A147, Table2[HomeTeam], N$1)</f>
        <v>35</v>
      </c>
      <c r="O147" s="145">
        <f>SUMIFS(Table2[NewPointsAway],Table2[GameDate], "&lt;=" &amp; $A147, Table2[AwayTeam], O$1)+SUMIFS(Table2[NewPointsHome],Table2[GameDate], "&lt;=" &amp; $A147, Table2[HomeTeam], O$1)</f>
        <v>37</v>
      </c>
      <c r="P147" s="145">
        <f>SUMIFS(Table2[NewPointsAway],Table2[GameDate], "&lt;=" &amp; $A147, Table2[AwayTeam], P$1)+SUMIFS(Table2[NewPointsHome],Table2[GameDate], "&lt;=" &amp; $A147, Table2[HomeTeam], P$1)</f>
        <v>33</v>
      </c>
      <c r="Q147" s="145">
        <f>SUMIFS(Table2[NewPointsAway],Table2[GameDate], "&lt;=" &amp; $A147, Table2[AwayTeam], Q$1)+SUMIFS(Table2[NewPointsHome],Table2[GameDate], "&lt;=" &amp; $A147, Table2[HomeTeam], Q$1)</f>
        <v>33</v>
      </c>
      <c r="R147" s="145">
        <f>SUMIFS(Table2[NewPointsAway],Table2[GameDate], "&lt;=" &amp; $A147, Table2[AwayTeam], R$1)+SUMIFS(Table2[NewPointsHome],Table2[GameDate], "&lt;=" &amp; $A147, Table2[HomeTeam], R$1)</f>
        <v>24</v>
      </c>
      <c r="S147" s="145">
        <f>SUMIFS(Table2[NewPointsAway],Table2[GameDate], "&lt;=" &amp; $A147, Table2[AwayTeam], S$1)+SUMIFS(Table2[NewPointsHome],Table2[GameDate], "&lt;=" &amp; $A147, Table2[HomeTeam], S$1)</f>
        <v>35</v>
      </c>
      <c r="T147" s="145">
        <f>SUMIFS(Table2[NewPointsAway],Table2[GameDate], "&lt;=" &amp; $A147, Table2[AwayTeam], T$1)+SUMIFS(Table2[NewPointsHome],Table2[GameDate], "&lt;=" &amp; $A147, Table2[HomeTeam], T$1)</f>
        <v>34</v>
      </c>
      <c r="U147" s="145">
        <f>SUMIFS(Table2[NewPointsAway],Table2[GameDate], "&lt;=" &amp; $A147, Table2[AwayTeam], U$1)+SUMIFS(Table2[NewPointsHome],Table2[GameDate], "&lt;=" &amp; $A147, Table2[HomeTeam], U$1)</f>
        <v>30</v>
      </c>
      <c r="V147" s="145">
        <f>SUMIFS(Table2[NewPointsAway],Table2[GameDate], "&lt;=" &amp; $A147, Table2[AwayTeam], V$1)+SUMIFS(Table2[NewPointsHome],Table2[GameDate], "&lt;=" &amp; $A147, Table2[HomeTeam], V$1)</f>
        <v>32</v>
      </c>
      <c r="W147" s="145">
        <f>SUMIFS(Table2[NewPointsAway],Table2[GameDate], "&lt;=" &amp; $A147, Table2[AwayTeam], W$1)+SUMIFS(Table2[NewPointsHome],Table2[GameDate], "&lt;=" &amp; $A147, Table2[HomeTeam], W$1)</f>
        <v>34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31</v>
      </c>
      <c r="Z147" s="145">
        <f>SUMIFS(Table2[NewPointsAway],Table2[GameDate], "&lt;=" &amp; $A147, Table2[AwayTeam], Z$1)+SUMIFS(Table2[NewPointsHome],Table2[GameDate], "&lt;=" &amp; $A147, Table2[HomeTeam], Z$1)</f>
        <v>30</v>
      </c>
      <c r="AA147" s="145">
        <f>SUMIFS(Table2[NewPointsAway],Table2[GameDate], "&lt;=" &amp; $A147, Table2[AwayTeam], AA$1)+SUMIFS(Table2[NewPointsHome],Table2[GameDate], "&lt;=" &amp; $A147, Table2[HomeTeam], AA$1)</f>
        <v>34</v>
      </c>
      <c r="AB147" s="145">
        <f>SUMIFS(Table2[NewPointsAway],Table2[GameDate], "&lt;=" &amp; $A147, Table2[AwayTeam], AB$1)+SUMIFS(Table2[NewPointsHome],Table2[GameDate], "&lt;=" &amp; $A147, Table2[HomeTeam], AB$1)</f>
        <v>32</v>
      </c>
      <c r="AC147" s="145">
        <f>SUMIFS(Table2[NewPointsAway],Table2[GameDate], "&lt;=" &amp; $A147, Table2[AwayTeam], AC$1)+SUMIFS(Table2[NewPointsHome],Table2[GameDate], "&lt;=" &amp; $A147, Table2[HomeTeam], AC$1)</f>
        <v>31</v>
      </c>
      <c r="AD147" s="145">
        <f>SUMIFS(Table2[NewPointsAway],Table2[GameDate], "&lt;=" &amp; $A147, Table2[AwayTeam], AD$1)+SUMIFS(Table2[NewPointsHome],Table2[GameDate], "&lt;=" &amp; $A147, Table2[HomeTeam], AD$1)</f>
        <v>25</v>
      </c>
      <c r="AE147" s="145">
        <f>SUMIFS(Table2[NewPointsAway],Table2[GameDate], "&lt;=" &amp; $A147, Table2[AwayTeam], AE$1)+SUMIFS(Table2[NewPointsHome],Table2[GameDate], "&lt;=" &amp; $A147, Table2[HomeTeam], AE$1)</f>
        <v>36</v>
      </c>
      <c r="AF147" s="145">
        <f>SUMIFS(Table2[NewPointsAway],Table2[GameDate], "&lt;=" &amp; $A147, Table2[AwayTeam], AF$1)+SUMIFS(Table2[NewPointsHome],Table2[GameDate], "&lt;=" &amp; $A147, Table2[HomeTeam], AF$1)</f>
        <v>29</v>
      </c>
      <c r="AG147" s="145">
        <f>SUMIFS(Table2[NewPointsAway],Table2[GameDate], "&lt;=" &amp; $A147, Table2[AwayTeam], AG$1)+SUMIFS(Table2[NewPointsHome],Table2[GameDate], "&lt;=" &amp; $A147, Table2[HomeTeam], AG$1)</f>
        <v>39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37</v>
      </c>
      <c r="C148" s="145">
        <f>SUMIFS(Table2[NewPointsAway],Table2[GameDate], "&lt;=" &amp; $A148, Table2[AwayTeam], C$1)+SUMIFS(Table2[NewPointsHome],Table2[GameDate], "&lt;=" &amp; $A148, Table2[HomeTeam], C$1)</f>
        <v>34</v>
      </c>
      <c r="D148" s="145">
        <f>SUMIFS(Table2[NewPointsAway],Table2[GameDate], "&lt;=" &amp; $A148, Table2[AwayTeam], D$1)+SUMIFS(Table2[NewPointsHome],Table2[GameDate], "&lt;=" &amp; $A148, Table2[HomeTeam], D$1)</f>
        <v>26</v>
      </c>
      <c r="E148" s="145">
        <f>SUMIFS(Table2[NewPointsAway],Table2[GameDate], "&lt;=" &amp; $A148, Table2[AwayTeam], E$1)+SUMIFS(Table2[NewPointsHome],Table2[GameDate], "&lt;=" &amp; $A148, Table2[HomeTeam], E$1)</f>
        <v>36</v>
      </c>
      <c r="F148" s="145">
        <f>SUMIFS(Table2[NewPointsAway],Table2[GameDate], "&lt;=" &amp; $A148, Table2[AwayTeam], F$1)+SUMIFS(Table2[NewPointsHome],Table2[GameDate], "&lt;=" &amp; $A148, Table2[HomeTeam], F$1)</f>
        <v>32</v>
      </c>
      <c r="G148" s="145">
        <f>SUMIFS(Table2[NewPointsAway],Table2[GameDate], "&lt;=" &amp; $A148, Table2[AwayTeam], G$1)+SUMIFS(Table2[NewPointsHome],Table2[GameDate], "&lt;=" &amp; $A148, Table2[HomeTeam], G$1)</f>
        <v>28</v>
      </c>
      <c r="H148" s="145">
        <f>SUMIFS(Table2[NewPointsAway],Table2[GameDate], "&lt;=" &amp; $A148, Table2[AwayTeam], H$1)+SUMIFS(Table2[NewPointsHome],Table2[GameDate], "&lt;=" &amp; $A148, Table2[HomeTeam], H$1)</f>
        <v>30</v>
      </c>
      <c r="I148" s="145">
        <f>SUMIFS(Table2[NewPointsAway],Table2[GameDate], "&lt;=" &amp; $A148, Table2[AwayTeam], I$1)+SUMIFS(Table2[NewPointsHome],Table2[GameDate], "&lt;=" &amp; $A148, Table2[HomeTeam], I$1)</f>
        <v>48</v>
      </c>
      <c r="J148" s="145">
        <f>SUMIFS(Table2[NewPointsAway],Table2[GameDate], "&lt;=" &amp; $A148, Table2[AwayTeam], J$1)+SUMIFS(Table2[NewPointsHome],Table2[GameDate], "&lt;=" &amp; $A148, Table2[HomeTeam], J$1)</f>
        <v>45</v>
      </c>
      <c r="K148" s="145">
        <f>SUMIFS(Table2[NewPointsAway],Table2[GameDate], "&lt;=" &amp; $A148, Table2[AwayTeam], K$1)+SUMIFS(Table2[NewPointsHome],Table2[GameDate], "&lt;=" &amp; $A148, Table2[HomeTeam], K$1)</f>
        <v>35</v>
      </c>
      <c r="L148" s="145">
        <f>SUMIFS(Table2[NewPointsAway],Table2[GameDate], "&lt;=" &amp; $A148, Table2[AwayTeam], L$1)+SUMIFS(Table2[NewPointsHome],Table2[GameDate], "&lt;=" &amp; $A148, Table2[HomeTeam], L$1)</f>
        <v>31</v>
      </c>
      <c r="M148" s="145">
        <f>SUMIFS(Table2[NewPointsAway],Table2[GameDate], "&lt;=" &amp; $A148, Table2[AwayTeam], M$1)+SUMIFS(Table2[NewPointsHome],Table2[GameDate], "&lt;=" &amp; $A148, Table2[HomeTeam], M$1)</f>
        <v>30</v>
      </c>
      <c r="N148" s="145">
        <f>SUMIFS(Table2[NewPointsAway],Table2[GameDate], "&lt;=" &amp; $A148, Table2[AwayTeam], N$1)+SUMIFS(Table2[NewPointsHome],Table2[GameDate], "&lt;=" &amp; $A148, Table2[HomeTeam], N$1)</f>
        <v>35</v>
      </c>
      <c r="O148" s="145">
        <f>SUMIFS(Table2[NewPointsAway],Table2[GameDate], "&lt;=" &amp; $A148, Table2[AwayTeam], O$1)+SUMIFS(Table2[NewPointsHome],Table2[GameDate], "&lt;=" &amp; $A148, Table2[HomeTeam], O$1)</f>
        <v>37</v>
      </c>
      <c r="P148" s="145">
        <f>SUMIFS(Table2[NewPointsAway],Table2[GameDate], "&lt;=" &amp; $A148, Table2[AwayTeam], P$1)+SUMIFS(Table2[NewPointsHome],Table2[GameDate], "&lt;=" &amp; $A148, Table2[HomeTeam], P$1)</f>
        <v>33</v>
      </c>
      <c r="Q148" s="145">
        <f>SUMIFS(Table2[NewPointsAway],Table2[GameDate], "&lt;=" &amp; $A148, Table2[AwayTeam], Q$1)+SUMIFS(Table2[NewPointsHome],Table2[GameDate], "&lt;=" &amp; $A148, Table2[HomeTeam], Q$1)</f>
        <v>33</v>
      </c>
      <c r="R148" s="145">
        <f>SUMIFS(Table2[NewPointsAway],Table2[GameDate], "&lt;=" &amp; $A148, Table2[AwayTeam], R$1)+SUMIFS(Table2[NewPointsHome],Table2[GameDate], "&lt;=" &amp; $A148, Table2[HomeTeam], R$1)</f>
        <v>24</v>
      </c>
      <c r="S148" s="145">
        <f>SUMIFS(Table2[NewPointsAway],Table2[GameDate], "&lt;=" &amp; $A148, Table2[AwayTeam], S$1)+SUMIFS(Table2[NewPointsHome],Table2[GameDate], "&lt;=" &amp; $A148, Table2[HomeTeam], S$1)</f>
        <v>35</v>
      </c>
      <c r="T148" s="145">
        <f>SUMIFS(Table2[NewPointsAway],Table2[GameDate], "&lt;=" &amp; $A148, Table2[AwayTeam], T$1)+SUMIFS(Table2[NewPointsHome],Table2[GameDate], "&lt;=" &amp; $A148, Table2[HomeTeam], T$1)</f>
        <v>34</v>
      </c>
      <c r="U148" s="145">
        <f>SUMIFS(Table2[NewPointsAway],Table2[GameDate], "&lt;=" &amp; $A148, Table2[AwayTeam], U$1)+SUMIFS(Table2[NewPointsHome],Table2[GameDate], "&lt;=" &amp; $A148, Table2[HomeTeam], U$1)</f>
        <v>30</v>
      </c>
      <c r="V148" s="145">
        <f>SUMIFS(Table2[NewPointsAway],Table2[GameDate], "&lt;=" &amp; $A148, Table2[AwayTeam], V$1)+SUMIFS(Table2[NewPointsHome],Table2[GameDate], "&lt;=" &amp; $A148, Table2[HomeTeam], V$1)</f>
        <v>32</v>
      </c>
      <c r="W148" s="145">
        <f>SUMIFS(Table2[NewPointsAway],Table2[GameDate], "&lt;=" &amp; $A148, Table2[AwayTeam], W$1)+SUMIFS(Table2[NewPointsHome],Table2[GameDate], "&lt;=" &amp; $A148, Table2[HomeTeam], W$1)</f>
        <v>34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31</v>
      </c>
      <c r="Z148" s="145">
        <f>SUMIFS(Table2[NewPointsAway],Table2[GameDate], "&lt;=" &amp; $A148, Table2[AwayTeam], Z$1)+SUMIFS(Table2[NewPointsHome],Table2[GameDate], "&lt;=" &amp; $A148, Table2[HomeTeam], Z$1)</f>
        <v>30</v>
      </c>
      <c r="AA148" s="145">
        <f>SUMIFS(Table2[NewPointsAway],Table2[GameDate], "&lt;=" &amp; $A148, Table2[AwayTeam], AA$1)+SUMIFS(Table2[NewPointsHome],Table2[GameDate], "&lt;=" &amp; $A148, Table2[HomeTeam], AA$1)</f>
        <v>34</v>
      </c>
      <c r="AB148" s="145">
        <f>SUMIFS(Table2[NewPointsAway],Table2[GameDate], "&lt;=" &amp; $A148, Table2[AwayTeam], AB$1)+SUMIFS(Table2[NewPointsHome],Table2[GameDate], "&lt;=" &amp; $A148, Table2[HomeTeam], AB$1)</f>
        <v>32</v>
      </c>
      <c r="AC148" s="145">
        <f>SUMIFS(Table2[NewPointsAway],Table2[GameDate], "&lt;=" &amp; $A148, Table2[AwayTeam], AC$1)+SUMIFS(Table2[NewPointsHome],Table2[GameDate], "&lt;=" &amp; $A148, Table2[HomeTeam], AC$1)</f>
        <v>31</v>
      </c>
      <c r="AD148" s="145">
        <f>SUMIFS(Table2[NewPointsAway],Table2[GameDate], "&lt;=" &amp; $A148, Table2[AwayTeam], AD$1)+SUMIFS(Table2[NewPointsHome],Table2[GameDate], "&lt;=" &amp; $A148, Table2[HomeTeam], AD$1)</f>
        <v>25</v>
      </c>
      <c r="AE148" s="145">
        <f>SUMIFS(Table2[NewPointsAway],Table2[GameDate], "&lt;=" &amp; $A148, Table2[AwayTeam], AE$1)+SUMIFS(Table2[NewPointsHome],Table2[GameDate], "&lt;=" &amp; $A148, Table2[HomeTeam], AE$1)</f>
        <v>36</v>
      </c>
      <c r="AF148" s="145">
        <f>SUMIFS(Table2[NewPointsAway],Table2[GameDate], "&lt;=" &amp; $A148, Table2[AwayTeam], AF$1)+SUMIFS(Table2[NewPointsHome],Table2[GameDate], "&lt;=" &amp; $A148, Table2[HomeTeam], AF$1)</f>
        <v>29</v>
      </c>
      <c r="AG148" s="145">
        <f>SUMIFS(Table2[NewPointsAway],Table2[GameDate], "&lt;=" &amp; $A148, Table2[AwayTeam], AG$1)+SUMIFS(Table2[NewPointsHome],Table2[GameDate], "&lt;=" &amp; $A148, Table2[HomeTeam], AG$1)</f>
        <v>39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37</v>
      </c>
      <c r="C149" s="145">
        <f>SUMIFS(Table2[NewPointsAway],Table2[GameDate], "&lt;=" &amp; $A149, Table2[AwayTeam], C$1)+SUMIFS(Table2[NewPointsHome],Table2[GameDate], "&lt;=" &amp; $A149, Table2[HomeTeam], C$1)</f>
        <v>34</v>
      </c>
      <c r="D149" s="145">
        <f>SUMIFS(Table2[NewPointsAway],Table2[GameDate], "&lt;=" &amp; $A149, Table2[AwayTeam], D$1)+SUMIFS(Table2[NewPointsHome],Table2[GameDate], "&lt;=" &amp; $A149, Table2[HomeTeam], D$1)</f>
        <v>26</v>
      </c>
      <c r="E149" s="145">
        <f>SUMIFS(Table2[NewPointsAway],Table2[GameDate], "&lt;=" &amp; $A149, Table2[AwayTeam], E$1)+SUMIFS(Table2[NewPointsHome],Table2[GameDate], "&lt;=" &amp; $A149, Table2[HomeTeam], E$1)</f>
        <v>36</v>
      </c>
      <c r="F149" s="145">
        <f>SUMIFS(Table2[NewPointsAway],Table2[GameDate], "&lt;=" &amp; $A149, Table2[AwayTeam], F$1)+SUMIFS(Table2[NewPointsHome],Table2[GameDate], "&lt;=" &amp; $A149, Table2[HomeTeam], F$1)</f>
        <v>32</v>
      </c>
      <c r="G149" s="145">
        <f>SUMIFS(Table2[NewPointsAway],Table2[GameDate], "&lt;=" &amp; $A149, Table2[AwayTeam], G$1)+SUMIFS(Table2[NewPointsHome],Table2[GameDate], "&lt;=" &amp; $A149, Table2[HomeTeam], G$1)</f>
        <v>28</v>
      </c>
      <c r="H149" s="145">
        <f>SUMIFS(Table2[NewPointsAway],Table2[GameDate], "&lt;=" &amp; $A149, Table2[AwayTeam], H$1)+SUMIFS(Table2[NewPointsHome],Table2[GameDate], "&lt;=" &amp; $A149, Table2[HomeTeam], H$1)</f>
        <v>30</v>
      </c>
      <c r="I149" s="145">
        <f>SUMIFS(Table2[NewPointsAway],Table2[GameDate], "&lt;=" &amp; $A149, Table2[AwayTeam], I$1)+SUMIFS(Table2[NewPointsHome],Table2[GameDate], "&lt;=" &amp; $A149, Table2[HomeTeam], I$1)</f>
        <v>48</v>
      </c>
      <c r="J149" s="145">
        <f>SUMIFS(Table2[NewPointsAway],Table2[GameDate], "&lt;=" &amp; $A149, Table2[AwayTeam], J$1)+SUMIFS(Table2[NewPointsHome],Table2[GameDate], "&lt;=" &amp; $A149, Table2[HomeTeam], J$1)</f>
        <v>45</v>
      </c>
      <c r="K149" s="145">
        <f>SUMIFS(Table2[NewPointsAway],Table2[GameDate], "&lt;=" &amp; $A149, Table2[AwayTeam], K$1)+SUMIFS(Table2[NewPointsHome],Table2[GameDate], "&lt;=" &amp; $A149, Table2[HomeTeam], K$1)</f>
        <v>35</v>
      </c>
      <c r="L149" s="145">
        <f>SUMIFS(Table2[NewPointsAway],Table2[GameDate], "&lt;=" &amp; $A149, Table2[AwayTeam], L$1)+SUMIFS(Table2[NewPointsHome],Table2[GameDate], "&lt;=" &amp; $A149, Table2[HomeTeam], L$1)</f>
        <v>31</v>
      </c>
      <c r="M149" s="145">
        <f>SUMIFS(Table2[NewPointsAway],Table2[GameDate], "&lt;=" &amp; $A149, Table2[AwayTeam], M$1)+SUMIFS(Table2[NewPointsHome],Table2[GameDate], "&lt;=" &amp; $A149, Table2[HomeTeam], M$1)</f>
        <v>30</v>
      </c>
      <c r="N149" s="145">
        <f>SUMIFS(Table2[NewPointsAway],Table2[GameDate], "&lt;=" &amp; $A149, Table2[AwayTeam], N$1)+SUMIFS(Table2[NewPointsHome],Table2[GameDate], "&lt;=" &amp; $A149, Table2[HomeTeam], N$1)</f>
        <v>35</v>
      </c>
      <c r="O149" s="145">
        <f>SUMIFS(Table2[NewPointsAway],Table2[GameDate], "&lt;=" &amp; $A149, Table2[AwayTeam], O$1)+SUMIFS(Table2[NewPointsHome],Table2[GameDate], "&lt;=" &amp; $A149, Table2[HomeTeam], O$1)</f>
        <v>37</v>
      </c>
      <c r="P149" s="145">
        <f>SUMIFS(Table2[NewPointsAway],Table2[GameDate], "&lt;=" &amp; $A149, Table2[AwayTeam], P$1)+SUMIFS(Table2[NewPointsHome],Table2[GameDate], "&lt;=" &amp; $A149, Table2[HomeTeam], P$1)</f>
        <v>33</v>
      </c>
      <c r="Q149" s="145">
        <f>SUMIFS(Table2[NewPointsAway],Table2[GameDate], "&lt;=" &amp; $A149, Table2[AwayTeam], Q$1)+SUMIFS(Table2[NewPointsHome],Table2[GameDate], "&lt;=" &amp; $A149, Table2[HomeTeam], Q$1)</f>
        <v>33</v>
      </c>
      <c r="R149" s="145">
        <f>SUMIFS(Table2[NewPointsAway],Table2[GameDate], "&lt;=" &amp; $A149, Table2[AwayTeam], R$1)+SUMIFS(Table2[NewPointsHome],Table2[GameDate], "&lt;=" &amp; $A149, Table2[HomeTeam], R$1)</f>
        <v>24</v>
      </c>
      <c r="S149" s="145">
        <f>SUMIFS(Table2[NewPointsAway],Table2[GameDate], "&lt;=" &amp; $A149, Table2[AwayTeam], S$1)+SUMIFS(Table2[NewPointsHome],Table2[GameDate], "&lt;=" &amp; $A149, Table2[HomeTeam], S$1)</f>
        <v>35</v>
      </c>
      <c r="T149" s="145">
        <f>SUMIFS(Table2[NewPointsAway],Table2[GameDate], "&lt;=" &amp; $A149, Table2[AwayTeam], T$1)+SUMIFS(Table2[NewPointsHome],Table2[GameDate], "&lt;=" &amp; $A149, Table2[HomeTeam], T$1)</f>
        <v>34</v>
      </c>
      <c r="U149" s="145">
        <f>SUMIFS(Table2[NewPointsAway],Table2[GameDate], "&lt;=" &amp; $A149, Table2[AwayTeam], U$1)+SUMIFS(Table2[NewPointsHome],Table2[GameDate], "&lt;=" &amp; $A149, Table2[HomeTeam], U$1)</f>
        <v>30</v>
      </c>
      <c r="V149" s="145">
        <f>SUMIFS(Table2[NewPointsAway],Table2[GameDate], "&lt;=" &amp; $A149, Table2[AwayTeam], V$1)+SUMIFS(Table2[NewPointsHome],Table2[GameDate], "&lt;=" &amp; $A149, Table2[HomeTeam], V$1)</f>
        <v>32</v>
      </c>
      <c r="W149" s="145">
        <f>SUMIFS(Table2[NewPointsAway],Table2[GameDate], "&lt;=" &amp; $A149, Table2[AwayTeam], W$1)+SUMIFS(Table2[NewPointsHome],Table2[GameDate], "&lt;=" &amp; $A149, Table2[HomeTeam], W$1)</f>
        <v>34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31</v>
      </c>
      <c r="Z149" s="145">
        <f>SUMIFS(Table2[NewPointsAway],Table2[GameDate], "&lt;=" &amp; $A149, Table2[AwayTeam], Z$1)+SUMIFS(Table2[NewPointsHome],Table2[GameDate], "&lt;=" &amp; $A149, Table2[HomeTeam], Z$1)</f>
        <v>30</v>
      </c>
      <c r="AA149" s="145">
        <f>SUMIFS(Table2[NewPointsAway],Table2[GameDate], "&lt;=" &amp; $A149, Table2[AwayTeam], AA$1)+SUMIFS(Table2[NewPointsHome],Table2[GameDate], "&lt;=" &amp; $A149, Table2[HomeTeam], AA$1)</f>
        <v>34</v>
      </c>
      <c r="AB149" s="145">
        <f>SUMIFS(Table2[NewPointsAway],Table2[GameDate], "&lt;=" &amp; $A149, Table2[AwayTeam], AB$1)+SUMIFS(Table2[NewPointsHome],Table2[GameDate], "&lt;=" &amp; $A149, Table2[HomeTeam], AB$1)</f>
        <v>32</v>
      </c>
      <c r="AC149" s="145">
        <f>SUMIFS(Table2[NewPointsAway],Table2[GameDate], "&lt;=" &amp; $A149, Table2[AwayTeam], AC$1)+SUMIFS(Table2[NewPointsHome],Table2[GameDate], "&lt;=" &amp; $A149, Table2[HomeTeam], AC$1)</f>
        <v>31</v>
      </c>
      <c r="AD149" s="145">
        <f>SUMIFS(Table2[NewPointsAway],Table2[GameDate], "&lt;=" &amp; $A149, Table2[AwayTeam], AD$1)+SUMIFS(Table2[NewPointsHome],Table2[GameDate], "&lt;=" &amp; $A149, Table2[HomeTeam], AD$1)</f>
        <v>25</v>
      </c>
      <c r="AE149" s="145">
        <f>SUMIFS(Table2[NewPointsAway],Table2[GameDate], "&lt;=" &amp; $A149, Table2[AwayTeam], AE$1)+SUMIFS(Table2[NewPointsHome],Table2[GameDate], "&lt;=" &amp; $A149, Table2[HomeTeam], AE$1)</f>
        <v>36</v>
      </c>
      <c r="AF149" s="145">
        <f>SUMIFS(Table2[NewPointsAway],Table2[GameDate], "&lt;=" &amp; $A149, Table2[AwayTeam], AF$1)+SUMIFS(Table2[NewPointsHome],Table2[GameDate], "&lt;=" &amp; $A149, Table2[HomeTeam], AF$1)</f>
        <v>29</v>
      </c>
      <c r="AG149" s="145">
        <f>SUMIFS(Table2[NewPointsAway],Table2[GameDate], "&lt;=" &amp; $A149, Table2[AwayTeam], AG$1)+SUMIFS(Table2[NewPointsHome],Table2[GameDate], "&lt;=" &amp; $A149, Table2[HomeTeam], AG$1)</f>
        <v>39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37</v>
      </c>
      <c r="C150" s="145">
        <f>SUMIFS(Table2[NewPointsAway],Table2[GameDate], "&lt;=" &amp; $A150, Table2[AwayTeam], C$1)+SUMIFS(Table2[NewPointsHome],Table2[GameDate], "&lt;=" &amp; $A150, Table2[HomeTeam], C$1)</f>
        <v>34</v>
      </c>
      <c r="D150" s="145">
        <f>SUMIFS(Table2[NewPointsAway],Table2[GameDate], "&lt;=" &amp; $A150, Table2[AwayTeam], D$1)+SUMIFS(Table2[NewPointsHome],Table2[GameDate], "&lt;=" &amp; $A150, Table2[HomeTeam], D$1)</f>
        <v>26</v>
      </c>
      <c r="E150" s="145">
        <f>SUMIFS(Table2[NewPointsAway],Table2[GameDate], "&lt;=" &amp; $A150, Table2[AwayTeam], E$1)+SUMIFS(Table2[NewPointsHome],Table2[GameDate], "&lt;=" &amp; $A150, Table2[HomeTeam], E$1)</f>
        <v>36</v>
      </c>
      <c r="F150" s="145">
        <f>SUMIFS(Table2[NewPointsAway],Table2[GameDate], "&lt;=" &amp; $A150, Table2[AwayTeam], F$1)+SUMIFS(Table2[NewPointsHome],Table2[GameDate], "&lt;=" &amp; $A150, Table2[HomeTeam], F$1)</f>
        <v>32</v>
      </c>
      <c r="G150" s="145">
        <f>SUMIFS(Table2[NewPointsAway],Table2[GameDate], "&lt;=" &amp; $A150, Table2[AwayTeam], G$1)+SUMIFS(Table2[NewPointsHome],Table2[GameDate], "&lt;=" &amp; $A150, Table2[HomeTeam], G$1)</f>
        <v>28</v>
      </c>
      <c r="H150" s="145">
        <f>SUMIFS(Table2[NewPointsAway],Table2[GameDate], "&lt;=" &amp; $A150, Table2[AwayTeam], H$1)+SUMIFS(Table2[NewPointsHome],Table2[GameDate], "&lt;=" &amp; $A150, Table2[HomeTeam], H$1)</f>
        <v>30</v>
      </c>
      <c r="I150" s="145">
        <f>SUMIFS(Table2[NewPointsAway],Table2[GameDate], "&lt;=" &amp; $A150, Table2[AwayTeam], I$1)+SUMIFS(Table2[NewPointsHome],Table2[GameDate], "&lt;=" &amp; $A150, Table2[HomeTeam], I$1)</f>
        <v>48</v>
      </c>
      <c r="J150" s="145">
        <f>SUMIFS(Table2[NewPointsAway],Table2[GameDate], "&lt;=" &amp; $A150, Table2[AwayTeam], J$1)+SUMIFS(Table2[NewPointsHome],Table2[GameDate], "&lt;=" &amp; $A150, Table2[HomeTeam], J$1)</f>
        <v>45</v>
      </c>
      <c r="K150" s="145">
        <f>SUMIFS(Table2[NewPointsAway],Table2[GameDate], "&lt;=" &amp; $A150, Table2[AwayTeam], K$1)+SUMIFS(Table2[NewPointsHome],Table2[GameDate], "&lt;=" &amp; $A150, Table2[HomeTeam], K$1)</f>
        <v>35</v>
      </c>
      <c r="L150" s="145">
        <f>SUMIFS(Table2[NewPointsAway],Table2[GameDate], "&lt;=" &amp; $A150, Table2[AwayTeam], L$1)+SUMIFS(Table2[NewPointsHome],Table2[GameDate], "&lt;=" &amp; $A150, Table2[HomeTeam], L$1)</f>
        <v>31</v>
      </c>
      <c r="M150" s="145">
        <f>SUMIFS(Table2[NewPointsAway],Table2[GameDate], "&lt;=" &amp; $A150, Table2[AwayTeam], M$1)+SUMIFS(Table2[NewPointsHome],Table2[GameDate], "&lt;=" &amp; $A150, Table2[HomeTeam], M$1)</f>
        <v>30</v>
      </c>
      <c r="N150" s="145">
        <f>SUMIFS(Table2[NewPointsAway],Table2[GameDate], "&lt;=" &amp; $A150, Table2[AwayTeam], N$1)+SUMIFS(Table2[NewPointsHome],Table2[GameDate], "&lt;=" &amp; $A150, Table2[HomeTeam], N$1)</f>
        <v>35</v>
      </c>
      <c r="O150" s="145">
        <f>SUMIFS(Table2[NewPointsAway],Table2[GameDate], "&lt;=" &amp; $A150, Table2[AwayTeam], O$1)+SUMIFS(Table2[NewPointsHome],Table2[GameDate], "&lt;=" &amp; $A150, Table2[HomeTeam], O$1)</f>
        <v>37</v>
      </c>
      <c r="P150" s="145">
        <f>SUMIFS(Table2[NewPointsAway],Table2[GameDate], "&lt;=" &amp; $A150, Table2[AwayTeam], P$1)+SUMIFS(Table2[NewPointsHome],Table2[GameDate], "&lt;=" &amp; $A150, Table2[HomeTeam], P$1)</f>
        <v>33</v>
      </c>
      <c r="Q150" s="145">
        <f>SUMIFS(Table2[NewPointsAway],Table2[GameDate], "&lt;=" &amp; $A150, Table2[AwayTeam], Q$1)+SUMIFS(Table2[NewPointsHome],Table2[GameDate], "&lt;=" &amp; $A150, Table2[HomeTeam], Q$1)</f>
        <v>33</v>
      </c>
      <c r="R150" s="145">
        <f>SUMIFS(Table2[NewPointsAway],Table2[GameDate], "&lt;=" &amp; $A150, Table2[AwayTeam], R$1)+SUMIFS(Table2[NewPointsHome],Table2[GameDate], "&lt;=" &amp; $A150, Table2[HomeTeam], R$1)</f>
        <v>24</v>
      </c>
      <c r="S150" s="145">
        <f>SUMIFS(Table2[NewPointsAway],Table2[GameDate], "&lt;=" &amp; $A150, Table2[AwayTeam], S$1)+SUMIFS(Table2[NewPointsHome],Table2[GameDate], "&lt;=" &amp; $A150, Table2[HomeTeam], S$1)</f>
        <v>35</v>
      </c>
      <c r="T150" s="145">
        <f>SUMIFS(Table2[NewPointsAway],Table2[GameDate], "&lt;=" &amp; $A150, Table2[AwayTeam], T$1)+SUMIFS(Table2[NewPointsHome],Table2[GameDate], "&lt;=" &amp; $A150, Table2[HomeTeam], T$1)</f>
        <v>34</v>
      </c>
      <c r="U150" s="145">
        <f>SUMIFS(Table2[NewPointsAway],Table2[GameDate], "&lt;=" &amp; $A150, Table2[AwayTeam], U$1)+SUMIFS(Table2[NewPointsHome],Table2[GameDate], "&lt;=" &amp; $A150, Table2[HomeTeam], U$1)</f>
        <v>30</v>
      </c>
      <c r="V150" s="145">
        <f>SUMIFS(Table2[NewPointsAway],Table2[GameDate], "&lt;=" &amp; $A150, Table2[AwayTeam], V$1)+SUMIFS(Table2[NewPointsHome],Table2[GameDate], "&lt;=" &amp; $A150, Table2[HomeTeam], V$1)</f>
        <v>32</v>
      </c>
      <c r="W150" s="145">
        <f>SUMIFS(Table2[NewPointsAway],Table2[GameDate], "&lt;=" &amp; $A150, Table2[AwayTeam], W$1)+SUMIFS(Table2[NewPointsHome],Table2[GameDate], "&lt;=" &amp; $A150, Table2[HomeTeam], W$1)</f>
        <v>34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31</v>
      </c>
      <c r="Z150" s="145">
        <f>SUMIFS(Table2[NewPointsAway],Table2[GameDate], "&lt;=" &amp; $A150, Table2[AwayTeam], Z$1)+SUMIFS(Table2[NewPointsHome],Table2[GameDate], "&lt;=" &amp; $A150, Table2[HomeTeam], Z$1)</f>
        <v>30</v>
      </c>
      <c r="AA150" s="145">
        <f>SUMIFS(Table2[NewPointsAway],Table2[GameDate], "&lt;=" &amp; $A150, Table2[AwayTeam], AA$1)+SUMIFS(Table2[NewPointsHome],Table2[GameDate], "&lt;=" &amp; $A150, Table2[HomeTeam], AA$1)</f>
        <v>34</v>
      </c>
      <c r="AB150" s="145">
        <f>SUMIFS(Table2[NewPointsAway],Table2[GameDate], "&lt;=" &amp; $A150, Table2[AwayTeam], AB$1)+SUMIFS(Table2[NewPointsHome],Table2[GameDate], "&lt;=" &amp; $A150, Table2[HomeTeam], AB$1)</f>
        <v>32</v>
      </c>
      <c r="AC150" s="145">
        <f>SUMIFS(Table2[NewPointsAway],Table2[GameDate], "&lt;=" &amp; $A150, Table2[AwayTeam], AC$1)+SUMIFS(Table2[NewPointsHome],Table2[GameDate], "&lt;=" &amp; $A150, Table2[HomeTeam], AC$1)</f>
        <v>31</v>
      </c>
      <c r="AD150" s="145">
        <f>SUMIFS(Table2[NewPointsAway],Table2[GameDate], "&lt;=" &amp; $A150, Table2[AwayTeam], AD$1)+SUMIFS(Table2[NewPointsHome],Table2[GameDate], "&lt;=" &amp; $A150, Table2[HomeTeam], AD$1)</f>
        <v>25</v>
      </c>
      <c r="AE150" s="145">
        <f>SUMIFS(Table2[NewPointsAway],Table2[GameDate], "&lt;=" &amp; $A150, Table2[AwayTeam], AE$1)+SUMIFS(Table2[NewPointsHome],Table2[GameDate], "&lt;=" &amp; $A150, Table2[HomeTeam], AE$1)</f>
        <v>36</v>
      </c>
      <c r="AF150" s="145">
        <f>SUMIFS(Table2[NewPointsAway],Table2[GameDate], "&lt;=" &amp; $A150, Table2[AwayTeam], AF$1)+SUMIFS(Table2[NewPointsHome],Table2[GameDate], "&lt;=" &amp; $A150, Table2[HomeTeam], AF$1)</f>
        <v>29</v>
      </c>
      <c r="AG150" s="145">
        <f>SUMIFS(Table2[NewPointsAway],Table2[GameDate], "&lt;=" &amp; $A150, Table2[AwayTeam], AG$1)+SUMIFS(Table2[NewPointsHome],Table2[GameDate], "&lt;=" &amp; $A150, Table2[HomeTeam], AG$1)</f>
        <v>39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37</v>
      </c>
      <c r="C151" s="145">
        <f>SUMIFS(Table2[NewPointsAway],Table2[GameDate], "&lt;=" &amp; $A151, Table2[AwayTeam], C$1)+SUMIFS(Table2[NewPointsHome],Table2[GameDate], "&lt;=" &amp; $A151, Table2[HomeTeam], C$1)</f>
        <v>34</v>
      </c>
      <c r="D151" s="145">
        <f>SUMIFS(Table2[NewPointsAway],Table2[GameDate], "&lt;=" &amp; $A151, Table2[AwayTeam], D$1)+SUMIFS(Table2[NewPointsHome],Table2[GameDate], "&lt;=" &amp; $A151, Table2[HomeTeam], D$1)</f>
        <v>26</v>
      </c>
      <c r="E151" s="145">
        <f>SUMIFS(Table2[NewPointsAway],Table2[GameDate], "&lt;=" &amp; $A151, Table2[AwayTeam], E$1)+SUMIFS(Table2[NewPointsHome],Table2[GameDate], "&lt;=" &amp; $A151, Table2[HomeTeam], E$1)</f>
        <v>36</v>
      </c>
      <c r="F151" s="145">
        <f>SUMIFS(Table2[NewPointsAway],Table2[GameDate], "&lt;=" &amp; $A151, Table2[AwayTeam], F$1)+SUMIFS(Table2[NewPointsHome],Table2[GameDate], "&lt;=" &amp; $A151, Table2[HomeTeam], F$1)</f>
        <v>32</v>
      </c>
      <c r="G151" s="145">
        <f>SUMIFS(Table2[NewPointsAway],Table2[GameDate], "&lt;=" &amp; $A151, Table2[AwayTeam], G$1)+SUMIFS(Table2[NewPointsHome],Table2[GameDate], "&lt;=" &amp; $A151, Table2[HomeTeam], G$1)</f>
        <v>28</v>
      </c>
      <c r="H151" s="145">
        <f>SUMIFS(Table2[NewPointsAway],Table2[GameDate], "&lt;=" &amp; $A151, Table2[AwayTeam], H$1)+SUMIFS(Table2[NewPointsHome],Table2[GameDate], "&lt;=" &amp; $A151, Table2[HomeTeam], H$1)</f>
        <v>30</v>
      </c>
      <c r="I151" s="145">
        <f>SUMIFS(Table2[NewPointsAway],Table2[GameDate], "&lt;=" &amp; $A151, Table2[AwayTeam], I$1)+SUMIFS(Table2[NewPointsHome],Table2[GameDate], "&lt;=" &amp; $A151, Table2[HomeTeam], I$1)</f>
        <v>48</v>
      </c>
      <c r="J151" s="145">
        <f>SUMIFS(Table2[NewPointsAway],Table2[GameDate], "&lt;=" &amp; $A151, Table2[AwayTeam], J$1)+SUMIFS(Table2[NewPointsHome],Table2[GameDate], "&lt;=" &amp; $A151, Table2[HomeTeam], J$1)</f>
        <v>45</v>
      </c>
      <c r="K151" s="145">
        <f>SUMIFS(Table2[NewPointsAway],Table2[GameDate], "&lt;=" &amp; $A151, Table2[AwayTeam], K$1)+SUMIFS(Table2[NewPointsHome],Table2[GameDate], "&lt;=" &amp; $A151, Table2[HomeTeam], K$1)</f>
        <v>35</v>
      </c>
      <c r="L151" s="145">
        <f>SUMIFS(Table2[NewPointsAway],Table2[GameDate], "&lt;=" &amp; $A151, Table2[AwayTeam], L$1)+SUMIFS(Table2[NewPointsHome],Table2[GameDate], "&lt;=" &amp; $A151, Table2[HomeTeam], L$1)</f>
        <v>31</v>
      </c>
      <c r="M151" s="145">
        <f>SUMIFS(Table2[NewPointsAway],Table2[GameDate], "&lt;=" &amp; $A151, Table2[AwayTeam], M$1)+SUMIFS(Table2[NewPointsHome],Table2[GameDate], "&lt;=" &amp; $A151, Table2[HomeTeam], M$1)</f>
        <v>30</v>
      </c>
      <c r="N151" s="145">
        <f>SUMIFS(Table2[NewPointsAway],Table2[GameDate], "&lt;=" &amp; $A151, Table2[AwayTeam], N$1)+SUMIFS(Table2[NewPointsHome],Table2[GameDate], "&lt;=" &amp; $A151, Table2[HomeTeam], N$1)</f>
        <v>35</v>
      </c>
      <c r="O151" s="145">
        <f>SUMIFS(Table2[NewPointsAway],Table2[GameDate], "&lt;=" &amp; $A151, Table2[AwayTeam], O$1)+SUMIFS(Table2[NewPointsHome],Table2[GameDate], "&lt;=" &amp; $A151, Table2[HomeTeam], O$1)</f>
        <v>37</v>
      </c>
      <c r="P151" s="145">
        <f>SUMIFS(Table2[NewPointsAway],Table2[GameDate], "&lt;=" &amp; $A151, Table2[AwayTeam], P$1)+SUMIFS(Table2[NewPointsHome],Table2[GameDate], "&lt;=" &amp; $A151, Table2[HomeTeam], P$1)</f>
        <v>33</v>
      </c>
      <c r="Q151" s="145">
        <f>SUMIFS(Table2[NewPointsAway],Table2[GameDate], "&lt;=" &amp; $A151, Table2[AwayTeam], Q$1)+SUMIFS(Table2[NewPointsHome],Table2[GameDate], "&lt;=" &amp; $A151, Table2[HomeTeam], Q$1)</f>
        <v>33</v>
      </c>
      <c r="R151" s="145">
        <f>SUMIFS(Table2[NewPointsAway],Table2[GameDate], "&lt;=" &amp; $A151, Table2[AwayTeam], R$1)+SUMIFS(Table2[NewPointsHome],Table2[GameDate], "&lt;=" &amp; $A151, Table2[HomeTeam], R$1)</f>
        <v>24</v>
      </c>
      <c r="S151" s="145">
        <f>SUMIFS(Table2[NewPointsAway],Table2[GameDate], "&lt;=" &amp; $A151, Table2[AwayTeam], S$1)+SUMIFS(Table2[NewPointsHome],Table2[GameDate], "&lt;=" &amp; $A151, Table2[HomeTeam], S$1)</f>
        <v>35</v>
      </c>
      <c r="T151" s="145">
        <f>SUMIFS(Table2[NewPointsAway],Table2[GameDate], "&lt;=" &amp; $A151, Table2[AwayTeam], T$1)+SUMIFS(Table2[NewPointsHome],Table2[GameDate], "&lt;=" &amp; $A151, Table2[HomeTeam], T$1)</f>
        <v>34</v>
      </c>
      <c r="U151" s="145">
        <f>SUMIFS(Table2[NewPointsAway],Table2[GameDate], "&lt;=" &amp; $A151, Table2[AwayTeam], U$1)+SUMIFS(Table2[NewPointsHome],Table2[GameDate], "&lt;=" &amp; $A151, Table2[HomeTeam], U$1)</f>
        <v>30</v>
      </c>
      <c r="V151" s="145">
        <f>SUMIFS(Table2[NewPointsAway],Table2[GameDate], "&lt;=" &amp; $A151, Table2[AwayTeam], V$1)+SUMIFS(Table2[NewPointsHome],Table2[GameDate], "&lt;=" &amp; $A151, Table2[HomeTeam], V$1)</f>
        <v>32</v>
      </c>
      <c r="W151" s="145">
        <f>SUMIFS(Table2[NewPointsAway],Table2[GameDate], "&lt;=" &amp; $A151, Table2[AwayTeam], W$1)+SUMIFS(Table2[NewPointsHome],Table2[GameDate], "&lt;=" &amp; $A151, Table2[HomeTeam], W$1)</f>
        <v>34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31</v>
      </c>
      <c r="Z151" s="145">
        <f>SUMIFS(Table2[NewPointsAway],Table2[GameDate], "&lt;=" &amp; $A151, Table2[AwayTeam], Z$1)+SUMIFS(Table2[NewPointsHome],Table2[GameDate], "&lt;=" &amp; $A151, Table2[HomeTeam], Z$1)</f>
        <v>30</v>
      </c>
      <c r="AA151" s="145">
        <f>SUMIFS(Table2[NewPointsAway],Table2[GameDate], "&lt;=" &amp; $A151, Table2[AwayTeam], AA$1)+SUMIFS(Table2[NewPointsHome],Table2[GameDate], "&lt;=" &amp; $A151, Table2[HomeTeam], AA$1)</f>
        <v>34</v>
      </c>
      <c r="AB151" s="145">
        <f>SUMIFS(Table2[NewPointsAway],Table2[GameDate], "&lt;=" &amp; $A151, Table2[AwayTeam], AB$1)+SUMIFS(Table2[NewPointsHome],Table2[GameDate], "&lt;=" &amp; $A151, Table2[HomeTeam], AB$1)</f>
        <v>32</v>
      </c>
      <c r="AC151" s="145">
        <f>SUMIFS(Table2[NewPointsAway],Table2[GameDate], "&lt;=" &amp; $A151, Table2[AwayTeam], AC$1)+SUMIFS(Table2[NewPointsHome],Table2[GameDate], "&lt;=" &amp; $A151, Table2[HomeTeam], AC$1)</f>
        <v>31</v>
      </c>
      <c r="AD151" s="145">
        <f>SUMIFS(Table2[NewPointsAway],Table2[GameDate], "&lt;=" &amp; $A151, Table2[AwayTeam], AD$1)+SUMIFS(Table2[NewPointsHome],Table2[GameDate], "&lt;=" &amp; $A151, Table2[HomeTeam], AD$1)</f>
        <v>25</v>
      </c>
      <c r="AE151" s="145">
        <f>SUMIFS(Table2[NewPointsAway],Table2[GameDate], "&lt;=" &amp; $A151, Table2[AwayTeam], AE$1)+SUMIFS(Table2[NewPointsHome],Table2[GameDate], "&lt;=" &amp; $A151, Table2[HomeTeam], AE$1)</f>
        <v>36</v>
      </c>
      <c r="AF151" s="145">
        <f>SUMIFS(Table2[NewPointsAway],Table2[GameDate], "&lt;=" &amp; $A151, Table2[AwayTeam], AF$1)+SUMIFS(Table2[NewPointsHome],Table2[GameDate], "&lt;=" &amp; $A151, Table2[HomeTeam], AF$1)</f>
        <v>29</v>
      </c>
      <c r="AG151" s="145">
        <f>SUMIFS(Table2[NewPointsAway],Table2[GameDate], "&lt;=" &amp; $A151, Table2[AwayTeam], AG$1)+SUMIFS(Table2[NewPointsHome],Table2[GameDate], "&lt;=" &amp; $A151, Table2[HomeTeam], AG$1)</f>
        <v>39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37</v>
      </c>
      <c r="C152" s="145">
        <f>SUMIFS(Table2[NewPointsAway],Table2[GameDate], "&lt;=" &amp; $A152, Table2[AwayTeam], C$1)+SUMIFS(Table2[NewPointsHome],Table2[GameDate], "&lt;=" &amp; $A152, Table2[HomeTeam], C$1)</f>
        <v>34</v>
      </c>
      <c r="D152" s="145">
        <f>SUMIFS(Table2[NewPointsAway],Table2[GameDate], "&lt;=" &amp; $A152, Table2[AwayTeam], D$1)+SUMIFS(Table2[NewPointsHome],Table2[GameDate], "&lt;=" &amp; $A152, Table2[HomeTeam], D$1)</f>
        <v>26</v>
      </c>
      <c r="E152" s="145">
        <f>SUMIFS(Table2[NewPointsAway],Table2[GameDate], "&lt;=" &amp; $A152, Table2[AwayTeam], E$1)+SUMIFS(Table2[NewPointsHome],Table2[GameDate], "&lt;=" &amp; $A152, Table2[HomeTeam], E$1)</f>
        <v>36</v>
      </c>
      <c r="F152" s="145">
        <f>SUMIFS(Table2[NewPointsAway],Table2[GameDate], "&lt;=" &amp; $A152, Table2[AwayTeam], F$1)+SUMIFS(Table2[NewPointsHome],Table2[GameDate], "&lt;=" &amp; $A152, Table2[HomeTeam], F$1)</f>
        <v>32</v>
      </c>
      <c r="G152" s="145">
        <f>SUMIFS(Table2[NewPointsAway],Table2[GameDate], "&lt;=" &amp; $A152, Table2[AwayTeam], G$1)+SUMIFS(Table2[NewPointsHome],Table2[GameDate], "&lt;=" &amp; $A152, Table2[HomeTeam], G$1)</f>
        <v>28</v>
      </c>
      <c r="H152" s="145">
        <f>SUMIFS(Table2[NewPointsAway],Table2[GameDate], "&lt;=" &amp; $A152, Table2[AwayTeam], H$1)+SUMIFS(Table2[NewPointsHome],Table2[GameDate], "&lt;=" &amp; $A152, Table2[HomeTeam], H$1)</f>
        <v>30</v>
      </c>
      <c r="I152" s="145">
        <f>SUMIFS(Table2[NewPointsAway],Table2[GameDate], "&lt;=" &amp; $A152, Table2[AwayTeam], I$1)+SUMIFS(Table2[NewPointsHome],Table2[GameDate], "&lt;=" &amp; $A152, Table2[HomeTeam], I$1)</f>
        <v>48</v>
      </c>
      <c r="J152" s="145">
        <f>SUMIFS(Table2[NewPointsAway],Table2[GameDate], "&lt;=" &amp; $A152, Table2[AwayTeam], J$1)+SUMIFS(Table2[NewPointsHome],Table2[GameDate], "&lt;=" &amp; $A152, Table2[HomeTeam], J$1)</f>
        <v>45</v>
      </c>
      <c r="K152" s="145">
        <f>SUMIFS(Table2[NewPointsAway],Table2[GameDate], "&lt;=" &amp; $A152, Table2[AwayTeam], K$1)+SUMIFS(Table2[NewPointsHome],Table2[GameDate], "&lt;=" &amp; $A152, Table2[HomeTeam], K$1)</f>
        <v>35</v>
      </c>
      <c r="L152" s="145">
        <f>SUMIFS(Table2[NewPointsAway],Table2[GameDate], "&lt;=" &amp; $A152, Table2[AwayTeam], L$1)+SUMIFS(Table2[NewPointsHome],Table2[GameDate], "&lt;=" &amp; $A152, Table2[HomeTeam], L$1)</f>
        <v>31</v>
      </c>
      <c r="M152" s="145">
        <f>SUMIFS(Table2[NewPointsAway],Table2[GameDate], "&lt;=" &amp; $A152, Table2[AwayTeam], M$1)+SUMIFS(Table2[NewPointsHome],Table2[GameDate], "&lt;=" &amp; $A152, Table2[HomeTeam], M$1)</f>
        <v>30</v>
      </c>
      <c r="N152" s="145">
        <f>SUMIFS(Table2[NewPointsAway],Table2[GameDate], "&lt;=" &amp; $A152, Table2[AwayTeam], N$1)+SUMIFS(Table2[NewPointsHome],Table2[GameDate], "&lt;=" &amp; $A152, Table2[HomeTeam], N$1)</f>
        <v>35</v>
      </c>
      <c r="O152" s="145">
        <f>SUMIFS(Table2[NewPointsAway],Table2[GameDate], "&lt;=" &amp; $A152, Table2[AwayTeam], O$1)+SUMIFS(Table2[NewPointsHome],Table2[GameDate], "&lt;=" &amp; $A152, Table2[HomeTeam], O$1)</f>
        <v>37</v>
      </c>
      <c r="P152" s="145">
        <f>SUMIFS(Table2[NewPointsAway],Table2[GameDate], "&lt;=" &amp; $A152, Table2[AwayTeam], P$1)+SUMIFS(Table2[NewPointsHome],Table2[GameDate], "&lt;=" &amp; $A152, Table2[HomeTeam], P$1)</f>
        <v>33</v>
      </c>
      <c r="Q152" s="145">
        <f>SUMIFS(Table2[NewPointsAway],Table2[GameDate], "&lt;=" &amp; $A152, Table2[AwayTeam], Q$1)+SUMIFS(Table2[NewPointsHome],Table2[GameDate], "&lt;=" &amp; $A152, Table2[HomeTeam], Q$1)</f>
        <v>33</v>
      </c>
      <c r="R152" s="145">
        <f>SUMIFS(Table2[NewPointsAway],Table2[GameDate], "&lt;=" &amp; $A152, Table2[AwayTeam], R$1)+SUMIFS(Table2[NewPointsHome],Table2[GameDate], "&lt;=" &amp; $A152, Table2[HomeTeam], R$1)</f>
        <v>24</v>
      </c>
      <c r="S152" s="145">
        <f>SUMIFS(Table2[NewPointsAway],Table2[GameDate], "&lt;=" &amp; $A152, Table2[AwayTeam], S$1)+SUMIFS(Table2[NewPointsHome],Table2[GameDate], "&lt;=" &amp; $A152, Table2[HomeTeam], S$1)</f>
        <v>35</v>
      </c>
      <c r="T152" s="145">
        <f>SUMIFS(Table2[NewPointsAway],Table2[GameDate], "&lt;=" &amp; $A152, Table2[AwayTeam], T$1)+SUMIFS(Table2[NewPointsHome],Table2[GameDate], "&lt;=" &amp; $A152, Table2[HomeTeam], T$1)</f>
        <v>34</v>
      </c>
      <c r="U152" s="145">
        <f>SUMIFS(Table2[NewPointsAway],Table2[GameDate], "&lt;=" &amp; $A152, Table2[AwayTeam], U$1)+SUMIFS(Table2[NewPointsHome],Table2[GameDate], "&lt;=" &amp; $A152, Table2[HomeTeam], U$1)</f>
        <v>30</v>
      </c>
      <c r="V152" s="145">
        <f>SUMIFS(Table2[NewPointsAway],Table2[GameDate], "&lt;=" &amp; $A152, Table2[AwayTeam], V$1)+SUMIFS(Table2[NewPointsHome],Table2[GameDate], "&lt;=" &amp; $A152, Table2[HomeTeam], V$1)</f>
        <v>32</v>
      </c>
      <c r="W152" s="145">
        <f>SUMIFS(Table2[NewPointsAway],Table2[GameDate], "&lt;=" &amp; $A152, Table2[AwayTeam], W$1)+SUMIFS(Table2[NewPointsHome],Table2[GameDate], "&lt;=" &amp; $A152, Table2[HomeTeam], W$1)</f>
        <v>34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31</v>
      </c>
      <c r="Z152" s="145">
        <f>SUMIFS(Table2[NewPointsAway],Table2[GameDate], "&lt;=" &amp; $A152, Table2[AwayTeam], Z$1)+SUMIFS(Table2[NewPointsHome],Table2[GameDate], "&lt;=" &amp; $A152, Table2[HomeTeam], Z$1)</f>
        <v>30</v>
      </c>
      <c r="AA152" s="145">
        <f>SUMIFS(Table2[NewPointsAway],Table2[GameDate], "&lt;=" &amp; $A152, Table2[AwayTeam], AA$1)+SUMIFS(Table2[NewPointsHome],Table2[GameDate], "&lt;=" &amp; $A152, Table2[HomeTeam], AA$1)</f>
        <v>34</v>
      </c>
      <c r="AB152" s="145">
        <f>SUMIFS(Table2[NewPointsAway],Table2[GameDate], "&lt;=" &amp; $A152, Table2[AwayTeam], AB$1)+SUMIFS(Table2[NewPointsHome],Table2[GameDate], "&lt;=" &amp; $A152, Table2[HomeTeam], AB$1)</f>
        <v>32</v>
      </c>
      <c r="AC152" s="145">
        <f>SUMIFS(Table2[NewPointsAway],Table2[GameDate], "&lt;=" &amp; $A152, Table2[AwayTeam], AC$1)+SUMIFS(Table2[NewPointsHome],Table2[GameDate], "&lt;=" &amp; $A152, Table2[HomeTeam], AC$1)</f>
        <v>31</v>
      </c>
      <c r="AD152" s="145">
        <f>SUMIFS(Table2[NewPointsAway],Table2[GameDate], "&lt;=" &amp; $A152, Table2[AwayTeam], AD$1)+SUMIFS(Table2[NewPointsHome],Table2[GameDate], "&lt;=" &amp; $A152, Table2[HomeTeam], AD$1)</f>
        <v>25</v>
      </c>
      <c r="AE152" s="145">
        <f>SUMIFS(Table2[NewPointsAway],Table2[GameDate], "&lt;=" &amp; $A152, Table2[AwayTeam], AE$1)+SUMIFS(Table2[NewPointsHome],Table2[GameDate], "&lt;=" &amp; $A152, Table2[HomeTeam], AE$1)</f>
        <v>36</v>
      </c>
      <c r="AF152" s="145">
        <f>SUMIFS(Table2[NewPointsAway],Table2[GameDate], "&lt;=" &amp; $A152, Table2[AwayTeam], AF$1)+SUMIFS(Table2[NewPointsHome],Table2[GameDate], "&lt;=" &amp; $A152, Table2[HomeTeam], AF$1)</f>
        <v>29</v>
      </c>
      <c r="AG152" s="145">
        <f>SUMIFS(Table2[NewPointsAway],Table2[GameDate], "&lt;=" &amp; $A152, Table2[AwayTeam], AG$1)+SUMIFS(Table2[NewPointsHome],Table2[GameDate], "&lt;=" &amp; $A152, Table2[HomeTeam], AG$1)</f>
        <v>39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37</v>
      </c>
      <c r="C153" s="145">
        <f>SUMIFS(Table2[NewPointsAway],Table2[GameDate], "&lt;=" &amp; $A153, Table2[AwayTeam], C$1)+SUMIFS(Table2[NewPointsHome],Table2[GameDate], "&lt;=" &amp; $A153, Table2[HomeTeam], C$1)</f>
        <v>34</v>
      </c>
      <c r="D153" s="145">
        <f>SUMIFS(Table2[NewPointsAway],Table2[GameDate], "&lt;=" &amp; $A153, Table2[AwayTeam], D$1)+SUMIFS(Table2[NewPointsHome],Table2[GameDate], "&lt;=" &amp; $A153, Table2[HomeTeam], D$1)</f>
        <v>26</v>
      </c>
      <c r="E153" s="145">
        <f>SUMIFS(Table2[NewPointsAway],Table2[GameDate], "&lt;=" &amp; $A153, Table2[AwayTeam], E$1)+SUMIFS(Table2[NewPointsHome],Table2[GameDate], "&lt;=" &amp; $A153, Table2[HomeTeam], E$1)</f>
        <v>36</v>
      </c>
      <c r="F153" s="145">
        <f>SUMIFS(Table2[NewPointsAway],Table2[GameDate], "&lt;=" &amp; $A153, Table2[AwayTeam], F$1)+SUMIFS(Table2[NewPointsHome],Table2[GameDate], "&lt;=" &amp; $A153, Table2[HomeTeam], F$1)</f>
        <v>32</v>
      </c>
      <c r="G153" s="145">
        <f>SUMIFS(Table2[NewPointsAway],Table2[GameDate], "&lt;=" &amp; $A153, Table2[AwayTeam], G$1)+SUMIFS(Table2[NewPointsHome],Table2[GameDate], "&lt;=" &amp; $A153, Table2[HomeTeam], G$1)</f>
        <v>28</v>
      </c>
      <c r="H153" s="145">
        <f>SUMIFS(Table2[NewPointsAway],Table2[GameDate], "&lt;=" &amp; $A153, Table2[AwayTeam], H$1)+SUMIFS(Table2[NewPointsHome],Table2[GameDate], "&lt;=" &amp; $A153, Table2[HomeTeam], H$1)</f>
        <v>30</v>
      </c>
      <c r="I153" s="145">
        <f>SUMIFS(Table2[NewPointsAway],Table2[GameDate], "&lt;=" &amp; $A153, Table2[AwayTeam], I$1)+SUMIFS(Table2[NewPointsHome],Table2[GameDate], "&lt;=" &amp; $A153, Table2[HomeTeam], I$1)</f>
        <v>48</v>
      </c>
      <c r="J153" s="145">
        <f>SUMIFS(Table2[NewPointsAway],Table2[GameDate], "&lt;=" &amp; $A153, Table2[AwayTeam], J$1)+SUMIFS(Table2[NewPointsHome],Table2[GameDate], "&lt;=" &amp; $A153, Table2[HomeTeam], J$1)</f>
        <v>45</v>
      </c>
      <c r="K153" s="145">
        <f>SUMIFS(Table2[NewPointsAway],Table2[GameDate], "&lt;=" &amp; $A153, Table2[AwayTeam], K$1)+SUMIFS(Table2[NewPointsHome],Table2[GameDate], "&lt;=" &amp; $A153, Table2[HomeTeam], K$1)</f>
        <v>35</v>
      </c>
      <c r="L153" s="145">
        <f>SUMIFS(Table2[NewPointsAway],Table2[GameDate], "&lt;=" &amp; $A153, Table2[AwayTeam], L$1)+SUMIFS(Table2[NewPointsHome],Table2[GameDate], "&lt;=" &amp; $A153, Table2[HomeTeam], L$1)</f>
        <v>31</v>
      </c>
      <c r="M153" s="145">
        <f>SUMIFS(Table2[NewPointsAway],Table2[GameDate], "&lt;=" &amp; $A153, Table2[AwayTeam], M$1)+SUMIFS(Table2[NewPointsHome],Table2[GameDate], "&lt;=" &amp; $A153, Table2[HomeTeam], M$1)</f>
        <v>30</v>
      </c>
      <c r="N153" s="145">
        <f>SUMIFS(Table2[NewPointsAway],Table2[GameDate], "&lt;=" &amp; $A153, Table2[AwayTeam], N$1)+SUMIFS(Table2[NewPointsHome],Table2[GameDate], "&lt;=" &amp; $A153, Table2[HomeTeam], N$1)</f>
        <v>35</v>
      </c>
      <c r="O153" s="145">
        <f>SUMIFS(Table2[NewPointsAway],Table2[GameDate], "&lt;=" &amp; $A153, Table2[AwayTeam], O$1)+SUMIFS(Table2[NewPointsHome],Table2[GameDate], "&lt;=" &amp; $A153, Table2[HomeTeam], O$1)</f>
        <v>37</v>
      </c>
      <c r="P153" s="145">
        <f>SUMIFS(Table2[NewPointsAway],Table2[GameDate], "&lt;=" &amp; $A153, Table2[AwayTeam], P$1)+SUMIFS(Table2[NewPointsHome],Table2[GameDate], "&lt;=" &amp; $A153, Table2[HomeTeam], P$1)</f>
        <v>33</v>
      </c>
      <c r="Q153" s="145">
        <f>SUMIFS(Table2[NewPointsAway],Table2[GameDate], "&lt;=" &amp; $A153, Table2[AwayTeam], Q$1)+SUMIFS(Table2[NewPointsHome],Table2[GameDate], "&lt;=" &amp; $A153, Table2[HomeTeam], Q$1)</f>
        <v>33</v>
      </c>
      <c r="R153" s="145">
        <f>SUMIFS(Table2[NewPointsAway],Table2[GameDate], "&lt;=" &amp; $A153, Table2[AwayTeam], R$1)+SUMIFS(Table2[NewPointsHome],Table2[GameDate], "&lt;=" &amp; $A153, Table2[HomeTeam], R$1)</f>
        <v>24</v>
      </c>
      <c r="S153" s="145">
        <f>SUMIFS(Table2[NewPointsAway],Table2[GameDate], "&lt;=" &amp; $A153, Table2[AwayTeam], S$1)+SUMIFS(Table2[NewPointsHome],Table2[GameDate], "&lt;=" &amp; $A153, Table2[HomeTeam], S$1)</f>
        <v>35</v>
      </c>
      <c r="T153" s="145">
        <f>SUMIFS(Table2[NewPointsAway],Table2[GameDate], "&lt;=" &amp; $A153, Table2[AwayTeam], T$1)+SUMIFS(Table2[NewPointsHome],Table2[GameDate], "&lt;=" &amp; $A153, Table2[HomeTeam], T$1)</f>
        <v>34</v>
      </c>
      <c r="U153" s="145">
        <f>SUMIFS(Table2[NewPointsAway],Table2[GameDate], "&lt;=" &amp; $A153, Table2[AwayTeam], U$1)+SUMIFS(Table2[NewPointsHome],Table2[GameDate], "&lt;=" &amp; $A153, Table2[HomeTeam], U$1)</f>
        <v>30</v>
      </c>
      <c r="V153" s="145">
        <f>SUMIFS(Table2[NewPointsAway],Table2[GameDate], "&lt;=" &amp; $A153, Table2[AwayTeam], V$1)+SUMIFS(Table2[NewPointsHome],Table2[GameDate], "&lt;=" &amp; $A153, Table2[HomeTeam], V$1)</f>
        <v>32</v>
      </c>
      <c r="W153" s="145">
        <f>SUMIFS(Table2[NewPointsAway],Table2[GameDate], "&lt;=" &amp; $A153, Table2[AwayTeam], W$1)+SUMIFS(Table2[NewPointsHome],Table2[GameDate], "&lt;=" &amp; $A153, Table2[HomeTeam], W$1)</f>
        <v>34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31</v>
      </c>
      <c r="Z153" s="145">
        <f>SUMIFS(Table2[NewPointsAway],Table2[GameDate], "&lt;=" &amp; $A153, Table2[AwayTeam], Z$1)+SUMIFS(Table2[NewPointsHome],Table2[GameDate], "&lt;=" &amp; $A153, Table2[HomeTeam], Z$1)</f>
        <v>30</v>
      </c>
      <c r="AA153" s="145">
        <f>SUMIFS(Table2[NewPointsAway],Table2[GameDate], "&lt;=" &amp; $A153, Table2[AwayTeam], AA$1)+SUMIFS(Table2[NewPointsHome],Table2[GameDate], "&lt;=" &amp; $A153, Table2[HomeTeam], AA$1)</f>
        <v>34</v>
      </c>
      <c r="AB153" s="145">
        <f>SUMIFS(Table2[NewPointsAway],Table2[GameDate], "&lt;=" &amp; $A153, Table2[AwayTeam], AB$1)+SUMIFS(Table2[NewPointsHome],Table2[GameDate], "&lt;=" &amp; $A153, Table2[HomeTeam], AB$1)</f>
        <v>32</v>
      </c>
      <c r="AC153" s="145">
        <f>SUMIFS(Table2[NewPointsAway],Table2[GameDate], "&lt;=" &amp; $A153, Table2[AwayTeam], AC$1)+SUMIFS(Table2[NewPointsHome],Table2[GameDate], "&lt;=" &amp; $A153, Table2[HomeTeam], AC$1)</f>
        <v>31</v>
      </c>
      <c r="AD153" s="145">
        <f>SUMIFS(Table2[NewPointsAway],Table2[GameDate], "&lt;=" &amp; $A153, Table2[AwayTeam], AD$1)+SUMIFS(Table2[NewPointsHome],Table2[GameDate], "&lt;=" &amp; $A153, Table2[HomeTeam], AD$1)</f>
        <v>25</v>
      </c>
      <c r="AE153" s="145">
        <f>SUMIFS(Table2[NewPointsAway],Table2[GameDate], "&lt;=" &amp; $A153, Table2[AwayTeam], AE$1)+SUMIFS(Table2[NewPointsHome],Table2[GameDate], "&lt;=" &amp; $A153, Table2[HomeTeam], AE$1)</f>
        <v>36</v>
      </c>
      <c r="AF153" s="145">
        <f>SUMIFS(Table2[NewPointsAway],Table2[GameDate], "&lt;=" &amp; $A153, Table2[AwayTeam], AF$1)+SUMIFS(Table2[NewPointsHome],Table2[GameDate], "&lt;=" &amp; $A153, Table2[HomeTeam], AF$1)</f>
        <v>29</v>
      </c>
      <c r="AG153" s="145">
        <f>SUMIFS(Table2[NewPointsAway],Table2[GameDate], "&lt;=" &amp; $A153, Table2[AwayTeam], AG$1)+SUMIFS(Table2[NewPointsHome],Table2[GameDate], "&lt;=" &amp; $A153, Table2[HomeTeam], AG$1)</f>
        <v>39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37</v>
      </c>
      <c r="C154" s="145">
        <f>SUMIFS(Table2[NewPointsAway],Table2[GameDate], "&lt;=" &amp; $A154, Table2[AwayTeam], C$1)+SUMIFS(Table2[NewPointsHome],Table2[GameDate], "&lt;=" &amp; $A154, Table2[HomeTeam], C$1)</f>
        <v>34</v>
      </c>
      <c r="D154" s="145">
        <f>SUMIFS(Table2[NewPointsAway],Table2[GameDate], "&lt;=" &amp; $A154, Table2[AwayTeam], D$1)+SUMIFS(Table2[NewPointsHome],Table2[GameDate], "&lt;=" &amp; $A154, Table2[HomeTeam], D$1)</f>
        <v>26</v>
      </c>
      <c r="E154" s="145">
        <f>SUMIFS(Table2[NewPointsAway],Table2[GameDate], "&lt;=" &amp; $A154, Table2[AwayTeam], E$1)+SUMIFS(Table2[NewPointsHome],Table2[GameDate], "&lt;=" &amp; $A154, Table2[HomeTeam], E$1)</f>
        <v>36</v>
      </c>
      <c r="F154" s="145">
        <f>SUMIFS(Table2[NewPointsAway],Table2[GameDate], "&lt;=" &amp; $A154, Table2[AwayTeam], F$1)+SUMIFS(Table2[NewPointsHome],Table2[GameDate], "&lt;=" &amp; $A154, Table2[HomeTeam], F$1)</f>
        <v>32</v>
      </c>
      <c r="G154" s="145">
        <f>SUMIFS(Table2[NewPointsAway],Table2[GameDate], "&lt;=" &amp; $A154, Table2[AwayTeam], G$1)+SUMIFS(Table2[NewPointsHome],Table2[GameDate], "&lt;=" &amp; $A154, Table2[HomeTeam], G$1)</f>
        <v>28</v>
      </c>
      <c r="H154" s="145">
        <f>SUMIFS(Table2[NewPointsAway],Table2[GameDate], "&lt;=" &amp; $A154, Table2[AwayTeam], H$1)+SUMIFS(Table2[NewPointsHome],Table2[GameDate], "&lt;=" &amp; $A154, Table2[HomeTeam], H$1)</f>
        <v>30</v>
      </c>
      <c r="I154" s="145">
        <f>SUMIFS(Table2[NewPointsAway],Table2[GameDate], "&lt;=" &amp; $A154, Table2[AwayTeam], I$1)+SUMIFS(Table2[NewPointsHome],Table2[GameDate], "&lt;=" &amp; $A154, Table2[HomeTeam], I$1)</f>
        <v>48</v>
      </c>
      <c r="J154" s="145">
        <f>SUMIFS(Table2[NewPointsAway],Table2[GameDate], "&lt;=" &amp; $A154, Table2[AwayTeam], J$1)+SUMIFS(Table2[NewPointsHome],Table2[GameDate], "&lt;=" &amp; $A154, Table2[HomeTeam], J$1)</f>
        <v>45</v>
      </c>
      <c r="K154" s="145">
        <f>SUMIFS(Table2[NewPointsAway],Table2[GameDate], "&lt;=" &amp; $A154, Table2[AwayTeam], K$1)+SUMIFS(Table2[NewPointsHome],Table2[GameDate], "&lt;=" &amp; $A154, Table2[HomeTeam], K$1)</f>
        <v>35</v>
      </c>
      <c r="L154" s="145">
        <f>SUMIFS(Table2[NewPointsAway],Table2[GameDate], "&lt;=" &amp; $A154, Table2[AwayTeam], L$1)+SUMIFS(Table2[NewPointsHome],Table2[GameDate], "&lt;=" &amp; $A154, Table2[HomeTeam], L$1)</f>
        <v>31</v>
      </c>
      <c r="M154" s="145">
        <f>SUMIFS(Table2[NewPointsAway],Table2[GameDate], "&lt;=" &amp; $A154, Table2[AwayTeam], M$1)+SUMIFS(Table2[NewPointsHome],Table2[GameDate], "&lt;=" &amp; $A154, Table2[HomeTeam], M$1)</f>
        <v>30</v>
      </c>
      <c r="N154" s="145">
        <f>SUMIFS(Table2[NewPointsAway],Table2[GameDate], "&lt;=" &amp; $A154, Table2[AwayTeam], N$1)+SUMIFS(Table2[NewPointsHome],Table2[GameDate], "&lt;=" &amp; $A154, Table2[HomeTeam], N$1)</f>
        <v>35</v>
      </c>
      <c r="O154" s="145">
        <f>SUMIFS(Table2[NewPointsAway],Table2[GameDate], "&lt;=" &amp; $A154, Table2[AwayTeam], O$1)+SUMIFS(Table2[NewPointsHome],Table2[GameDate], "&lt;=" &amp; $A154, Table2[HomeTeam], O$1)</f>
        <v>37</v>
      </c>
      <c r="P154" s="145">
        <f>SUMIFS(Table2[NewPointsAway],Table2[GameDate], "&lt;=" &amp; $A154, Table2[AwayTeam], P$1)+SUMIFS(Table2[NewPointsHome],Table2[GameDate], "&lt;=" &amp; $A154, Table2[HomeTeam], P$1)</f>
        <v>33</v>
      </c>
      <c r="Q154" s="145">
        <f>SUMIFS(Table2[NewPointsAway],Table2[GameDate], "&lt;=" &amp; $A154, Table2[AwayTeam], Q$1)+SUMIFS(Table2[NewPointsHome],Table2[GameDate], "&lt;=" &amp; $A154, Table2[HomeTeam], Q$1)</f>
        <v>33</v>
      </c>
      <c r="R154" s="145">
        <f>SUMIFS(Table2[NewPointsAway],Table2[GameDate], "&lt;=" &amp; $A154, Table2[AwayTeam], R$1)+SUMIFS(Table2[NewPointsHome],Table2[GameDate], "&lt;=" &amp; $A154, Table2[HomeTeam], R$1)</f>
        <v>24</v>
      </c>
      <c r="S154" s="145">
        <f>SUMIFS(Table2[NewPointsAway],Table2[GameDate], "&lt;=" &amp; $A154, Table2[AwayTeam], S$1)+SUMIFS(Table2[NewPointsHome],Table2[GameDate], "&lt;=" &amp; $A154, Table2[HomeTeam], S$1)</f>
        <v>35</v>
      </c>
      <c r="T154" s="145">
        <f>SUMIFS(Table2[NewPointsAway],Table2[GameDate], "&lt;=" &amp; $A154, Table2[AwayTeam], T$1)+SUMIFS(Table2[NewPointsHome],Table2[GameDate], "&lt;=" &amp; $A154, Table2[HomeTeam], T$1)</f>
        <v>34</v>
      </c>
      <c r="U154" s="145">
        <f>SUMIFS(Table2[NewPointsAway],Table2[GameDate], "&lt;=" &amp; $A154, Table2[AwayTeam], U$1)+SUMIFS(Table2[NewPointsHome],Table2[GameDate], "&lt;=" &amp; $A154, Table2[HomeTeam], U$1)</f>
        <v>30</v>
      </c>
      <c r="V154" s="145">
        <f>SUMIFS(Table2[NewPointsAway],Table2[GameDate], "&lt;=" &amp; $A154, Table2[AwayTeam], V$1)+SUMIFS(Table2[NewPointsHome],Table2[GameDate], "&lt;=" &amp; $A154, Table2[HomeTeam], V$1)</f>
        <v>32</v>
      </c>
      <c r="W154" s="145">
        <f>SUMIFS(Table2[NewPointsAway],Table2[GameDate], "&lt;=" &amp; $A154, Table2[AwayTeam], W$1)+SUMIFS(Table2[NewPointsHome],Table2[GameDate], "&lt;=" &amp; $A154, Table2[HomeTeam], W$1)</f>
        <v>34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31</v>
      </c>
      <c r="Z154" s="145">
        <f>SUMIFS(Table2[NewPointsAway],Table2[GameDate], "&lt;=" &amp; $A154, Table2[AwayTeam], Z$1)+SUMIFS(Table2[NewPointsHome],Table2[GameDate], "&lt;=" &amp; $A154, Table2[HomeTeam], Z$1)</f>
        <v>30</v>
      </c>
      <c r="AA154" s="145">
        <f>SUMIFS(Table2[NewPointsAway],Table2[GameDate], "&lt;=" &amp; $A154, Table2[AwayTeam], AA$1)+SUMIFS(Table2[NewPointsHome],Table2[GameDate], "&lt;=" &amp; $A154, Table2[HomeTeam], AA$1)</f>
        <v>34</v>
      </c>
      <c r="AB154" s="145">
        <f>SUMIFS(Table2[NewPointsAway],Table2[GameDate], "&lt;=" &amp; $A154, Table2[AwayTeam], AB$1)+SUMIFS(Table2[NewPointsHome],Table2[GameDate], "&lt;=" &amp; $A154, Table2[HomeTeam], AB$1)</f>
        <v>32</v>
      </c>
      <c r="AC154" s="145">
        <f>SUMIFS(Table2[NewPointsAway],Table2[GameDate], "&lt;=" &amp; $A154, Table2[AwayTeam], AC$1)+SUMIFS(Table2[NewPointsHome],Table2[GameDate], "&lt;=" &amp; $A154, Table2[HomeTeam], AC$1)</f>
        <v>31</v>
      </c>
      <c r="AD154" s="145">
        <f>SUMIFS(Table2[NewPointsAway],Table2[GameDate], "&lt;=" &amp; $A154, Table2[AwayTeam], AD$1)+SUMIFS(Table2[NewPointsHome],Table2[GameDate], "&lt;=" &amp; $A154, Table2[HomeTeam], AD$1)</f>
        <v>25</v>
      </c>
      <c r="AE154" s="145">
        <f>SUMIFS(Table2[NewPointsAway],Table2[GameDate], "&lt;=" &amp; $A154, Table2[AwayTeam], AE$1)+SUMIFS(Table2[NewPointsHome],Table2[GameDate], "&lt;=" &amp; $A154, Table2[HomeTeam], AE$1)</f>
        <v>36</v>
      </c>
      <c r="AF154" s="145">
        <f>SUMIFS(Table2[NewPointsAway],Table2[GameDate], "&lt;=" &amp; $A154, Table2[AwayTeam], AF$1)+SUMIFS(Table2[NewPointsHome],Table2[GameDate], "&lt;=" &amp; $A154, Table2[HomeTeam], AF$1)</f>
        <v>29</v>
      </c>
      <c r="AG154" s="145">
        <f>SUMIFS(Table2[NewPointsAway],Table2[GameDate], "&lt;=" &amp; $A154, Table2[AwayTeam], AG$1)+SUMIFS(Table2[NewPointsHome],Table2[GameDate], "&lt;=" &amp; $A154, Table2[HomeTeam], AG$1)</f>
        <v>39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37</v>
      </c>
      <c r="C155" s="145">
        <f>SUMIFS(Table2[NewPointsAway],Table2[GameDate], "&lt;=" &amp; $A155, Table2[AwayTeam], C$1)+SUMIFS(Table2[NewPointsHome],Table2[GameDate], "&lt;=" &amp; $A155, Table2[HomeTeam], C$1)</f>
        <v>34</v>
      </c>
      <c r="D155" s="145">
        <f>SUMIFS(Table2[NewPointsAway],Table2[GameDate], "&lt;=" &amp; $A155, Table2[AwayTeam], D$1)+SUMIFS(Table2[NewPointsHome],Table2[GameDate], "&lt;=" &amp; $A155, Table2[HomeTeam], D$1)</f>
        <v>26</v>
      </c>
      <c r="E155" s="145">
        <f>SUMIFS(Table2[NewPointsAway],Table2[GameDate], "&lt;=" &amp; $A155, Table2[AwayTeam], E$1)+SUMIFS(Table2[NewPointsHome],Table2[GameDate], "&lt;=" &amp; $A155, Table2[HomeTeam], E$1)</f>
        <v>36</v>
      </c>
      <c r="F155" s="145">
        <f>SUMIFS(Table2[NewPointsAway],Table2[GameDate], "&lt;=" &amp; $A155, Table2[AwayTeam], F$1)+SUMIFS(Table2[NewPointsHome],Table2[GameDate], "&lt;=" &amp; $A155, Table2[HomeTeam], F$1)</f>
        <v>32</v>
      </c>
      <c r="G155" s="145">
        <f>SUMIFS(Table2[NewPointsAway],Table2[GameDate], "&lt;=" &amp; $A155, Table2[AwayTeam], G$1)+SUMIFS(Table2[NewPointsHome],Table2[GameDate], "&lt;=" &amp; $A155, Table2[HomeTeam], G$1)</f>
        <v>28</v>
      </c>
      <c r="H155" s="145">
        <f>SUMIFS(Table2[NewPointsAway],Table2[GameDate], "&lt;=" &amp; $A155, Table2[AwayTeam], H$1)+SUMIFS(Table2[NewPointsHome],Table2[GameDate], "&lt;=" &amp; $A155, Table2[HomeTeam], H$1)</f>
        <v>30</v>
      </c>
      <c r="I155" s="145">
        <f>SUMIFS(Table2[NewPointsAway],Table2[GameDate], "&lt;=" &amp; $A155, Table2[AwayTeam], I$1)+SUMIFS(Table2[NewPointsHome],Table2[GameDate], "&lt;=" &amp; $A155, Table2[HomeTeam], I$1)</f>
        <v>48</v>
      </c>
      <c r="J155" s="145">
        <f>SUMIFS(Table2[NewPointsAway],Table2[GameDate], "&lt;=" &amp; $A155, Table2[AwayTeam], J$1)+SUMIFS(Table2[NewPointsHome],Table2[GameDate], "&lt;=" &amp; $A155, Table2[HomeTeam], J$1)</f>
        <v>45</v>
      </c>
      <c r="K155" s="145">
        <f>SUMIFS(Table2[NewPointsAway],Table2[GameDate], "&lt;=" &amp; $A155, Table2[AwayTeam], K$1)+SUMIFS(Table2[NewPointsHome],Table2[GameDate], "&lt;=" &amp; $A155, Table2[HomeTeam], K$1)</f>
        <v>35</v>
      </c>
      <c r="L155" s="145">
        <f>SUMIFS(Table2[NewPointsAway],Table2[GameDate], "&lt;=" &amp; $A155, Table2[AwayTeam], L$1)+SUMIFS(Table2[NewPointsHome],Table2[GameDate], "&lt;=" &amp; $A155, Table2[HomeTeam], L$1)</f>
        <v>31</v>
      </c>
      <c r="M155" s="145">
        <f>SUMIFS(Table2[NewPointsAway],Table2[GameDate], "&lt;=" &amp; $A155, Table2[AwayTeam], M$1)+SUMIFS(Table2[NewPointsHome],Table2[GameDate], "&lt;=" &amp; $A155, Table2[HomeTeam], M$1)</f>
        <v>30</v>
      </c>
      <c r="N155" s="145">
        <f>SUMIFS(Table2[NewPointsAway],Table2[GameDate], "&lt;=" &amp; $A155, Table2[AwayTeam], N$1)+SUMIFS(Table2[NewPointsHome],Table2[GameDate], "&lt;=" &amp; $A155, Table2[HomeTeam], N$1)</f>
        <v>35</v>
      </c>
      <c r="O155" s="145">
        <f>SUMIFS(Table2[NewPointsAway],Table2[GameDate], "&lt;=" &amp; $A155, Table2[AwayTeam], O$1)+SUMIFS(Table2[NewPointsHome],Table2[GameDate], "&lt;=" &amp; $A155, Table2[HomeTeam], O$1)</f>
        <v>37</v>
      </c>
      <c r="P155" s="145">
        <f>SUMIFS(Table2[NewPointsAway],Table2[GameDate], "&lt;=" &amp; $A155, Table2[AwayTeam], P$1)+SUMIFS(Table2[NewPointsHome],Table2[GameDate], "&lt;=" &amp; $A155, Table2[HomeTeam], P$1)</f>
        <v>33</v>
      </c>
      <c r="Q155" s="145">
        <f>SUMIFS(Table2[NewPointsAway],Table2[GameDate], "&lt;=" &amp; $A155, Table2[AwayTeam], Q$1)+SUMIFS(Table2[NewPointsHome],Table2[GameDate], "&lt;=" &amp; $A155, Table2[HomeTeam], Q$1)</f>
        <v>33</v>
      </c>
      <c r="R155" s="145">
        <f>SUMIFS(Table2[NewPointsAway],Table2[GameDate], "&lt;=" &amp; $A155, Table2[AwayTeam], R$1)+SUMIFS(Table2[NewPointsHome],Table2[GameDate], "&lt;=" &amp; $A155, Table2[HomeTeam], R$1)</f>
        <v>24</v>
      </c>
      <c r="S155" s="145">
        <f>SUMIFS(Table2[NewPointsAway],Table2[GameDate], "&lt;=" &amp; $A155, Table2[AwayTeam], S$1)+SUMIFS(Table2[NewPointsHome],Table2[GameDate], "&lt;=" &amp; $A155, Table2[HomeTeam], S$1)</f>
        <v>35</v>
      </c>
      <c r="T155" s="145">
        <f>SUMIFS(Table2[NewPointsAway],Table2[GameDate], "&lt;=" &amp; $A155, Table2[AwayTeam], T$1)+SUMIFS(Table2[NewPointsHome],Table2[GameDate], "&lt;=" &amp; $A155, Table2[HomeTeam], T$1)</f>
        <v>34</v>
      </c>
      <c r="U155" s="145">
        <f>SUMIFS(Table2[NewPointsAway],Table2[GameDate], "&lt;=" &amp; $A155, Table2[AwayTeam], U$1)+SUMIFS(Table2[NewPointsHome],Table2[GameDate], "&lt;=" &amp; $A155, Table2[HomeTeam], U$1)</f>
        <v>30</v>
      </c>
      <c r="V155" s="145">
        <f>SUMIFS(Table2[NewPointsAway],Table2[GameDate], "&lt;=" &amp; $A155, Table2[AwayTeam], V$1)+SUMIFS(Table2[NewPointsHome],Table2[GameDate], "&lt;=" &amp; $A155, Table2[HomeTeam], V$1)</f>
        <v>32</v>
      </c>
      <c r="W155" s="145">
        <f>SUMIFS(Table2[NewPointsAway],Table2[GameDate], "&lt;=" &amp; $A155, Table2[AwayTeam], W$1)+SUMIFS(Table2[NewPointsHome],Table2[GameDate], "&lt;=" &amp; $A155, Table2[HomeTeam], W$1)</f>
        <v>34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31</v>
      </c>
      <c r="Z155" s="145">
        <f>SUMIFS(Table2[NewPointsAway],Table2[GameDate], "&lt;=" &amp; $A155, Table2[AwayTeam], Z$1)+SUMIFS(Table2[NewPointsHome],Table2[GameDate], "&lt;=" &amp; $A155, Table2[HomeTeam], Z$1)</f>
        <v>30</v>
      </c>
      <c r="AA155" s="145">
        <f>SUMIFS(Table2[NewPointsAway],Table2[GameDate], "&lt;=" &amp; $A155, Table2[AwayTeam], AA$1)+SUMIFS(Table2[NewPointsHome],Table2[GameDate], "&lt;=" &amp; $A155, Table2[HomeTeam], AA$1)</f>
        <v>34</v>
      </c>
      <c r="AB155" s="145">
        <f>SUMIFS(Table2[NewPointsAway],Table2[GameDate], "&lt;=" &amp; $A155, Table2[AwayTeam], AB$1)+SUMIFS(Table2[NewPointsHome],Table2[GameDate], "&lt;=" &amp; $A155, Table2[HomeTeam], AB$1)</f>
        <v>32</v>
      </c>
      <c r="AC155" s="145">
        <f>SUMIFS(Table2[NewPointsAway],Table2[GameDate], "&lt;=" &amp; $A155, Table2[AwayTeam], AC$1)+SUMIFS(Table2[NewPointsHome],Table2[GameDate], "&lt;=" &amp; $A155, Table2[HomeTeam], AC$1)</f>
        <v>31</v>
      </c>
      <c r="AD155" s="145">
        <f>SUMIFS(Table2[NewPointsAway],Table2[GameDate], "&lt;=" &amp; $A155, Table2[AwayTeam], AD$1)+SUMIFS(Table2[NewPointsHome],Table2[GameDate], "&lt;=" &amp; $A155, Table2[HomeTeam], AD$1)</f>
        <v>25</v>
      </c>
      <c r="AE155" s="145">
        <f>SUMIFS(Table2[NewPointsAway],Table2[GameDate], "&lt;=" &amp; $A155, Table2[AwayTeam], AE$1)+SUMIFS(Table2[NewPointsHome],Table2[GameDate], "&lt;=" &amp; $A155, Table2[HomeTeam], AE$1)</f>
        <v>36</v>
      </c>
      <c r="AF155" s="145">
        <f>SUMIFS(Table2[NewPointsAway],Table2[GameDate], "&lt;=" &amp; $A155, Table2[AwayTeam], AF$1)+SUMIFS(Table2[NewPointsHome],Table2[GameDate], "&lt;=" &amp; $A155, Table2[HomeTeam], AF$1)</f>
        <v>29</v>
      </c>
      <c r="AG155" s="145">
        <f>SUMIFS(Table2[NewPointsAway],Table2[GameDate], "&lt;=" &amp; $A155, Table2[AwayTeam], AG$1)+SUMIFS(Table2[NewPointsHome],Table2[GameDate], "&lt;=" &amp; $A155, Table2[HomeTeam], AG$1)</f>
        <v>39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37</v>
      </c>
      <c r="C156" s="145">
        <f>SUMIFS(Table2[NewPointsAway],Table2[GameDate], "&lt;=" &amp; $A156, Table2[AwayTeam], C$1)+SUMIFS(Table2[NewPointsHome],Table2[GameDate], "&lt;=" &amp; $A156, Table2[HomeTeam], C$1)</f>
        <v>34</v>
      </c>
      <c r="D156" s="145">
        <f>SUMIFS(Table2[NewPointsAway],Table2[GameDate], "&lt;=" &amp; $A156, Table2[AwayTeam], D$1)+SUMIFS(Table2[NewPointsHome],Table2[GameDate], "&lt;=" &amp; $A156, Table2[HomeTeam], D$1)</f>
        <v>26</v>
      </c>
      <c r="E156" s="145">
        <f>SUMIFS(Table2[NewPointsAway],Table2[GameDate], "&lt;=" &amp; $A156, Table2[AwayTeam], E$1)+SUMIFS(Table2[NewPointsHome],Table2[GameDate], "&lt;=" &amp; $A156, Table2[HomeTeam], E$1)</f>
        <v>36</v>
      </c>
      <c r="F156" s="145">
        <f>SUMIFS(Table2[NewPointsAway],Table2[GameDate], "&lt;=" &amp; $A156, Table2[AwayTeam], F$1)+SUMIFS(Table2[NewPointsHome],Table2[GameDate], "&lt;=" &amp; $A156, Table2[HomeTeam], F$1)</f>
        <v>32</v>
      </c>
      <c r="G156" s="145">
        <f>SUMIFS(Table2[NewPointsAway],Table2[GameDate], "&lt;=" &amp; $A156, Table2[AwayTeam], G$1)+SUMIFS(Table2[NewPointsHome],Table2[GameDate], "&lt;=" &amp; $A156, Table2[HomeTeam], G$1)</f>
        <v>28</v>
      </c>
      <c r="H156" s="145">
        <f>SUMIFS(Table2[NewPointsAway],Table2[GameDate], "&lt;=" &amp; $A156, Table2[AwayTeam], H$1)+SUMIFS(Table2[NewPointsHome],Table2[GameDate], "&lt;=" &amp; $A156, Table2[HomeTeam], H$1)</f>
        <v>30</v>
      </c>
      <c r="I156" s="145">
        <f>SUMIFS(Table2[NewPointsAway],Table2[GameDate], "&lt;=" &amp; $A156, Table2[AwayTeam], I$1)+SUMIFS(Table2[NewPointsHome],Table2[GameDate], "&lt;=" &amp; $A156, Table2[HomeTeam], I$1)</f>
        <v>48</v>
      </c>
      <c r="J156" s="145">
        <f>SUMIFS(Table2[NewPointsAway],Table2[GameDate], "&lt;=" &amp; $A156, Table2[AwayTeam], J$1)+SUMIFS(Table2[NewPointsHome],Table2[GameDate], "&lt;=" &amp; $A156, Table2[HomeTeam], J$1)</f>
        <v>45</v>
      </c>
      <c r="K156" s="145">
        <f>SUMIFS(Table2[NewPointsAway],Table2[GameDate], "&lt;=" &amp; $A156, Table2[AwayTeam], K$1)+SUMIFS(Table2[NewPointsHome],Table2[GameDate], "&lt;=" &amp; $A156, Table2[HomeTeam], K$1)</f>
        <v>35</v>
      </c>
      <c r="L156" s="145">
        <f>SUMIFS(Table2[NewPointsAway],Table2[GameDate], "&lt;=" &amp; $A156, Table2[AwayTeam], L$1)+SUMIFS(Table2[NewPointsHome],Table2[GameDate], "&lt;=" &amp; $A156, Table2[HomeTeam], L$1)</f>
        <v>31</v>
      </c>
      <c r="M156" s="145">
        <f>SUMIFS(Table2[NewPointsAway],Table2[GameDate], "&lt;=" &amp; $A156, Table2[AwayTeam], M$1)+SUMIFS(Table2[NewPointsHome],Table2[GameDate], "&lt;=" &amp; $A156, Table2[HomeTeam], M$1)</f>
        <v>30</v>
      </c>
      <c r="N156" s="145">
        <f>SUMIFS(Table2[NewPointsAway],Table2[GameDate], "&lt;=" &amp; $A156, Table2[AwayTeam], N$1)+SUMIFS(Table2[NewPointsHome],Table2[GameDate], "&lt;=" &amp; $A156, Table2[HomeTeam], N$1)</f>
        <v>35</v>
      </c>
      <c r="O156" s="145">
        <f>SUMIFS(Table2[NewPointsAway],Table2[GameDate], "&lt;=" &amp; $A156, Table2[AwayTeam], O$1)+SUMIFS(Table2[NewPointsHome],Table2[GameDate], "&lt;=" &amp; $A156, Table2[HomeTeam], O$1)</f>
        <v>37</v>
      </c>
      <c r="P156" s="145">
        <f>SUMIFS(Table2[NewPointsAway],Table2[GameDate], "&lt;=" &amp; $A156, Table2[AwayTeam], P$1)+SUMIFS(Table2[NewPointsHome],Table2[GameDate], "&lt;=" &amp; $A156, Table2[HomeTeam], P$1)</f>
        <v>33</v>
      </c>
      <c r="Q156" s="145">
        <f>SUMIFS(Table2[NewPointsAway],Table2[GameDate], "&lt;=" &amp; $A156, Table2[AwayTeam], Q$1)+SUMIFS(Table2[NewPointsHome],Table2[GameDate], "&lt;=" &amp; $A156, Table2[HomeTeam], Q$1)</f>
        <v>33</v>
      </c>
      <c r="R156" s="145">
        <f>SUMIFS(Table2[NewPointsAway],Table2[GameDate], "&lt;=" &amp; $A156, Table2[AwayTeam], R$1)+SUMIFS(Table2[NewPointsHome],Table2[GameDate], "&lt;=" &amp; $A156, Table2[HomeTeam], R$1)</f>
        <v>24</v>
      </c>
      <c r="S156" s="145">
        <f>SUMIFS(Table2[NewPointsAway],Table2[GameDate], "&lt;=" &amp; $A156, Table2[AwayTeam], S$1)+SUMIFS(Table2[NewPointsHome],Table2[GameDate], "&lt;=" &amp; $A156, Table2[HomeTeam], S$1)</f>
        <v>35</v>
      </c>
      <c r="T156" s="145">
        <f>SUMIFS(Table2[NewPointsAway],Table2[GameDate], "&lt;=" &amp; $A156, Table2[AwayTeam], T$1)+SUMIFS(Table2[NewPointsHome],Table2[GameDate], "&lt;=" &amp; $A156, Table2[HomeTeam], T$1)</f>
        <v>34</v>
      </c>
      <c r="U156" s="145">
        <f>SUMIFS(Table2[NewPointsAway],Table2[GameDate], "&lt;=" &amp; $A156, Table2[AwayTeam], U$1)+SUMIFS(Table2[NewPointsHome],Table2[GameDate], "&lt;=" &amp; $A156, Table2[HomeTeam], U$1)</f>
        <v>30</v>
      </c>
      <c r="V156" s="145">
        <f>SUMIFS(Table2[NewPointsAway],Table2[GameDate], "&lt;=" &amp; $A156, Table2[AwayTeam], V$1)+SUMIFS(Table2[NewPointsHome],Table2[GameDate], "&lt;=" &amp; $A156, Table2[HomeTeam], V$1)</f>
        <v>32</v>
      </c>
      <c r="W156" s="145">
        <f>SUMIFS(Table2[NewPointsAway],Table2[GameDate], "&lt;=" &amp; $A156, Table2[AwayTeam], W$1)+SUMIFS(Table2[NewPointsHome],Table2[GameDate], "&lt;=" &amp; $A156, Table2[HomeTeam], W$1)</f>
        <v>34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31</v>
      </c>
      <c r="Z156" s="145">
        <f>SUMIFS(Table2[NewPointsAway],Table2[GameDate], "&lt;=" &amp; $A156, Table2[AwayTeam], Z$1)+SUMIFS(Table2[NewPointsHome],Table2[GameDate], "&lt;=" &amp; $A156, Table2[HomeTeam], Z$1)</f>
        <v>30</v>
      </c>
      <c r="AA156" s="145">
        <f>SUMIFS(Table2[NewPointsAway],Table2[GameDate], "&lt;=" &amp; $A156, Table2[AwayTeam], AA$1)+SUMIFS(Table2[NewPointsHome],Table2[GameDate], "&lt;=" &amp; $A156, Table2[HomeTeam], AA$1)</f>
        <v>34</v>
      </c>
      <c r="AB156" s="145">
        <f>SUMIFS(Table2[NewPointsAway],Table2[GameDate], "&lt;=" &amp; $A156, Table2[AwayTeam], AB$1)+SUMIFS(Table2[NewPointsHome],Table2[GameDate], "&lt;=" &amp; $A156, Table2[HomeTeam], AB$1)</f>
        <v>32</v>
      </c>
      <c r="AC156" s="145">
        <f>SUMIFS(Table2[NewPointsAway],Table2[GameDate], "&lt;=" &amp; $A156, Table2[AwayTeam], AC$1)+SUMIFS(Table2[NewPointsHome],Table2[GameDate], "&lt;=" &amp; $A156, Table2[HomeTeam], AC$1)</f>
        <v>31</v>
      </c>
      <c r="AD156" s="145">
        <f>SUMIFS(Table2[NewPointsAway],Table2[GameDate], "&lt;=" &amp; $A156, Table2[AwayTeam], AD$1)+SUMIFS(Table2[NewPointsHome],Table2[GameDate], "&lt;=" &amp; $A156, Table2[HomeTeam], AD$1)</f>
        <v>25</v>
      </c>
      <c r="AE156" s="145">
        <f>SUMIFS(Table2[NewPointsAway],Table2[GameDate], "&lt;=" &amp; $A156, Table2[AwayTeam], AE$1)+SUMIFS(Table2[NewPointsHome],Table2[GameDate], "&lt;=" &amp; $A156, Table2[HomeTeam], AE$1)</f>
        <v>36</v>
      </c>
      <c r="AF156" s="145">
        <f>SUMIFS(Table2[NewPointsAway],Table2[GameDate], "&lt;=" &amp; $A156, Table2[AwayTeam], AF$1)+SUMIFS(Table2[NewPointsHome],Table2[GameDate], "&lt;=" &amp; $A156, Table2[HomeTeam], AF$1)</f>
        <v>29</v>
      </c>
      <c r="AG156" s="145">
        <f>SUMIFS(Table2[NewPointsAway],Table2[GameDate], "&lt;=" &amp; $A156, Table2[AwayTeam], AG$1)+SUMIFS(Table2[NewPointsHome],Table2[GameDate], "&lt;=" &amp; $A156, Table2[HomeTeam], AG$1)</f>
        <v>39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37</v>
      </c>
      <c r="C157" s="145">
        <f>SUMIFS(Table2[NewPointsAway],Table2[GameDate], "&lt;=" &amp; $A157, Table2[AwayTeam], C$1)+SUMIFS(Table2[NewPointsHome],Table2[GameDate], "&lt;=" &amp; $A157, Table2[HomeTeam], C$1)</f>
        <v>34</v>
      </c>
      <c r="D157" s="145">
        <f>SUMIFS(Table2[NewPointsAway],Table2[GameDate], "&lt;=" &amp; $A157, Table2[AwayTeam], D$1)+SUMIFS(Table2[NewPointsHome],Table2[GameDate], "&lt;=" &amp; $A157, Table2[HomeTeam], D$1)</f>
        <v>26</v>
      </c>
      <c r="E157" s="145">
        <f>SUMIFS(Table2[NewPointsAway],Table2[GameDate], "&lt;=" &amp; $A157, Table2[AwayTeam], E$1)+SUMIFS(Table2[NewPointsHome],Table2[GameDate], "&lt;=" &amp; $A157, Table2[HomeTeam], E$1)</f>
        <v>36</v>
      </c>
      <c r="F157" s="145">
        <f>SUMIFS(Table2[NewPointsAway],Table2[GameDate], "&lt;=" &amp; $A157, Table2[AwayTeam], F$1)+SUMIFS(Table2[NewPointsHome],Table2[GameDate], "&lt;=" &amp; $A157, Table2[HomeTeam], F$1)</f>
        <v>32</v>
      </c>
      <c r="G157" s="145">
        <f>SUMIFS(Table2[NewPointsAway],Table2[GameDate], "&lt;=" &amp; $A157, Table2[AwayTeam], G$1)+SUMIFS(Table2[NewPointsHome],Table2[GameDate], "&lt;=" &amp; $A157, Table2[HomeTeam], G$1)</f>
        <v>28</v>
      </c>
      <c r="H157" s="145">
        <f>SUMIFS(Table2[NewPointsAway],Table2[GameDate], "&lt;=" &amp; $A157, Table2[AwayTeam], H$1)+SUMIFS(Table2[NewPointsHome],Table2[GameDate], "&lt;=" &amp; $A157, Table2[HomeTeam], H$1)</f>
        <v>30</v>
      </c>
      <c r="I157" s="145">
        <f>SUMIFS(Table2[NewPointsAway],Table2[GameDate], "&lt;=" &amp; $A157, Table2[AwayTeam], I$1)+SUMIFS(Table2[NewPointsHome],Table2[GameDate], "&lt;=" &amp; $A157, Table2[HomeTeam], I$1)</f>
        <v>48</v>
      </c>
      <c r="J157" s="145">
        <f>SUMIFS(Table2[NewPointsAway],Table2[GameDate], "&lt;=" &amp; $A157, Table2[AwayTeam], J$1)+SUMIFS(Table2[NewPointsHome],Table2[GameDate], "&lt;=" &amp; $A157, Table2[HomeTeam], J$1)</f>
        <v>45</v>
      </c>
      <c r="K157" s="145">
        <f>SUMIFS(Table2[NewPointsAway],Table2[GameDate], "&lt;=" &amp; $A157, Table2[AwayTeam], K$1)+SUMIFS(Table2[NewPointsHome],Table2[GameDate], "&lt;=" &amp; $A157, Table2[HomeTeam], K$1)</f>
        <v>35</v>
      </c>
      <c r="L157" s="145">
        <f>SUMIFS(Table2[NewPointsAway],Table2[GameDate], "&lt;=" &amp; $A157, Table2[AwayTeam], L$1)+SUMIFS(Table2[NewPointsHome],Table2[GameDate], "&lt;=" &amp; $A157, Table2[HomeTeam], L$1)</f>
        <v>31</v>
      </c>
      <c r="M157" s="145">
        <f>SUMIFS(Table2[NewPointsAway],Table2[GameDate], "&lt;=" &amp; $A157, Table2[AwayTeam], M$1)+SUMIFS(Table2[NewPointsHome],Table2[GameDate], "&lt;=" &amp; $A157, Table2[HomeTeam], M$1)</f>
        <v>30</v>
      </c>
      <c r="N157" s="145">
        <f>SUMIFS(Table2[NewPointsAway],Table2[GameDate], "&lt;=" &amp; $A157, Table2[AwayTeam], N$1)+SUMIFS(Table2[NewPointsHome],Table2[GameDate], "&lt;=" &amp; $A157, Table2[HomeTeam], N$1)</f>
        <v>35</v>
      </c>
      <c r="O157" s="145">
        <f>SUMIFS(Table2[NewPointsAway],Table2[GameDate], "&lt;=" &amp; $A157, Table2[AwayTeam], O$1)+SUMIFS(Table2[NewPointsHome],Table2[GameDate], "&lt;=" &amp; $A157, Table2[HomeTeam], O$1)</f>
        <v>37</v>
      </c>
      <c r="P157" s="145">
        <f>SUMIFS(Table2[NewPointsAway],Table2[GameDate], "&lt;=" &amp; $A157, Table2[AwayTeam], P$1)+SUMIFS(Table2[NewPointsHome],Table2[GameDate], "&lt;=" &amp; $A157, Table2[HomeTeam], P$1)</f>
        <v>33</v>
      </c>
      <c r="Q157" s="145">
        <f>SUMIFS(Table2[NewPointsAway],Table2[GameDate], "&lt;=" &amp; $A157, Table2[AwayTeam], Q$1)+SUMIFS(Table2[NewPointsHome],Table2[GameDate], "&lt;=" &amp; $A157, Table2[HomeTeam], Q$1)</f>
        <v>33</v>
      </c>
      <c r="R157" s="145">
        <f>SUMIFS(Table2[NewPointsAway],Table2[GameDate], "&lt;=" &amp; $A157, Table2[AwayTeam], R$1)+SUMIFS(Table2[NewPointsHome],Table2[GameDate], "&lt;=" &amp; $A157, Table2[HomeTeam], R$1)</f>
        <v>24</v>
      </c>
      <c r="S157" s="145">
        <f>SUMIFS(Table2[NewPointsAway],Table2[GameDate], "&lt;=" &amp; $A157, Table2[AwayTeam], S$1)+SUMIFS(Table2[NewPointsHome],Table2[GameDate], "&lt;=" &amp; $A157, Table2[HomeTeam], S$1)</f>
        <v>35</v>
      </c>
      <c r="T157" s="145">
        <f>SUMIFS(Table2[NewPointsAway],Table2[GameDate], "&lt;=" &amp; $A157, Table2[AwayTeam], T$1)+SUMIFS(Table2[NewPointsHome],Table2[GameDate], "&lt;=" &amp; $A157, Table2[HomeTeam], T$1)</f>
        <v>34</v>
      </c>
      <c r="U157" s="145">
        <f>SUMIFS(Table2[NewPointsAway],Table2[GameDate], "&lt;=" &amp; $A157, Table2[AwayTeam], U$1)+SUMIFS(Table2[NewPointsHome],Table2[GameDate], "&lt;=" &amp; $A157, Table2[HomeTeam], U$1)</f>
        <v>30</v>
      </c>
      <c r="V157" s="145">
        <f>SUMIFS(Table2[NewPointsAway],Table2[GameDate], "&lt;=" &amp; $A157, Table2[AwayTeam], V$1)+SUMIFS(Table2[NewPointsHome],Table2[GameDate], "&lt;=" &amp; $A157, Table2[HomeTeam], V$1)</f>
        <v>32</v>
      </c>
      <c r="W157" s="145">
        <f>SUMIFS(Table2[NewPointsAway],Table2[GameDate], "&lt;=" &amp; $A157, Table2[AwayTeam], W$1)+SUMIFS(Table2[NewPointsHome],Table2[GameDate], "&lt;=" &amp; $A157, Table2[HomeTeam], W$1)</f>
        <v>34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31</v>
      </c>
      <c r="Z157" s="145">
        <f>SUMIFS(Table2[NewPointsAway],Table2[GameDate], "&lt;=" &amp; $A157, Table2[AwayTeam], Z$1)+SUMIFS(Table2[NewPointsHome],Table2[GameDate], "&lt;=" &amp; $A157, Table2[HomeTeam], Z$1)</f>
        <v>30</v>
      </c>
      <c r="AA157" s="145">
        <f>SUMIFS(Table2[NewPointsAway],Table2[GameDate], "&lt;=" &amp; $A157, Table2[AwayTeam], AA$1)+SUMIFS(Table2[NewPointsHome],Table2[GameDate], "&lt;=" &amp; $A157, Table2[HomeTeam], AA$1)</f>
        <v>34</v>
      </c>
      <c r="AB157" s="145">
        <f>SUMIFS(Table2[NewPointsAway],Table2[GameDate], "&lt;=" &amp; $A157, Table2[AwayTeam], AB$1)+SUMIFS(Table2[NewPointsHome],Table2[GameDate], "&lt;=" &amp; $A157, Table2[HomeTeam], AB$1)</f>
        <v>32</v>
      </c>
      <c r="AC157" s="145">
        <f>SUMIFS(Table2[NewPointsAway],Table2[GameDate], "&lt;=" &amp; $A157, Table2[AwayTeam], AC$1)+SUMIFS(Table2[NewPointsHome],Table2[GameDate], "&lt;=" &amp; $A157, Table2[HomeTeam], AC$1)</f>
        <v>31</v>
      </c>
      <c r="AD157" s="145">
        <f>SUMIFS(Table2[NewPointsAway],Table2[GameDate], "&lt;=" &amp; $A157, Table2[AwayTeam], AD$1)+SUMIFS(Table2[NewPointsHome],Table2[GameDate], "&lt;=" &amp; $A157, Table2[HomeTeam], AD$1)</f>
        <v>25</v>
      </c>
      <c r="AE157" s="145">
        <f>SUMIFS(Table2[NewPointsAway],Table2[GameDate], "&lt;=" &amp; $A157, Table2[AwayTeam], AE$1)+SUMIFS(Table2[NewPointsHome],Table2[GameDate], "&lt;=" &amp; $A157, Table2[HomeTeam], AE$1)</f>
        <v>36</v>
      </c>
      <c r="AF157" s="145">
        <f>SUMIFS(Table2[NewPointsAway],Table2[GameDate], "&lt;=" &amp; $A157, Table2[AwayTeam], AF$1)+SUMIFS(Table2[NewPointsHome],Table2[GameDate], "&lt;=" &amp; $A157, Table2[HomeTeam], AF$1)</f>
        <v>29</v>
      </c>
      <c r="AG157" s="145">
        <f>SUMIFS(Table2[NewPointsAway],Table2[GameDate], "&lt;=" &amp; $A157, Table2[AwayTeam], AG$1)+SUMIFS(Table2[NewPointsHome],Table2[GameDate], "&lt;=" &amp; $A157, Table2[HomeTeam], AG$1)</f>
        <v>39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37</v>
      </c>
      <c r="C158" s="145">
        <f>SUMIFS(Table2[NewPointsAway],Table2[GameDate], "&lt;=" &amp; $A158, Table2[AwayTeam], C$1)+SUMIFS(Table2[NewPointsHome],Table2[GameDate], "&lt;=" &amp; $A158, Table2[HomeTeam], C$1)</f>
        <v>34</v>
      </c>
      <c r="D158" s="145">
        <f>SUMIFS(Table2[NewPointsAway],Table2[GameDate], "&lt;=" &amp; $A158, Table2[AwayTeam], D$1)+SUMIFS(Table2[NewPointsHome],Table2[GameDate], "&lt;=" &amp; $A158, Table2[HomeTeam], D$1)</f>
        <v>26</v>
      </c>
      <c r="E158" s="145">
        <f>SUMIFS(Table2[NewPointsAway],Table2[GameDate], "&lt;=" &amp; $A158, Table2[AwayTeam], E$1)+SUMIFS(Table2[NewPointsHome],Table2[GameDate], "&lt;=" &amp; $A158, Table2[HomeTeam], E$1)</f>
        <v>36</v>
      </c>
      <c r="F158" s="145">
        <f>SUMIFS(Table2[NewPointsAway],Table2[GameDate], "&lt;=" &amp; $A158, Table2[AwayTeam], F$1)+SUMIFS(Table2[NewPointsHome],Table2[GameDate], "&lt;=" &amp; $A158, Table2[HomeTeam], F$1)</f>
        <v>32</v>
      </c>
      <c r="G158" s="145">
        <f>SUMIFS(Table2[NewPointsAway],Table2[GameDate], "&lt;=" &amp; $A158, Table2[AwayTeam], G$1)+SUMIFS(Table2[NewPointsHome],Table2[GameDate], "&lt;=" &amp; $A158, Table2[HomeTeam], G$1)</f>
        <v>28</v>
      </c>
      <c r="H158" s="145">
        <f>SUMIFS(Table2[NewPointsAway],Table2[GameDate], "&lt;=" &amp; $A158, Table2[AwayTeam], H$1)+SUMIFS(Table2[NewPointsHome],Table2[GameDate], "&lt;=" &amp; $A158, Table2[HomeTeam], H$1)</f>
        <v>30</v>
      </c>
      <c r="I158" s="145">
        <f>SUMIFS(Table2[NewPointsAway],Table2[GameDate], "&lt;=" &amp; $A158, Table2[AwayTeam], I$1)+SUMIFS(Table2[NewPointsHome],Table2[GameDate], "&lt;=" &amp; $A158, Table2[HomeTeam], I$1)</f>
        <v>48</v>
      </c>
      <c r="J158" s="145">
        <f>SUMIFS(Table2[NewPointsAway],Table2[GameDate], "&lt;=" &amp; $A158, Table2[AwayTeam], J$1)+SUMIFS(Table2[NewPointsHome],Table2[GameDate], "&lt;=" &amp; $A158, Table2[HomeTeam], J$1)</f>
        <v>45</v>
      </c>
      <c r="K158" s="145">
        <f>SUMIFS(Table2[NewPointsAway],Table2[GameDate], "&lt;=" &amp; $A158, Table2[AwayTeam], K$1)+SUMIFS(Table2[NewPointsHome],Table2[GameDate], "&lt;=" &amp; $A158, Table2[HomeTeam], K$1)</f>
        <v>35</v>
      </c>
      <c r="L158" s="145">
        <f>SUMIFS(Table2[NewPointsAway],Table2[GameDate], "&lt;=" &amp; $A158, Table2[AwayTeam], L$1)+SUMIFS(Table2[NewPointsHome],Table2[GameDate], "&lt;=" &amp; $A158, Table2[HomeTeam], L$1)</f>
        <v>31</v>
      </c>
      <c r="M158" s="145">
        <f>SUMIFS(Table2[NewPointsAway],Table2[GameDate], "&lt;=" &amp; $A158, Table2[AwayTeam], M$1)+SUMIFS(Table2[NewPointsHome],Table2[GameDate], "&lt;=" &amp; $A158, Table2[HomeTeam], M$1)</f>
        <v>30</v>
      </c>
      <c r="N158" s="145">
        <f>SUMIFS(Table2[NewPointsAway],Table2[GameDate], "&lt;=" &amp; $A158, Table2[AwayTeam], N$1)+SUMIFS(Table2[NewPointsHome],Table2[GameDate], "&lt;=" &amp; $A158, Table2[HomeTeam], N$1)</f>
        <v>35</v>
      </c>
      <c r="O158" s="145">
        <f>SUMIFS(Table2[NewPointsAway],Table2[GameDate], "&lt;=" &amp; $A158, Table2[AwayTeam], O$1)+SUMIFS(Table2[NewPointsHome],Table2[GameDate], "&lt;=" &amp; $A158, Table2[HomeTeam], O$1)</f>
        <v>37</v>
      </c>
      <c r="P158" s="145">
        <f>SUMIFS(Table2[NewPointsAway],Table2[GameDate], "&lt;=" &amp; $A158, Table2[AwayTeam], P$1)+SUMIFS(Table2[NewPointsHome],Table2[GameDate], "&lt;=" &amp; $A158, Table2[HomeTeam], P$1)</f>
        <v>33</v>
      </c>
      <c r="Q158" s="145">
        <f>SUMIFS(Table2[NewPointsAway],Table2[GameDate], "&lt;=" &amp; $A158, Table2[AwayTeam], Q$1)+SUMIFS(Table2[NewPointsHome],Table2[GameDate], "&lt;=" &amp; $A158, Table2[HomeTeam], Q$1)</f>
        <v>33</v>
      </c>
      <c r="R158" s="145">
        <f>SUMIFS(Table2[NewPointsAway],Table2[GameDate], "&lt;=" &amp; $A158, Table2[AwayTeam], R$1)+SUMIFS(Table2[NewPointsHome],Table2[GameDate], "&lt;=" &amp; $A158, Table2[HomeTeam], R$1)</f>
        <v>24</v>
      </c>
      <c r="S158" s="145">
        <f>SUMIFS(Table2[NewPointsAway],Table2[GameDate], "&lt;=" &amp; $A158, Table2[AwayTeam], S$1)+SUMIFS(Table2[NewPointsHome],Table2[GameDate], "&lt;=" &amp; $A158, Table2[HomeTeam], S$1)</f>
        <v>35</v>
      </c>
      <c r="T158" s="145">
        <f>SUMIFS(Table2[NewPointsAway],Table2[GameDate], "&lt;=" &amp; $A158, Table2[AwayTeam], T$1)+SUMIFS(Table2[NewPointsHome],Table2[GameDate], "&lt;=" &amp; $A158, Table2[HomeTeam], T$1)</f>
        <v>34</v>
      </c>
      <c r="U158" s="145">
        <f>SUMIFS(Table2[NewPointsAway],Table2[GameDate], "&lt;=" &amp; $A158, Table2[AwayTeam], U$1)+SUMIFS(Table2[NewPointsHome],Table2[GameDate], "&lt;=" &amp; $A158, Table2[HomeTeam], U$1)</f>
        <v>30</v>
      </c>
      <c r="V158" s="145">
        <f>SUMIFS(Table2[NewPointsAway],Table2[GameDate], "&lt;=" &amp; $A158, Table2[AwayTeam], V$1)+SUMIFS(Table2[NewPointsHome],Table2[GameDate], "&lt;=" &amp; $A158, Table2[HomeTeam], V$1)</f>
        <v>32</v>
      </c>
      <c r="W158" s="145">
        <f>SUMIFS(Table2[NewPointsAway],Table2[GameDate], "&lt;=" &amp; $A158, Table2[AwayTeam], W$1)+SUMIFS(Table2[NewPointsHome],Table2[GameDate], "&lt;=" &amp; $A158, Table2[HomeTeam], W$1)</f>
        <v>34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31</v>
      </c>
      <c r="Z158" s="145">
        <f>SUMIFS(Table2[NewPointsAway],Table2[GameDate], "&lt;=" &amp; $A158, Table2[AwayTeam], Z$1)+SUMIFS(Table2[NewPointsHome],Table2[GameDate], "&lt;=" &amp; $A158, Table2[HomeTeam], Z$1)</f>
        <v>30</v>
      </c>
      <c r="AA158" s="145">
        <f>SUMIFS(Table2[NewPointsAway],Table2[GameDate], "&lt;=" &amp; $A158, Table2[AwayTeam], AA$1)+SUMIFS(Table2[NewPointsHome],Table2[GameDate], "&lt;=" &amp; $A158, Table2[HomeTeam], AA$1)</f>
        <v>34</v>
      </c>
      <c r="AB158" s="145">
        <f>SUMIFS(Table2[NewPointsAway],Table2[GameDate], "&lt;=" &amp; $A158, Table2[AwayTeam], AB$1)+SUMIFS(Table2[NewPointsHome],Table2[GameDate], "&lt;=" &amp; $A158, Table2[HomeTeam], AB$1)</f>
        <v>32</v>
      </c>
      <c r="AC158" s="145">
        <f>SUMIFS(Table2[NewPointsAway],Table2[GameDate], "&lt;=" &amp; $A158, Table2[AwayTeam], AC$1)+SUMIFS(Table2[NewPointsHome],Table2[GameDate], "&lt;=" &amp; $A158, Table2[HomeTeam], AC$1)</f>
        <v>31</v>
      </c>
      <c r="AD158" s="145">
        <f>SUMIFS(Table2[NewPointsAway],Table2[GameDate], "&lt;=" &amp; $A158, Table2[AwayTeam], AD$1)+SUMIFS(Table2[NewPointsHome],Table2[GameDate], "&lt;=" &amp; $A158, Table2[HomeTeam], AD$1)</f>
        <v>25</v>
      </c>
      <c r="AE158" s="145">
        <f>SUMIFS(Table2[NewPointsAway],Table2[GameDate], "&lt;=" &amp; $A158, Table2[AwayTeam], AE$1)+SUMIFS(Table2[NewPointsHome],Table2[GameDate], "&lt;=" &amp; $A158, Table2[HomeTeam], AE$1)</f>
        <v>36</v>
      </c>
      <c r="AF158" s="145">
        <f>SUMIFS(Table2[NewPointsAway],Table2[GameDate], "&lt;=" &amp; $A158, Table2[AwayTeam], AF$1)+SUMIFS(Table2[NewPointsHome],Table2[GameDate], "&lt;=" &amp; $A158, Table2[HomeTeam], AF$1)</f>
        <v>29</v>
      </c>
      <c r="AG158" s="145">
        <f>SUMIFS(Table2[NewPointsAway],Table2[GameDate], "&lt;=" &amp; $A158, Table2[AwayTeam], AG$1)+SUMIFS(Table2[NewPointsHome],Table2[GameDate], "&lt;=" &amp; $A158, Table2[HomeTeam], AG$1)</f>
        <v>39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37</v>
      </c>
      <c r="C159" s="145">
        <f>SUMIFS(Table2[NewPointsAway],Table2[GameDate], "&lt;=" &amp; $A159, Table2[AwayTeam], C$1)+SUMIFS(Table2[NewPointsHome],Table2[GameDate], "&lt;=" &amp; $A159, Table2[HomeTeam], C$1)</f>
        <v>34</v>
      </c>
      <c r="D159" s="145">
        <f>SUMIFS(Table2[NewPointsAway],Table2[GameDate], "&lt;=" &amp; $A159, Table2[AwayTeam], D$1)+SUMIFS(Table2[NewPointsHome],Table2[GameDate], "&lt;=" &amp; $A159, Table2[HomeTeam], D$1)</f>
        <v>26</v>
      </c>
      <c r="E159" s="145">
        <f>SUMIFS(Table2[NewPointsAway],Table2[GameDate], "&lt;=" &amp; $A159, Table2[AwayTeam], E$1)+SUMIFS(Table2[NewPointsHome],Table2[GameDate], "&lt;=" &amp; $A159, Table2[HomeTeam], E$1)</f>
        <v>36</v>
      </c>
      <c r="F159" s="145">
        <f>SUMIFS(Table2[NewPointsAway],Table2[GameDate], "&lt;=" &amp; $A159, Table2[AwayTeam], F$1)+SUMIFS(Table2[NewPointsHome],Table2[GameDate], "&lt;=" &amp; $A159, Table2[HomeTeam], F$1)</f>
        <v>32</v>
      </c>
      <c r="G159" s="145">
        <f>SUMIFS(Table2[NewPointsAway],Table2[GameDate], "&lt;=" &amp; $A159, Table2[AwayTeam], G$1)+SUMIFS(Table2[NewPointsHome],Table2[GameDate], "&lt;=" &amp; $A159, Table2[HomeTeam], G$1)</f>
        <v>28</v>
      </c>
      <c r="H159" s="145">
        <f>SUMIFS(Table2[NewPointsAway],Table2[GameDate], "&lt;=" &amp; $A159, Table2[AwayTeam], H$1)+SUMIFS(Table2[NewPointsHome],Table2[GameDate], "&lt;=" &amp; $A159, Table2[HomeTeam], H$1)</f>
        <v>30</v>
      </c>
      <c r="I159" s="145">
        <f>SUMIFS(Table2[NewPointsAway],Table2[GameDate], "&lt;=" &amp; $A159, Table2[AwayTeam], I$1)+SUMIFS(Table2[NewPointsHome],Table2[GameDate], "&lt;=" &amp; $A159, Table2[HomeTeam], I$1)</f>
        <v>48</v>
      </c>
      <c r="J159" s="145">
        <f>SUMIFS(Table2[NewPointsAway],Table2[GameDate], "&lt;=" &amp; $A159, Table2[AwayTeam], J$1)+SUMIFS(Table2[NewPointsHome],Table2[GameDate], "&lt;=" &amp; $A159, Table2[HomeTeam], J$1)</f>
        <v>45</v>
      </c>
      <c r="K159" s="145">
        <f>SUMIFS(Table2[NewPointsAway],Table2[GameDate], "&lt;=" &amp; $A159, Table2[AwayTeam], K$1)+SUMIFS(Table2[NewPointsHome],Table2[GameDate], "&lt;=" &amp; $A159, Table2[HomeTeam], K$1)</f>
        <v>35</v>
      </c>
      <c r="L159" s="145">
        <f>SUMIFS(Table2[NewPointsAway],Table2[GameDate], "&lt;=" &amp; $A159, Table2[AwayTeam], L$1)+SUMIFS(Table2[NewPointsHome],Table2[GameDate], "&lt;=" &amp; $A159, Table2[HomeTeam], L$1)</f>
        <v>31</v>
      </c>
      <c r="M159" s="145">
        <f>SUMIFS(Table2[NewPointsAway],Table2[GameDate], "&lt;=" &amp; $A159, Table2[AwayTeam], M$1)+SUMIFS(Table2[NewPointsHome],Table2[GameDate], "&lt;=" &amp; $A159, Table2[HomeTeam], M$1)</f>
        <v>30</v>
      </c>
      <c r="N159" s="145">
        <f>SUMIFS(Table2[NewPointsAway],Table2[GameDate], "&lt;=" &amp; $A159, Table2[AwayTeam], N$1)+SUMIFS(Table2[NewPointsHome],Table2[GameDate], "&lt;=" &amp; $A159, Table2[HomeTeam], N$1)</f>
        <v>35</v>
      </c>
      <c r="O159" s="145">
        <f>SUMIFS(Table2[NewPointsAway],Table2[GameDate], "&lt;=" &amp; $A159, Table2[AwayTeam], O$1)+SUMIFS(Table2[NewPointsHome],Table2[GameDate], "&lt;=" &amp; $A159, Table2[HomeTeam], O$1)</f>
        <v>37</v>
      </c>
      <c r="P159" s="145">
        <f>SUMIFS(Table2[NewPointsAway],Table2[GameDate], "&lt;=" &amp; $A159, Table2[AwayTeam], P$1)+SUMIFS(Table2[NewPointsHome],Table2[GameDate], "&lt;=" &amp; $A159, Table2[HomeTeam], P$1)</f>
        <v>33</v>
      </c>
      <c r="Q159" s="145">
        <f>SUMIFS(Table2[NewPointsAway],Table2[GameDate], "&lt;=" &amp; $A159, Table2[AwayTeam], Q$1)+SUMIFS(Table2[NewPointsHome],Table2[GameDate], "&lt;=" &amp; $A159, Table2[HomeTeam], Q$1)</f>
        <v>33</v>
      </c>
      <c r="R159" s="145">
        <f>SUMIFS(Table2[NewPointsAway],Table2[GameDate], "&lt;=" &amp; $A159, Table2[AwayTeam], R$1)+SUMIFS(Table2[NewPointsHome],Table2[GameDate], "&lt;=" &amp; $A159, Table2[HomeTeam], R$1)</f>
        <v>24</v>
      </c>
      <c r="S159" s="145">
        <f>SUMIFS(Table2[NewPointsAway],Table2[GameDate], "&lt;=" &amp; $A159, Table2[AwayTeam], S$1)+SUMIFS(Table2[NewPointsHome],Table2[GameDate], "&lt;=" &amp; $A159, Table2[HomeTeam], S$1)</f>
        <v>35</v>
      </c>
      <c r="T159" s="145">
        <f>SUMIFS(Table2[NewPointsAway],Table2[GameDate], "&lt;=" &amp; $A159, Table2[AwayTeam], T$1)+SUMIFS(Table2[NewPointsHome],Table2[GameDate], "&lt;=" &amp; $A159, Table2[HomeTeam], T$1)</f>
        <v>34</v>
      </c>
      <c r="U159" s="145">
        <f>SUMIFS(Table2[NewPointsAway],Table2[GameDate], "&lt;=" &amp; $A159, Table2[AwayTeam], U$1)+SUMIFS(Table2[NewPointsHome],Table2[GameDate], "&lt;=" &amp; $A159, Table2[HomeTeam], U$1)</f>
        <v>30</v>
      </c>
      <c r="V159" s="145">
        <f>SUMIFS(Table2[NewPointsAway],Table2[GameDate], "&lt;=" &amp; $A159, Table2[AwayTeam], V$1)+SUMIFS(Table2[NewPointsHome],Table2[GameDate], "&lt;=" &amp; $A159, Table2[HomeTeam], V$1)</f>
        <v>32</v>
      </c>
      <c r="W159" s="145">
        <f>SUMIFS(Table2[NewPointsAway],Table2[GameDate], "&lt;=" &amp; $A159, Table2[AwayTeam], W$1)+SUMIFS(Table2[NewPointsHome],Table2[GameDate], "&lt;=" &amp; $A159, Table2[HomeTeam], W$1)</f>
        <v>34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31</v>
      </c>
      <c r="Z159" s="145">
        <f>SUMIFS(Table2[NewPointsAway],Table2[GameDate], "&lt;=" &amp; $A159, Table2[AwayTeam], Z$1)+SUMIFS(Table2[NewPointsHome],Table2[GameDate], "&lt;=" &amp; $A159, Table2[HomeTeam], Z$1)</f>
        <v>30</v>
      </c>
      <c r="AA159" s="145">
        <f>SUMIFS(Table2[NewPointsAway],Table2[GameDate], "&lt;=" &amp; $A159, Table2[AwayTeam], AA$1)+SUMIFS(Table2[NewPointsHome],Table2[GameDate], "&lt;=" &amp; $A159, Table2[HomeTeam], AA$1)</f>
        <v>34</v>
      </c>
      <c r="AB159" s="145">
        <f>SUMIFS(Table2[NewPointsAway],Table2[GameDate], "&lt;=" &amp; $A159, Table2[AwayTeam], AB$1)+SUMIFS(Table2[NewPointsHome],Table2[GameDate], "&lt;=" &amp; $A159, Table2[HomeTeam], AB$1)</f>
        <v>32</v>
      </c>
      <c r="AC159" s="145">
        <f>SUMIFS(Table2[NewPointsAway],Table2[GameDate], "&lt;=" &amp; $A159, Table2[AwayTeam], AC$1)+SUMIFS(Table2[NewPointsHome],Table2[GameDate], "&lt;=" &amp; $A159, Table2[HomeTeam], AC$1)</f>
        <v>31</v>
      </c>
      <c r="AD159" s="145">
        <f>SUMIFS(Table2[NewPointsAway],Table2[GameDate], "&lt;=" &amp; $A159, Table2[AwayTeam], AD$1)+SUMIFS(Table2[NewPointsHome],Table2[GameDate], "&lt;=" &amp; $A159, Table2[HomeTeam], AD$1)</f>
        <v>25</v>
      </c>
      <c r="AE159" s="145">
        <f>SUMIFS(Table2[NewPointsAway],Table2[GameDate], "&lt;=" &amp; $A159, Table2[AwayTeam], AE$1)+SUMIFS(Table2[NewPointsHome],Table2[GameDate], "&lt;=" &amp; $A159, Table2[HomeTeam], AE$1)</f>
        <v>36</v>
      </c>
      <c r="AF159" s="145">
        <f>SUMIFS(Table2[NewPointsAway],Table2[GameDate], "&lt;=" &amp; $A159, Table2[AwayTeam], AF$1)+SUMIFS(Table2[NewPointsHome],Table2[GameDate], "&lt;=" &amp; $A159, Table2[HomeTeam], AF$1)</f>
        <v>29</v>
      </c>
      <c r="AG159" s="145">
        <f>SUMIFS(Table2[NewPointsAway],Table2[GameDate], "&lt;=" &amp; $A159, Table2[AwayTeam], AG$1)+SUMIFS(Table2[NewPointsHome],Table2[GameDate], "&lt;=" &amp; $A159, Table2[HomeTeam], AG$1)</f>
        <v>39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37</v>
      </c>
      <c r="C160" s="145">
        <f>SUMIFS(Table2[NewPointsAway],Table2[GameDate], "&lt;=" &amp; $A160, Table2[AwayTeam], C$1)+SUMIFS(Table2[NewPointsHome],Table2[GameDate], "&lt;=" &amp; $A160, Table2[HomeTeam], C$1)</f>
        <v>34</v>
      </c>
      <c r="D160" s="145">
        <f>SUMIFS(Table2[NewPointsAway],Table2[GameDate], "&lt;=" &amp; $A160, Table2[AwayTeam], D$1)+SUMIFS(Table2[NewPointsHome],Table2[GameDate], "&lt;=" &amp; $A160, Table2[HomeTeam], D$1)</f>
        <v>26</v>
      </c>
      <c r="E160" s="145">
        <f>SUMIFS(Table2[NewPointsAway],Table2[GameDate], "&lt;=" &amp; $A160, Table2[AwayTeam], E$1)+SUMIFS(Table2[NewPointsHome],Table2[GameDate], "&lt;=" &amp; $A160, Table2[HomeTeam], E$1)</f>
        <v>36</v>
      </c>
      <c r="F160" s="145">
        <f>SUMIFS(Table2[NewPointsAway],Table2[GameDate], "&lt;=" &amp; $A160, Table2[AwayTeam], F$1)+SUMIFS(Table2[NewPointsHome],Table2[GameDate], "&lt;=" &amp; $A160, Table2[HomeTeam], F$1)</f>
        <v>32</v>
      </c>
      <c r="G160" s="145">
        <f>SUMIFS(Table2[NewPointsAway],Table2[GameDate], "&lt;=" &amp; $A160, Table2[AwayTeam], G$1)+SUMIFS(Table2[NewPointsHome],Table2[GameDate], "&lt;=" &amp; $A160, Table2[HomeTeam], G$1)</f>
        <v>28</v>
      </c>
      <c r="H160" s="145">
        <f>SUMIFS(Table2[NewPointsAway],Table2[GameDate], "&lt;=" &amp; $A160, Table2[AwayTeam], H$1)+SUMIFS(Table2[NewPointsHome],Table2[GameDate], "&lt;=" &amp; $A160, Table2[HomeTeam], H$1)</f>
        <v>30</v>
      </c>
      <c r="I160" s="145">
        <f>SUMIFS(Table2[NewPointsAway],Table2[GameDate], "&lt;=" &amp; $A160, Table2[AwayTeam], I$1)+SUMIFS(Table2[NewPointsHome],Table2[GameDate], "&lt;=" &amp; $A160, Table2[HomeTeam], I$1)</f>
        <v>48</v>
      </c>
      <c r="J160" s="145">
        <f>SUMIFS(Table2[NewPointsAway],Table2[GameDate], "&lt;=" &amp; $A160, Table2[AwayTeam], J$1)+SUMIFS(Table2[NewPointsHome],Table2[GameDate], "&lt;=" &amp; $A160, Table2[HomeTeam], J$1)</f>
        <v>45</v>
      </c>
      <c r="K160" s="145">
        <f>SUMIFS(Table2[NewPointsAway],Table2[GameDate], "&lt;=" &amp; $A160, Table2[AwayTeam], K$1)+SUMIFS(Table2[NewPointsHome],Table2[GameDate], "&lt;=" &amp; $A160, Table2[HomeTeam], K$1)</f>
        <v>35</v>
      </c>
      <c r="L160" s="145">
        <f>SUMIFS(Table2[NewPointsAway],Table2[GameDate], "&lt;=" &amp; $A160, Table2[AwayTeam], L$1)+SUMIFS(Table2[NewPointsHome],Table2[GameDate], "&lt;=" &amp; $A160, Table2[HomeTeam], L$1)</f>
        <v>31</v>
      </c>
      <c r="M160" s="145">
        <f>SUMIFS(Table2[NewPointsAway],Table2[GameDate], "&lt;=" &amp; $A160, Table2[AwayTeam], M$1)+SUMIFS(Table2[NewPointsHome],Table2[GameDate], "&lt;=" &amp; $A160, Table2[HomeTeam], M$1)</f>
        <v>30</v>
      </c>
      <c r="N160" s="145">
        <f>SUMIFS(Table2[NewPointsAway],Table2[GameDate], "&lt;=" &amp; $A160, Table2[AwayTeam], N$1)+SUMIFS(Table2[NewPointsHome],Table2[GameDate], "&lt;=" &amp; $A160, Table2[HomeTeam], N$1)</f>
        <v>35</v>
      </c>
      <c r="O160" s="145">
        <f>SUMIFS(Table2[NewPointsAway],Table2[GameDate], "&lt;=" &amp; $A160, Table2[AwayTeam], O$1)+SUMIFS(Table2[NewPointsHome],Table2[GameDate], "&lt;=" &amp; $A160, Table2[HomeTeam], O$1)</f>
        <v>37</v>
      </c>
      <c r="P160" s="145">
        <f>SUMIFS(Table2[NewPointsAway],Table2[GameDate], "&lt;=" &amp; $A160, Table2[AwayTeam], P$1)+SUMIFS(Table2[NewPointsHome],Table2[GameDate], "&lt;=" &amp; $A160, Table2[HomeTeam], P$1)</f>
        <v>33</v>
      </c>
      <c r="Q160" s="145">
        <f>SUMIFS(Table2[NewPointsAway],Table2[GameDate], "&lt;=" &amp; $A160, Table2[AwayTeam], Q$1)+SUMIFS(Table2[NewPointsHome],Table2[GameDate], "&lt;=" &amp; $A160, Table2[HomeTeam], Q$1)</f>
        <v>33</v>
      </c>
      <c r="R160" s="145">
        <f>SUMIFS(Table2[NewPointsAway],Table2[GameDate], "&lt;=" &amp; $A160, Table2[AwayTeam], R$1)+SUMIFS(Table2[NewPointsHome],Table2[GameDate], "&lt;=" &amp; $A160, Table2[HomeTeam], R$1)</f>
        <v>24</v>
      </c>
      <c r="S160" s="145">
        <f>SUMIFS(Table2[NewPointsAway],Table2[GameDate], "&lt;=" &amp; $A160, Table2[AwayTeam], S$1)+SUMIFS(Table2[NewPointsHome],Table2[GameDate], "&lt;=" &amp; $A160, Table2[HomeTeam], S$1)</f>
        <v>35</v>
      </c>
      <c r="T160" s="145">
        <f>SUMIFS(Table2[NewPointsAway],Table2[GameDate], "&lt;=" &amp; $A160, Table2[AwayTeam], T$1)+SUMIFS(Table2[NewPointsHome],Table2[GameDate], "&lt;=" &amp; $A160, Table2[HomeTeam], T$1)</f>
        <v>34</v>
      </c>
      <c r="U160" s="145">
        <f>SUMIFS(Table2[NewPointsAway],Table2[GameDate], "&lt;=" &amp; $A160, Table2[AwayTeam], U$1)+SUMIFS(Table2[NewPointsHome],Table2[GameDate], "&lt;=" &amp; $A160, Table2[HomeTeam], U$1)</f>
        <v>30</v>
      </c>
      <c r="V160" s="145">
        <f>SUMIFS(Table2[NewPointsAway],Table2[GameDate], "&lt;=" &amp; $A160, Table2[AwayTeam], V$1)+SUMIFS(Table2[NewPointsHome],Table2[GameDate], "&lt;=" &amp; $A160, Table2[HomeTeam], V$1)</f>
        <v>32</v>
      </c>
      <c r="W160" s="145">
        <f>SUMIFS(Table2[NewPointsAway],Table2[GameDate], "&lt;=" &amp; $A160, Table2[AwayTeam], W$1)+SUMIFS(Table2[NewPointsHome],Table2[GameDate], "&lt;=" &amp; $A160, Table2[HomeTeam], W$1)</f>
        <v>34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31</v>
      </c>
      <c r="Z160" s="145">
        <f>SUMIFS(Table2[NewPointsAway],Table2[GameDate], "&lt;=" &amp; $A160, Table2[AwayTeam], Z$1)+SUMIFS(Table2[NewPointsHome],Table2[GameDate], "&lt;=" &amp; $A160, Table2[HomeTeam], Z$1)</f>
        <v>30</v>
      </c>
      <c r="AA160" s="145">
        <f>SUMIFS(Table2[NewPointsAway],Table2[GameDate], "&lt;=" &amp; $A160, Table2[AwayTeam], AA$1)+SUMIFS(Table2[NewPointsHome],Table2[GameDate], "&lt;=" &amp; $A160, Table2[HomeTeam], AA$1)</f>
        <v>34</v>
      </c>
      <c r="AB160" s="145">
        <f>SUMIFS(Table2[NewPointsAway],Table2[GameDate], "&lt;=" &amp; $A160, Table2[AwayTeam], AB$1)+SUMIFS(Table2[NewPointsHome],Table2[GameDate], "&lt;=" &amp; $A160, Table2[HomeTeam], AB$1)</f>
        <v>32</v>
      </c>
      <c r="AC160" s="145">
        <f>SUMIFS(Table2[NewPointsAway],Table2[GameDate], "&lt;=" &amp; $A160, Table2[AwayTeam], AC$1)+SUMIFS(Table2[NewPointsHome],Table2[GameDate], "&lt;=" &amp; $A160, Table2[HomeTeam], AC$1)</f>
        <v>31</v>
      </c>
      <c r="AD160" s="145">
        <f>SUMIFS(Table2[NewPointsAway],Table2[GameDate], "&lt;=" &amp; $A160, Table2[AwayTeam], AD$1)+SUMIFS(Table2[NewPointsHome],Table2[GameDate], "&lt;=" &amp; $A160, Table2[HomeTeam], AD$1)</f>
        <v>25</v>
      </c>
      <c r="AE160" s="145">
        <f>SUMIFS(Table2[NewPointsAway],Table2[GameDate], "&lt;=" &amp; $A160, Table2[AwayTeam], AE$1)+SUMIFS(Table2[NewPointsHome],Table2[GameDate], "&lt;=" &amp; $A160, Table2[HomeTeam], AE$1)</f>
        <v>36</v>
      </c>
      <c r="AF160" s="145">
        <f>SUMIFS(Table2[NewPointsAway],Table2[GameDate], "&lt;=" &amp; $A160, Table2[AwayTeam], AF$1)+SUMIFS(Table2[NewPointsHome],Table2[GameDate], "&lt;=" &amp; $A160, Table2[HomeTeam], AF$1)</f>
        <v>29</v>
      </c>
      <c r="AG160" s="145">
        <f>SUMIFS(Table2[NewPointsAway],Table2[GameDate], "&lt;=" &amp; $A160, Table2[AwayTeam], AG$1)+SUMIFS(Table2[NewPointsHome],Table2[GameDate], "&lt;=" &amp; $A160, Table2[HomeTeam], AG$1)</f>
        <v>39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37</v>
      </c>
      <c r="C161" s="145">
        <f>SUMIFS(Table2[NewPointsAway],Table2[GameDate], "&lt;=" &amp; $A161, Table2[AwayTeam], C$1)+SUMIFS(Table2[NewPointsHome],Table2[GameDate], "&lt;=" &amp; $A161, Table2[HomeTeam], C$1)</f>
        <v>34</v>
      </c>
      <c r="D161" s="145">
        <f>SUMIFS(Table2[NewPointsAway],Table2[GameDate], "&lt;=" &amp; $A161, Table2[AwayTeam], D$1)+SUMIFS(Table2[NewPointsHome],Table2[GameDate], "&lt;=" &amp; $A161, Table2[HomeTeam], D$1)</f>
        <v>26</v>
      </c>
      <c r="E161" s="145">
        <f>SUMIFS(Table2[NewPointsAway],Table2[GameDate], "&lt;=" &amp; $A161, Table2[AwayTeam], E$1)+SUMIFS(Table2[NewPointsHome],Table2[GameDate], "&lt;=" &amp; $A161, Table2[HomeTeam], E$1)</f>
        <v>36</v>
      </c>
      <c r="F161" s="145">
        <f>SUMIFS(Table2[NewPointsAway],Table2[GameDate], "&lt;=" &amp; $A161, Table2[AwayTeam], F$1)+SUMIFS(Table2[NewPointsHome],Table2[GameDate], "&lt;=" &amp; $A161, Table2[HomeTeam], F$1)</f>
        <v>32</v>
      </c>
      <c r="G161" s="145">
        <f>SUMIFS(Table2[NewPointsAway],Table2[GameDate], "&lt;=" &amp; $A161, Table2[AwayTeam], G$1)+SUMIFS(Table2[NewPointsHome],Table2[GameDate], "&lt;=" &amp; $A161, Table2[HomeTeam], G$1)</f>
        <v>28</v>
      </c>
      <c r="H161" s="145">
        <f>SUMIFS(Table2[NewPointsAway],Table2[GameDate], "&lt;=" &amp; $A161, Table2[AwayTeam], H$1)+SUMIFS(Table2[NewPointsHome],Table2[GameDate], "&lt;=" &amp; $A161, Table2[HomeTeam], H$1)</f>
        <v>30</v>
      </c>
      <c r="I161" s="145">
        <f>SUMIFS(Table2[NewPointsAway],Table2[GameDate], "&lt;=" &amp; $A161, Table2[AwayTeam], I$1)+SUMIFS(Table2[NewPointsHome],Table2[GameDate], "&lt;=" &amp; $A161, Table2[HomeTeam], I$1)</f>
        <v>48</v>
      </c>
      <c r="J161" s="145">
        <f>SUMIFS(Table2[NewPointsAway],Table2[GameDate], "&lt;=" &amp; $A161, Table2[AwayTeam], J$1)+SUMIFS(Table2[NewPointsHome],Table2[GameDate], "&lt;=" &amp; $A161, Table2[HomeTeam], J$1)</f>
        <v>45</v>
      </c>
      <c r="K161" s="145">
        <f>SUMIFS(Table2[NewPointsAway],Table2[GameDate], "&lt;=" &amp; $A161, Table2[AwayTeam], K$1)+SUMIFS(Table2[NewPointsHome],Table2[GameDate], "&lt;=" &amp; $A161, Table2[HomeTeam], K$1)</f>
        <v>35</v>
      </c>
      <c r="L161" s="145">
        <f>SUMIFS(Table2[NewPointsAway],Table2[GameDate], "&lt;=" &amp; $A161, Table2[AwayTeam], L$1)+SUMIFS(Table2[NewPointsHome],Table2[GameDate], "&lt;=" &amp; $A161, Table2[HomeTeam], L$1)</f>
        <v>31</v>
      </c>
      <c r="M161" s="145">
        <f>SUMIFS(Table2[NewPointsAway],Table2[GameDate], "&lt;=" &amp; $A161, Table2[AwayTeam], M$1)+SUMIFS(Table2[NewPointsHome],Table2[GameDate], "&lt;=" &amp; $A161, Table2[HomeTeam], M$1)</f>
        <v>30</v>
      </c>
      <c r="N161" s="145">
        <f>SUMIFS(Table2[NewPointsAway],Table2[GameDate], "&lt;=" &amp; $A161, Table2[AwayTeam], N$1)+SUMIFS(Table2[NewPointsHome],Table2[GameDate], "&lt;=" &amp; $A161, Table2[HomeTeam], N$1)</f>
        <v>35</v>
      </c>
      <c r="O161" s="145">
        <f>SUMIFS(Table2[NewPointsAway],Table2[GameDate], "&lt;=" &amp; $A161, Table2[AwayTeam], O$1)+SUMIFS(Table2[NewPointsHome],Table2[GameDate], "&lt;=" &amp; $A161, Table2[HomeTeam], O$1)</f>
        <v>37</v>
      </c>
      <c r="P161" s="145">
        <f>SUMIFS(Table2[NewPointsAway],Table2[GameDate], "&lt;=" &amp; $A161, Table2[AwayTeam], P$1)+SUMIFS(Table2[NewPointsHome],Table2[GameDate], "&lt;=" &amp; $A161, Table2[HomeTeam], P$1)</f>
        <v>33</v>
      </c>
      <c r="Q161" s="145">
        <f>SUMIFS(Table2[NewPointsAway],Table2[GameDate], "&lt;=" &amp; $A161, Table2[AwayTeam], Q$1)+SUMIFS(Table2[NewPointsHome],Table2[GameDate], "&lt;=" &amp; $A161, Table2[HomeTeam], Q$1)</f>
        <v>33</v>
      </c>
      <c r="R161" s="145">
        <f>SUMIFS(Table2[NewPointsAway],Table2[GameDate], "&lt;=" &amp; $A161, Table2[AwayTeam], R$1)+SUMIFS(Table2[NewPointsHome],Table2[GameDate], "&lt;=" &amp; $A161, Table2[HomeTeam], R$1)</f>
        <v>24</v>
      </c>
      <c r="S161" s="145">
        <f>SUMIFS(Table2[NewPointsAway],Table2[GameDate], "&lt;=" &amp; $A161, Table2[AwayTeam], S$1)+SUMIFS(Table2[NewPointsHome],Table2[GameDate], "&lt;=" &amp; $A161, Table2[HomeTeam], S$1)</f>
        <v>35</v>
      </c>
      <c r="T161" s="145">
        <f>SUMIFS(Table2[NewPointsAway],Table2[GameDate], "&lt;=" &amp; $A161, Table2[AwayTeam], T$1)+SUMIFS(Table2[NewPointsHome],Table2[GameDate], "&lt;=" &amp; $A161, Table2[HomeTeam], T$1)</f>
        <v>34</v>
      </c>
      <c r="U161" s="145">
        <f>SUMIFS(Table2[NewPointsAway],Table2[GameDate], "&lt;=" &amp; $A161, Table2[AwayTeam], U$1)+SUMIFS(Table2[NewPointsHome],Table2[GameDate], "&lt;=" &amp; $A161, Table2[HomeTeam], U$1)</f>
        <v>30</v>
      </c>
      <c r="V161" s="145">
        <f>SUMIFS(Table2[NewPointsAway],Table2[GameDate], "&lt;=" &amp; $A161, Table2[AwayTeam], V$1)+SUMIFS(Table2[NewPointsHome],Table2[GameDate], "&lt;=" &amp; $A161, Table2[HomeTeam], V$1)</f>
        <v>32</v>
      </c>
      <c r="W161" s="145">
        <f>SUMIFS(Table2[NewPointsAway],Table2[GameDate], "&lt;=" &amp; $A161, Table2[AwayTeam], W$1)+SUMIFS(Table2[NewPointsHome],Table2[GameDate], "&lt;=" &amp; $A161, Table2[HomeTeam], W$1)</f>
        <v>34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31</v>
      </c>
      <c r="Z161" s="145">
        <f>SUMIFS(Table2[NewPointsAway],Table2[GameDate], "&lt;=" &amp; $A161, Table2[AwayTeam], Z$1)+SUMIFS(Table2[NewPointsHome],Table2[GameDate], "&lt;=" &amp; $A161, Table2[HomeTeam], Z$1)</f>
        <v>30</v>
      </c>
      <c r="AA161" s="145">
        <f>SUMIFS(Table2[NewPointsAway],Table2[GameDate], "&lt;=" &amp; $A161, Table2[AwayTeam], AA$1)+SUMIFS(Table2[NewPointsHome],Table2[GameDate], "&lt;=" &amp; $A161, Table2[HomeTeam], AA$1)</f>
        <v>34</v>
      </c>
      <c r="AB161" s="145">
        <f>SUMIFS(Table2[NewPointsAway],Table2[GameDate], "&lt;=" &amp; $A161, Table2[AwayTeam], AB$1)+SUMIFS(Table2[NewPointsHome],Table2[GameDate], "&lt;=" &amp; $A161, Table2[HomeTeam], AB$1)</f>
        <v>32</v>
      </c>
      <c r="AC161" s="145">
        <f>SUMIFS(Table2[NewPointsAway],Table2[GameDate], "&lt;=" &amp; $A161, Table2[AwayTeam], AC$1)+SUMIFS(Table2[NewPointsHome],Table2[GameDate], "&lt;=" &amp; $A161, Table2[HomeTeam], AC$1)</f>
        <v>31</v>
      </c>
      <c r="AD161" s="145">
        <f>SUMIFS(Table2[NewPointsAway],Table2[GameDate], "&lt;=" &amp; $A161, Table2[AwayTeam], AD$1)+SUMIFS(Table2[NewPointsHome],Table2[GameDate], "&lt;=" &amp; $A161, Table2[HomeTeam], AD$1)</f>
        <v>25</v>
      </c>
      <c r="AE161" s="145">
        <f>SUMIFS(Table2[NewPointsAway],Table2[GameDate], "&lt;=" &amp; $A161, Table2[AwayTeam], AE$1)+SUMIFS(Table2[NewPointsHome],Table2[GameDate], "&lt;=" &amp; $A161, Table2[HomeTeam], AE$1)</f>
        <v>36</v>
      </c>
      <c r="AF161" s="145">
        <f>SUMIFS(Table2[NewPointsAway],Table2[GameDate], "&lt;=" &amp; $A161, Table2[AwayTeam], AF$1)+SUMIFS(Table2[NewPointsHome],Table2[GameDate], "&lt;=" &amp; $A161, Table2[HomeTeam], AF$1)</f>
        <v>29</v>
      </c>
      <c r="AG161" s="145">
        <f>SUMIFS(Table2[NewPointsAway],Table2[GameDate], "&lt;=" &amp; $A161, Table2[AwayTeam], AG$1)+SUMIFS(Table2[NewPointsHome],Table2[GameDate], "&lt;=" &amp; $A161, Table2[HomeTeam], AG$1)</f>
        <v>39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37</v>
      </c>
      <c r="C162" s="145">
        <f>SUMIFS(Table2[NewPointsAway],Table2[GameDate], "&lt;=" &amp; $A162, Table2[AwayTeam], C$1)+SUMIFS(Table2[NewPointsHome],Table2[GameDate], "&lt;=" &amp; $A162, Table2[HomeTeam], C$1)</f>
        <v>34</v>
      </c>
      <c r="D162" s="145">
        <f>SUMIFS(Table2[NewPointsAway],Table2[GameDate], "&lt;=" &amp; $A162, Table2[AwayTeam], D$1)+SUMIFS(Table2[NewPointsHome],Table2[GameDate], "&lt;=" &amp; $A162, Table2[HomeTeam], D$1)</f>
        <v>26</v>
      </c>
      <c r="E162" s="145">
        <f>SUMIFS(Table2[NewPointsAway],Table2[GameDate], "&lt;=" &amp; $A162, Table2[AwayTeam], E$1)+SUMIFS(Table2[NewPointsHome],Table2[GameDate], "&lt;=" &amp; $A162, Table2[HomeTeam], E$1)</f>
        <v>36</v>
      </c>
      <c r="F162" s="145">
        <f>SUMIFS(Table2[NewPointsAway],Table2[GameDate], "&lt;=" &amp; $A162, Table2[AwayTeam], F$1)+SUMIFS(Table2[NewPointsHome],Table2[GameDate], "&lt;=" &amp; $A162, Table2[HomeTeam], F$1)</f>
        <v>32</v>
      </c>
      <c r="G162" s="145">
        <f>SUMIFS(Table2[NewPointsAway],Table2[GameDate], "&lt;=" &amp; $A162, Table2[AwayTeam], G$1)+SUMIFS(Table2[NewPointsHome],Table2[GameDate], "&lt;=" &amp; $A162, Table2[HomeTeam], G$1)</f>
        <v>28</v>
      </c>
      <c r="H162" s="145">
        <f>SUMIFS(Table2[NewPointsAway],Table2[GameDate], "&lt;=" &amp; $A162, Table2[AwayTeam], H$1)+SUMIFS(Table2[NewPointsHome],Table2[GameDate], "&lt;=" &amp; $A162, Table2[HomeTeam], H$1)</f>
        <v>30</v>
      </c>
      <c r="I162" s="145">
        <f>SUMIFS(Table2[NewPointsAway],Table2[GameDate], "&lt;=" &amp; $A162, Table2[AwayTeam], I$1)+SUMIFS(Table2[NewPointsHome],Table2[GameDate], "&lt;=" &amp; $A162, Table2[HomeTeam], I$1)</f>
        <v>48</v>
      </c>
      <c r="J162" s="145">
        <f>SUMIFS(Table2[NewPointsAway],Table2[GameDate], "&lt;=" &amp; $A162, Table2[AwayTeam], J$1)+SUMIFS(Table2[NewPointsHome],Table2[GameDate], "&lt;=" &amp; $A162, Table2[HomeTeam], J$1)</f>
        <v>45</v>
      </c>
      <c r="K162" s="145">
        <f>SUMIFS(Table2[NewPointsAway],Table2[GameDate], "&lt;=" &amp; $A162, Table2[AwayTeam], K$1)+SUMIFS(Table2[NewPointsHome],Table2[GameDate], "&lt;=" &amp; $A162, Table2[HomeTeam], K$1)</f>
        <v>35</v>
      </c>
      <c r="L162" s="145">
        <f>SUMIFS(Table2[NewPointsAway],Table2[GameDate], "&lt;=" &amp; $A162, Table2[AwayTeam], L$1)+SUMIFS(Table2[NewPointsHome],Table2[GameDate], "&lt;=" &amp; $A162, Table2[HomeTeam], L$1)</f>
        <v>31</v>
      </c>
      <c r="M162" s="145">
        <f>SUMIFS(Table2[NewPointsAway],Table2[GameDate], "&lt;=" &amp; $A162, Table2[AwayTeam], M$1)+SUMIFS(Table2[NewPointsHome],Table2[GameDate], "&lt;=" &amp; $A162, Table2[HomeTeam], M$1)</f>
        <v>30</v>
      </c>
      <c r="N162" s="145">
        <f>SUMIFS(Table2[NewPointsAway],Table2[GameDate], "&lt;=" &amp; $A162, Table2[AwayTeam], N$1)+SUMIFS(Table2[NewPointsHome],Table2[GameDate], "&lt;=" &amp; $A162, Table2[HomeTeam], N$1)</f>
        <v>35</v>
      </c>
      <c r="O162" s="145">
        <f>SUMIFS(Table2[NewPointsAway],Table2[GameDate], "&lt;=" &amp; $A162, Table2[AwayTeam], O$1)+SUMIFS(Table2[NewPointsHome],Table2[GameDate], "&lt;=" &amp; $A162, Table2[HomeTeam], O$1)</f>
        <v>37</v>
      </c>
      <c r="P162" s="145">
        <f>SUMIFS(Table2[NewPointsAway],Table2[GameDate], "&lt;=" &amp; $A162, Table2[AwayTeam], P$1)+SUMIFS(Table2[NewPointsHome],Table2[GameDate], "&lt;=" &amp; $A162, Table2[HomeTeam], P$1)</f>
        <v>33</v>
      </c>
      <c r="Q162" s="145">
        <f>SUMIFS(Table2[NewPointsAway],Table2[GameDate], "&lt;=" &amp; $A162, Table2[AwayTeam], Q$1)+SUMIFS(Table2[NewPointsHome],Table2[GameDate], "&lt;=" &amp; $A162, Table2[HomeTeam], Q$1)</f>
        <v>33</v>
      </c>
      <c r="R162" s="145">
        <f>SUMIFS(Table2[NewPointsAway],Table2[GameDate], "&lt;=" &amp; $A162, Table2[AwayTeam], R$1)+SUMIFS(Table2[NewPointsHome],Table2[GameDate], "&lt;=" &amp; $A162, Table2[HomeTeam], R$1)</f>
        <v>24</v>
      </c>
      <c r="S162" s="145">
        <f>SUMIFS(Table2[NewPointsAway],Table2[GameDate], "&lt;=" &amp; $A162, Table2[AwayTeam], S$1)+SUMIFS(Table2[NewPointsHome],Table2[GameDate], "&lt;=" &amp; $A162, Table2[HomeTeam], S$1)</f>
        <v>35</v>
      </c>
      <c r="T162" s="145">
        <f>SUMIFS(Table2[NewPointsAway],Table2[GameDate], "&lt;=" &amp; $A162, Table2[AwayTeam], T$1)+SUMIFS(Table2[NewPointsHome],Table2[GameDate], "&lt;=" &amp; $A162, Table2[HomeTeam], T$1)</f>
        <v>34</v>
      </c>
      <c r="U162" s="145">
        <f>SUMIFS(Table2[NewPointsAway],Table2[GameDate], "&lt;=" &amp; $A162, Table2[AwayTeam], U$1)+SUMIFS(Table2[NewPointsHome],Table2[GameDate], "&lt;=" &amp; $A162, Table2[HomeTeam], U$1)</f>
        <v>30</v>
      </c>
      <c r="V162" s="145">
        <f>SUMIFS(Table2[NewPointsAway],Table2[GameDate], "&lt;=" &amp; $A162, Table2[AwayTeam], V$1)+SUMIFS(Table2[NewPointsHome],Table2[GameDate], "&lt;=" &amp; $A162, Table2[HomeTeam], V$1)</f>
        <v>32</v>
      </c>
      <c r="W162" s="145">
        <f>SUMIFS(Table2[NewPointsAway],Table2[GameDate], "&lt;=" &amp; $A162, Table2[AwayTeam], W$1)+SUMIFS(Table2[NewPointsHome],Table2[GameDate], "&lt;=" &amp; $A162, Table2[HomeTeam], W$1)</f>
        <v>34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31</v>
      </c>
      <c r="Z162" s="145">
        <f>SUMIFS(Table2[NewPointsAway],Table2[GameDate], "&lt;=" &amp; $A162, Table2[AwayTeam], Z$1)+SUMIFS(Table2[NewPointsHome],Table2[GameDate], "&lt;=" &amp; $A162, Table2[HomeTeam], Z$1)</f>
        <v>30</v>
      </c>
      <c r="AA162" s="145">
        <f>SUMIFS(Table2[NewPointsAway],Table2[GameDate], "&lt;=" &amp; $A162, Table2[AwayTeam], AA$1)+SUMIFS(Table2[NewPointsHome],Table2[GameDate], "&lt;=" &amp; $A162, Table2[HomeTeam], AA$1)</f>
        <v>34</v>
      </c>
      <c r="AB162" s="145">
        <f>SUMIFS(Table2[NewPointsAway],Table2[GameDate], "&lt;=" &amp; $A162, Table2[AwayTeam], AB$1)+SUMIFS(Table2[NewPointsHome],Table2[GameDate], "&lt;=" &amp; $A162, Table2[HomeTeam], AB$1)</f>
        <v>32</v>
      </c>
      <c r="AC162" s="145">
        <f>SUMIFS(Table2[NewPointsAway],Table2[GameDate], "&lt;=" &amp; $A162, Table2[AwayTeam], AC$1)+SUMIFS(Table2[NewPointsHome],Table2[GameDate], "&lt;=" &amp; $A162, Table2[HomeTeam], AC$1)</f>
        <v>31</v>
      </c>
      <c r="AD162" s="145">
        <f>SUMIFS(Table2[NewPointsAway],Table2[GameDate], "&lt;=" &amp; $A162, Table2[AwayTeam], AD$1)+SUMIFS(Table2[NewPointsHome],Table2[GameDate], "&lt;=" &amp; $A162, Table2[HomeTeam], AD$1)</f>
        <v>25</v>
      </c>
      <c r="AE162" s="145">
        <f>SUMIFS(Table2[NewPointsAway],Table2[GameDate], "&lt;=" &amp; $A162, Table2[AwayTeam], AE$1)+SUMIFS(Table2[NewPointsHome],Table2[GameDate], "&lt;=" &amp; $A162, Table2[HomeTeam], AE$1)</f>
        <v>36</v>
      </c>
      <c r="AF162" s="145">
        <f>SUMIFS(Table2[NewPointsAway],Table2[GameDate], "&lt;=" &amp; $A162, Table2[AwayTeam], AF$1)+SUMIFS(Table2[NewPointsHome],Table2[GameDate], "&lt;=" &amp; $A162, Table2[HomeTeam], AF$1)</f>
        <v>29</v>
      </c>
      <c r="AG162" s="145">
        <f>SUMIFS(Table2[NewPointsAway],Table2[GameDate], "&lt;=" &amp; $A162, Table2[AwayTeam], AG$1)+SUMIFS(Table2[NewPointsHome],Table2[GameDate], "&lt;=" &amp; $A162, Table2[HomeTeam], AG$1)</f>
        <v>39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37</v>
      </c>
      <c r="C163" s="145">
        <f>SUMIFS(Table2[NewPointsAway],Table2[GameDate], "&lt;=" &amp; $A163, Table2[AwayTeam], C$1)+SUMIFS(Table2[NewPointsHome],Table2[GameDate], "&lt;=" &amp; $A163, Table2[HomeTeam], C$1)</f>
        <v>34</v>
      </c>
      <c r="D163" s="145">
        <f>SUMIFS(Table2[NewPointsAway],Table2[GameDate], "&lt;=" &amp; $A163, Table2[AwayTeam], D$1)+SUMIFS(Table2[NewPointsHome],Table2[GameDate], "&lt;=" &amp; $A163, Table2[HomeTeam], D$1)</f>
        <v>26</v>
      </c>
      <c r="E163" s="145">
        <f>SUMIFS(Table2[NewPointsAway],Table2[GameDate], "&lt;=" &amp; $A163, Table2[AwayTeam], E$1)+SUMIFS(Table2[NewPointsHome],Table2[GameDate], "&lt;=" &amp; $A163, Table2[HomeTeam], E$1)</f>
        <v>36</v>
      </c>
      <c r="F163" s="145">
        <f>SUMIFS(Table2[NewPointsAway],Table2[GameDate], "&lt;=" &amp; $A163, Table2[AwayTeam], F$1)+SUMIFS(Table2[NewPointsHome],Table2[GameDate], "&lt;=" &amp; $A163, Table2[HomeTeam], F$1)</f>
        <v>32</v>
      </c>
      <c r="G163" s="145">
        <f>SUMIFS(Table2[NewPointsAway],Table2[GameDate], "&lt;=" &amp; $A163, Table2[AwayTeam], G$1)+SUMIFS(Table2[NewPointsHome],Table2[GameDate], "&lt;=" &amp; $A163, Table2[HomeTeam], G$1)</f>
        <v>28</v>
      </c>
      <c r="H163" s="145">
        <f>SUMIFS(Table2[NewPointsAway],Table2[GameDate], "&lt;=" &amp; $A163, Table2[AwayTeam], H$1)+SUMIFS(Table2[NewPointsHome],Table2[GameDate], "&lt;=" &amp; $A163, Table2[HomeTeam], H$1)</f>
        <v>30</v>
      </c>
      <c r="I163" s="145">
        <f>SUMIFS(Table2[NewPointsAway],Table2[GameDate], "&lt;=" &amp; $A163, Table2[AwayTeam], I$1)+SUMIFS(Table2[NewPointsHome],Table2[GameDate], "&lt;=" &amp; $A163, Table2[HomeTeam], I$1)</f>
        <v>48</v>
      </c>
      <c r="J163" s="145">
        <f>SUMIFS(Table2[NewPointsAway],Table2[GameDate], "&lt;=" &amp; $A163, Table2[AwayTeam], J$1)+SUMIFS(Table2[NewPointsHome],Table2[GameDate], "&lt;=" &amp; $A163, Table2[HomeTeam], J$1)</f>
        <v>45</v>
      </c>
      <c r="K163" s="145">
        <f>SUMIFS(Table2[NewPointsAway],Table2[GameDate], "&lt;=" &amp; $A163, Table2[AwayTeam], K$1)+SUMIFS(Table2[NewPointsHome],Table2[GameDate], "&lt;=" &amp; $A163, Table2[HomeTeam], K$1)</f>
        <v>35</v>
      </c>
      <c r="L163" s="145">
        <f>SUMIFS(Table2[NewPointsAway],Table2[GameDate], "&lt;=" &amp; $A163, Table2[AwayTeam], L$1)+SUMIFS(Table2[NewPointsHome],Table2[GameDate], "&lt;=" &amp; $A163, Table2[HomeTeam], L$1)</f>
        <v>31</v>
      </c>
      <c r="M163" s="145">
        <f>SUMIFS(Table2[NewPointsAway],Table2[GameDate], "&lt;=" &amp; $A163, Table2[AwayTeam], M$1)+SUMIFS(Table2[NewPointsHome],Table2[GameDate], "&lt;=" &amp; $A163, Table2[HomeTeam], M$1)</f>
        <v>30</v>
      </c>
      <c r="N163" s="145">
        <f>SUMIFS(Table2[NewPointsAway],Table2[GameDate], "&lt;=" &amp; $A163, Table2[AwayTeam], N$1)+SUMIFS(Table2[NewPointsHome],Table2[GameDate], "&lt;=" &amp; $A163, Table2[HomeTeam], N$1)</f>
        <v>35</v>
      </c>
      <c r="O163" s="145">
        <f>SUMIFS(Table2[NewPointsAway],Table2[GameDate], "&lt;=" &amp; $A163, Table2[AwayTeam], O$1)+SUMIFS(Table2[NewPointsHome],Table2[GameDate], "&lt;=" &amp; $A163, Table2[HomeTeam], O$1)</f>
        <v>37</v>
      </c>
      <c r="P163" s="145">
        <f>SUMIFS(Table2[NewPointsAway],Table2[GameDate], "&lt;=" &amp; $A163, Table2[AwayTeam], P$1)+SUMIFS(Table2[NewPointsHome],Table2[GameDate], "&lt;=" &amp; $A163, Table2[HomeTeam], P$1)</f>
        <v>33</v>
      </c>
      <c r="Q163" s="145">
        <f>SUMIFS(Table2[NewPointsAway],Table2[GameDate], "&lt;=" &amp; $A163, Table2[AwayTeam], Q$1)+SUMIFS(Table2[NewPointsHome],Table2[GameDate], "&lt;=" &amp; $A163, Table2[HomeTeam], Q$1)</f>
        <v>33</v>
      </c>
      <c r="R163" s="145">
        <f>SUMIFS(Table2[NewPointsAway],Table2[GameDate], "&lt;=" &amp; $A163, Table2[AwayTeam], R$1)+SUMIFS(Table2[NewPointsHome],Table2[GameDate], "&lt;=" &amp; $A163, Table2[HomeTeam], R$1)</f>
        <v>24</v>
      </c>
      <c r="S163" s="145">
        <f>SUMIFS(Table2[NewPointsAway],Table2[GameDate], "&lt;=" &amp; $A163, Table2[AwayTeam], S$1)+SUMIFS(Table2[NewPointsHome],Table2[GameDate], "&lt;=" &amp; $A163, Table2[HomeTeam], S$1)</f>
        <v>35</v>
      </c>
      <c r="T163" s="145">
        <f>SUMIFS(Table2[NewPointsAway],Table2[GameDate], "&lt;=" &amp; $A163, Table2[AwayTeam], T$1)+SUMIFS(Table2[NewPointsHome],Table2[GameDate], "&lt;=" &amp; $A163, Table2[HomeTeam], T$1)</f>
        <v>34</v>
      </c>
      <c r="U163" s="145">
        <f>SUMIFS(Table2[NewPointsAway],Table2[GameDate], "&lt;=" &amp; $A163, Table2[AwayTeam], U$1)+SUMIFS(Table2[NewPointsHome],Table2[GameDate], "&lt;=" &amp; $A163, Table2[HomeTeam], U$1)</f>
        <v>30</v>
      </c>
      <c r="V163" s="145">
        <f>SUMIFS(Table2[NewPointsAway],Table2[GameDate], "&lt;=" &amp; $A163, Table2[AwayTeam], V$1)+SUMIFS(Table2[NewPointsHome],Table2[GameDate], "&lt;=" &amp; $A163, Table2[HomeTeam], V$1)</f>
        <v>32</v>
      </c>
      <c r="W163" s="145">
        <f>SUMIFS(Table2[NewPointsAway],Table2[GameDate], "&lt;=" &amp; $A163, Table2[AwayTeam], W$1)+SUMIFS(Table2[NewPointsHome],Table2[GameDate], "&lt;=" &amp; $A163, Table2[HomeTeam], W$1)</f>
        <v>34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31</v>
      </c>
      <c r="Z163" s="145">
        <f>SUMIFS(Table2[NewPointsAway],Table2[GameDate], "&lt;=" &amp; $A163, Table2[AwayTeam], Z$1)+SUMIFS(Table2[NewPointsHome],Table2[GameDate], "&lt;=" &amp; $A163, Table2[HomeTeam], Z$1)</f>
        <v>30</v>
      </c>
      <c r="AA163" s="145">
        <f>SUMIFS(Table2[NewPointsAway],Table2[GameDate], "&lt;=" &amp; $A163, Table2[AwayTeam], AA$1)+SUMIFS(Table2[NewPointsHome],Table2[GameDate], "&lt;=" &amp; $A163, Table2[HomeTeam], AA$1)</f>
        <v>34</v>
      </c>
      <c r="AB163" s="145">
        <f>SUMIFS(Table2[NewPointsAway],Table2[GameDate], "&lt;=" &amp; $A163, Table2[AwayTeam], AB$1)+SUMIFS(Table2[NewPointsHome],Table2[GameDate], "&lt;=" &amp; $A163, Table2[HomeTeam], AB$1)</f>
        <v>32</v>
      </c>
      <c r="AC163" s="145">
        <f>SUMIFS(Table2[NewPointsAway],Table2[GameDate], "&lt;=" &amp; $A163, Table2[AwayTeam], AC$1)+SUMIFS(Table2[NewPointsHome],Table2[GameDate], "&lt;=" &amp; $A163, Table2[HomeTeam], AC$1)</f>
        <v>31</v>
      </c>
      <c r="AD163" s="145">
        <f>SUMIFS(Table2[NewPointsAway],Table2[GameDate], "&lt;=" &amp; $A163, Table2[AwayTeam], AD$1)+SUMIFS(Table2[NewPointsHome],Table2[GameDate], "&lt;=" &amp; $A163, Table2[HomeTeam], AD$1)</f>
        <v>25</v>
      </c>
      <c r="AE163" s="145">
        <f>SUMIFS(Table2[NewPointsAway],Table2[GameDate], "&lt;=" &amp; $A163, Table2[AwayTeam], AE$1)+SUMIFS(Table2[NewPointsHome],Table2[GameDate], "&lt;=" &amp; $A163, Table2[HomeTeam], AE$1)</f>
        <v>36</v>
      </c>
      <c r="AF163" s="145">
        <f>SUMIFS(Table2[NewPointsAway],Table2[GameDate], "&lt;=" &amp; $A163, Table2[AwayTeam], AF$1)+SUMIFS(Table2[NewPointsHome],Table2[GameDate], "&lt;=" &amp; $A163, Table2[HomeTeam], AF$1)</f>
        <v>29</v>
      </c>
      <c r="AG163" s="145">
        <f>SUMIFS(Table2[NewPointsAway],Table2[GameDate], "&lt;=" &amp; $A163, Table2[AwayTeam], AG$1)+SUMIFS(Table2[NewPointsHome],Table2[GameDate], "&lt;=" &amp; $A163, Table2[HomeTeam], AG$1)</f>
        <v>39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37</v>
      </c>
      <c r="C164" s="145">
        <f>SUMIFS(Table2[NewPointsAway],Table2[GameDate], "&lt;=" &amp; $A164, Table2[AwayTeam], C$1)+SUMIFS(Table2[NewPointsHome],Table2[GameDate], "&lt;=" &amp; $A164, Table2[HomeTeam], C$1)</f>
        <v>34</v>
      </c>
      <c r="D164" s="145">
        <f>SUMIFS(Table2[NewPointsAway],Table2[GameDate], "&lt;=" &amp; $A164, Table2[AwayTeam], D$1)+SUMIFS(Table2[NewPointsHome],Table2[GameDate], "&lt;=" &amp; $A164, Table2[HomeTeam], D$1)</f>
        <v>26</v>
      </c>
      <c r="E164" s="145">
        <f>SUMIFS(Table2[NewPointsAway],Table2[GameDate], "&lt;=" &amp; $A164, Table2[AwayTeam], E$1)+SUMIFS(Table2[NewPointsHome],Table2[GameDate], "&lt;=" &amp; $A164, Table2[HomeTeam], E$1)</f>
        <v>36</v>
      </c>
      <c r="F164" s="145">
        <f>SUMIFS(Table2[NewPointsAway],Table2[GameDate], "&lt;=" &amp; $A164, Table2[AwayTeam], F$1)+SUMIFS(Table2[NewPointsHome],Table2[GameDate], "&lt;=" &amp; $A164, Table2[HomeTeam], F$1)</f>
        <v>32</v>
      </c>
      <c r="G164" s="145">
        <f>SUMIFS(Table2[NewPointsAway],Table2[GameDate], "&lt;=" &amp; $A164, Table2[AwayTeam], G$1)+SUMIFS(Table2[NewPointsHome],Table2[GameDate], "&lt;=" &amp; $A164, Table2[HomeTeam], G$1)</f>
        <v>28</v>
      </c>
      <c r="H164" s="145">
        <f>SUMIFS(Table2[NewPointsAway],Table2[GameDate], "&lt;=" &amp; $A164, Table2[AwayTeam], H$1)+SUMIFS(Table2[NewPointsHome],Table2[GameDate], "&lt;=" &amp; $A164, Table2[HomeTeam], H$1)</f>
        <v>30</v>
      </c>
      <c r="I164" s="145">
        <f>SUMIFS(Table2[NewPointsAway],Table2[GameDate], "&lt;=" &amp; $A164, Table2[AwayTeam], I$1)+SUMIFS(Table2[NewPointsHome],Table2[GameDate], "&lt;=" &amp; $A164, Table2[HomeTeam], I$1)</f>
        <v>48</v>
      </c>
      <c r="J164" s="145">
        <f>SUMIFS(Table2[NewPointsAway],Table2[GameDate], "&lt;=" &amp; $A164, Table2[AwayTeam], J$1)+SUMIFS(Table2[NewPointsHome],Table2[GameDate], "&lt;=" &amp; $A164, Table2[HomeTeam], J$1)</f>
        <v>45</v>
      </c>
      <c r="K164" s="145">
        <f>SUMIFS(Table2[NewPointsAway],Table2[GameDate], "&lt;=" &amp; $A164, Table2[AwayTeam], K$1)+SUMIFS(Table2[NewPointsHome],Table2[GameDate], "&lt;=" &amp; $A164, Table2[HomeTeam], K$1)</f>
        <v>35</v>
      </c>
      <c r="L164" s="145">
        <f>SUMIFS(Table2[NewPointsAway],Table2[GameDate], "&lt;=" &amp; $A164, Table2[AwayTeam], L$1)+SUMIFS(Table2[NewPointsHome],Table2[GameDate], "&lt;=" &amp; $A164, Table2[HomeTeam], L$1)</f>
        <v>31</v>
      </c>
      <c r="M164" s="145">
        <f>SUMIFS(Table2[NewPointsAway],Table2[GameDate], "&lt;=" &amp; $A164, Table2[AwayTeam], M$1)+SUMIFS(Table2[NewPointsHome],Table2[GameDate], "&lt;=" &amp; $A164, Table2[HomeTeam], M$1)</f>
        <v>30</v>
      </c>
      <c r="N164" s="145">
        <f>SUMIFS(Table2[NewPointsAway],Table2[GameDate], "&lt;=" &amp; $A164, Table2[AwayTeam], N$1)+SUMIFS(Table2[NewPointsHome],Table2[GameDate], "&lt;=" &amp; $A164, Table2[HomeTeam], N$1)</f>
        <v>35</v>
      </c>
      <c r="O164" s="145">
        <f>SUMIFS(Table2[NewPointsAway],Table2[GameDate], "&lt;=" &amp; $A164, Table2[AwayTeam], O$1)+SUMIFS(Table2[NewPointsHome],Table2[GameDate], "&lt;=" &amp; $A164, Table2[HomeTeam], O$1)</f>
        <v>37</v>
      </c>
      <c r="P164" s="145">
        <f>SUMIFS(Table2[NewPointsAway],Table2[GameDate], "&lt;=" &amp; $A164, Table2[AwayTeam], P$1)+SUMIFS(Table2[NewPointsHome],Table2[GameDate], "&lt;=" &amp; $A164, Table2[HomeTeam], P$1)</f>
        <v>33</v>
      </c>
      <c r="Q164" s="145">
        <f>SUMIFS(Table2[NewPointsAway],Table2[GameDate], "&lt;=" &amp; $A164, Table2[AwayTeam], Q$1)+SUMIFS(Table2[NewPointsHome],Table2[GameDate], "&lt;=" &amp; $A164, Table2[HomeTeam], Q$1)</f>
        <v>33</v>
      </c>
      <c r="R164" s="145">
        <f>SUMIFS(Table2[NewPointsAway],Table2[GameDate], "&lt;=" &amp; $A164, Table2[AwayTeam], R$1)+SUMIFS(Table2[NewPointsHome],Table2[GameDate], "&lt;=" &amp; $A164, Table2[HomeTeam], R$1)</f>
        <v>24</v>
      </c>
      <c r="S164" s="145">
        <f>SUMIFS(Table2[NewPointsAway],Table2[GameDate], "&lt;=" &amp; $A164, Table2[AwayTeam], S$1)+SUMIFS(Table2[NewPointsHome],Table2[GameDate], "&lt;=" &amp; $A164, Table2[HomeTeam], S$1)</f>
        <v>35</v>
      </c>
      <c r="T164" s="145">
        <f>SUMIFS(Table2[NewPointsAway],Table2[GameDate], "&lt;=" &amp; $A164, Table2[AwayTeam], T$1)+SUMIFS(Table2[NewPointsHome],Table2[GameDate], "&lt;=" &amp; $A164, Table2[HomeTeam], T$1)</f>
        <v>34</v>
      </c>
      <c r="U164" s="145">
        <f>SUMIFS(Table2[NewPointsAway],Table2[GameDate], "&lt;=" &amp; $A164, Table2[AwayTeam], U$1)+SUMIFS(Table2[NewPointsHome],Table2[GameDate], "&lt;=" &amp; $A164, Table2[HomeTeam], U$1)</f>
        <v>30</v>
      </c>
      <c r="V164" s="145">
        <f>SUMIFS(Table2[NewPointsAway],Table2[GameDate], "&lt;=" &amp; $A164, Table2[AwayTeam], V$1)+SUMIFS(Table2[NewPointsHome],Table2[GameDate], "&lt;=" &amp; $A164, Table2[HomeTeam], V$1)</f>
        <v>32</v>
      </c>
      <c r="W164" s="145">
        <f>SUMIFS(Table2[NewPointsAway],Table2[GameDate], "&lt;=" &amp; $A164, Table2[AwayTeam], W$1)+SUMIFS(Table2[NewPointsHome],Table2[GameDate], "&lt;=" &amp; $A164, Table2[HomeTeam], W$1)</f>
        <v>34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31</v>
      </c>
      <c r="Z164" s="145">
        <f>SUMIFS(Table2[NewPointsAway],Table2[GameDate], "&lt;=" &amp; $A164, Table2[AwayTeam], Z$1)+SUMIFS(Table2[NewPointsHome],Table2[GameDate], "&lt;=" &amp; $A164, Table2[HomeTeam], Z$1)</f>
        <v>30</v>
      </c>
      <c r="AA164" s="145">
        <f>SUMIFS(Table2[NewPointsAway],Table2[GameDate], "&lt;=" &amp; $A164, Table2[AwayTeam], AA$1)+SUMIFS(Table2[NewPointsHome],Table2[GameDate], "&lt;=" &amp; $A164, Table2[HomeTeam], AA$1)</f>
        <v>34</v>
      </c>
      <c r="AB164" s="145">
        <f>SUMIFS(Table2[NewPointsAway],Table2[GameDate], "&lt;=" &amp; $A164, Table2[AwayTeam], AB$1)+SUMIFS(Table2[NewPointsHome],Table2[GameDate], "&lt;=" &amp; $A164, Table2[HomeTeam], AB$1)</f>
        <v>32</v>
      </c>
      <c r="AC164" s="145">
        <f>SUMIFS(Table2[NewPointsAway],Table2[GameDate], "&lt;=" &amp; $A164, Table2[AwayTeam], AC$1)+SUMIFS(Table2[NewPointsHome],Table2[GameDate], "&lt;=" &amp; $A164, Table2[HomeTeam], AC$1)</f>
        <v>31</v>
      </c>
      <c r="AD164" s="145">
        <f>SUMIFS(Table2[NewPointsAway],Table2[GameDate], "&lt;=" &amp; $A164, Table2[AwayTeam], AD$1)+SUMIFS(Table2[NewPointsHome],Table2[GameDate], "&lt;=" &amp; $A164, Table2[HomeTeam], AD$1)</f>
        <v>25</v>
      </c>
      <c r="AE164" s="145">
        <f>SUMIFS(Table2[NewPointsAway],Table2[GameDate], "&lt;=" &amp; $A164, Table2[AwayTeam], AE$1)+SUMIFS(Table2[NewPointsHome],Table2[GameDate], "&lt;=" &amp; $A164, Table2[HomeTeam], AE$1)</f>
        <v>36</v>
      </c>
      <c r="AF164" s="145">
        <f>SUMIFS(Table2[NewPointsAway],Table2[GameDate], "&lt;=" &amp; $A164, Table2[AwayTeam], AF$1)+SUMIFS(Table2[NewPointsHome],Table2[GameDate], "&lt;=" &amp; $A164, Table2[HomeTeam], AF$1)</f>
        <v>29</v>
      </c>
      <c r="AG164" s="145">
        <f>SUMIFS(Table2[NewPointsAway],Table2[GameDate], "&lt;=" &amp; $A164, Table2[AwayTeam], AG$1)+SUMIFS(Table2[NewPointsHome],Table2[GameDate], "&lt;=" &amp; $A164, Table2[HomeTeam], AG$1)</f>
        <v>39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37</v>
      </c>
      <c r="C165" s="145">
        <f>SUMIFS(Table2[NewPointsAway],Table2[GameDate], "&lt;=" &amp; $A165, Table2[AwayTeam], C$1)+SUMIFS(Table2[NewPointsHome],Table2[GameDate], "&lt;=" &amp; $A165, Table2[HomeTeam], C$1)</f>
        <v>34</v>
      </c>
      <c r="D165" s="145">
        <f>SUMIFS(Table2[NewPointsAway],Table2[GameDate], "&lt;=" &amp; $A165, Table2[AwayTeam], D$1)+SUMIFS(Table2[NewPointsHome],Table2[GameDate], "&lt;=" &amp; $A165, Table2[HomeTeam], D$1)</f>
        <v>26</v>
      </c>
      <c r="E165" s="145">
        <f>SUMIFS(Table2[NewPointsAway],Table2[GameDate], "&lt;=" &amp; $A165, Table2[AwayTeam], E$1)+SUMIFS(Table2[NewPointsHome],Table2[GameDate], "&lt;=" &amp; $A165, Table2[HomeTeam], E$1)</f>
        <v>36</v>
      </c>
      <c r="F165" s="145">
        <f>SUMIFS(Table2[NewPointsAway],Table2[GameDate], "&lt;=" &amp; $A165, Table2[AwayTeam], F$1)+SUMIFS(Table2[NewPointsHome],Table2[GameDate], "&lt;=" &amp; $A165, Table2[HomeTeam], F$1)</f>
        <v>32</v>
      </c>
      <c r="G165" s="145">
        <f>SUMIFS(Table2[NewPointsAway],Table2[GameDate], "&lt;=" &amp; $A165, Table2[AwayTeam], G$1)+SUMIFS(Table2[NewPointsHome],Table2[GameDate], "&lt;=" &amp; $A165, Table2[HomeTeam], G$1)</f>
        <v>28</v>
      </c>
      <c r="H165" s="145">
        <f>SUMIFS(Table2[NewPointsAway],Table2[GameDate], "&lt;=" &amp; $A165, Table2[AwayTeam], H$1)+SUMIFS(Table2[NewPointsHome],Table2[GameDate], "&lt;=" &amp; $A165, Table2[HomeTeam], H$1)</f>
        <v>30</v>
      </c>
      <c r="I165" s="145">
        <f>SUMIFS(Table2[NewPointsAway],Table2[GameDate], "&lt;=" &amp; $A165, Table2[AwayTeam], I$1)+SUMIFS(Table2[NewPointsHome],Table2[GameDate], "&lt;=" &amp; $A165, Table2[HomeTeam], I$1)</f>
        <v>48</v>
      </c>
      <c r="J165" s="145">
        <f>SUMIFS(Table2[NewPointsAway],Table2[GameDate], "&lt;=" &amp; $A165, Table2[AwayTeam], J$1)+SUMIFS(Table2[NewPointsHome],Table2[GameDate], "&lt;=" &amp; $A165, Table2[HomeTeam], J$1)</f>
        <v>45</v>
      </c>
      <c r="K165" s="145">
        <f>SUMIFS(Table2[NewPointsAway],Table2[GameDate], "&lt;=" &amp; $A165, Table2[AwayTeam], K$1)+SUMIFS(Table2[NewPointsHome],Table2[GameDate], "&lt;=" &amp; $A165, Table2[HomeTeam], K$1)</f>
        <v>35</v>
      </c>
      <c r="L165" s="145">
        <f>SUMIFS(Table2[NewPointsAway],Table2[GameDate], "&lt;=" &amp; $A165, Table2[AwayTeam], L$1)+SUMIFS(Table2[NewPointsHome],Table2[GameDate], "&lt;=" &amp; $A165, Table2[HomeTeam], L$1)</f>
        <v>31</v>
      </c>
      <c r="M165" s="145">
        <f>SUMIFS(Table2[NewPointsAway],Table2[GameDate], "&lt;=" &amp; $A165, Table2[AwayTeam], M$1)+SUMIFS(Table2[NewPointsHome],Table2[GameDate], "&lt;=" &amp; $A165, Table2[HomeTeam], M$1)</f>
        <v>30</v>
      </c>
      <c r="N165" s="145">
        <f>SUMIFS(Table2[NewPointsAway],Table2[GameDate], "&lt;=" &amp; $A165, Table2[AwayTeam], N$1)+SUMIFS(Table2[NewPointsHome],Table2[GameDate], "&lt;=" &amp; $A165, Table2[HomeTeam], N$1)</f>
        <v>35</v>
      </c>
      <c r="O165" s="145">
        <f>SUMIFS(Table2[NewPointsAway],Table2[GameDate], "&lt;=" &amp; $A165, Table2[AwayTeam], O$1)+SUMIFS(Table2[NewPointsHome],Table2[GameDate], "&lt;=" &amp; $A165, Table2[HomeTeam], O$1)</f>
        <v>37</v>
      </c>
      <c r="P165" s="145">
        <f>SUMIFS(Table2[NewPointsAway],Table2[GameDate], "&lt;=" &amp; $A165, Table2[AwayTeam], P$1)+SUMIFS(Table2[NewPointsHome],Table2[GameDate], "&lt;=" &amp; $A165, Table2[HomeTeam], P$1)</f>
        <v>33</v>
      </c>
      <c r="Q165" s="145">
        <f>SUMIFS(Table2[NewPointsAway],Table2[GameDate], "&lt;=" &amp; $A165, Table2[AwayTeam], Q$1)+SUMIFS(Table2[NewPointsHome],Table2[GameDate], "&lt;=" &amp; $A165, Table2[HomeTeam], Q$1)</f>
        <v>33</v>
      </c>
      <c r="R165" s="145">
        <f>SUMIFS(Table2[NewPointsAway],Table2[GameDate], "&lt;=" &amp; $A165, Table2[AwayTeam], R$1)+SUMIFS(Table2[NewPointsHome],Table2[GameDate], "&lt;=" &amp; $A165, Table2[HomeTeam], R$1)</f>
        <v>24</v>
      </c>
      <c r="S165" s="145">
        <f>SUMIFS(Table2[NewPointsAway],Table2[GameDate], "&lt;=" &amp; $A165, Table2[AwayTeam], S$1)+SUMIFS(Table2[NewPointsHome],Table2[GameDate], "&lt;=" &amp; $A165, Table2[HomeTeam], S$1)</f>
        <v>35</v>
      </c>
      <c r="T165" s="145">
        <f>SUMIFS(Table2[NewPointsAway],Table2[GameDate], "&lt;=" &amp; $A165, Table2[AwayTeam], T$1)+SUMIFS(Table2[NewPointsHome],Table2[GameDate], "&lt;=" &amp; $A165, Table2[HomeTeam], T$1)</f>
        <v>34</v>
      </c>
      <c r="U165" s="145">
        <f>SUMIFS(Table2[NewPointsAway],Table2[GameDate], "&lt;=" &amp; $A165, Table2[AwayTeam], U$1)+SUMIFS(Table2[NewPointsHome],Table2[GameDate], "&lt;=" &amp; $A165, Table2[HomeTeam], U$1)</f>
        <v>30</v>
      </c>
      <c r="V165" s="145">
        <f>SUMIFS(Table2[NewPointsAway],Table2[GameDate], "&lt;=" &amp; $A165, Table2[AwayTeam], V$1)+SUMIFS(Table2[NewPointsHome],Table2[GameDate], "&lt;=" &amp; $A165, Table2[HomeTeam], V$1)</f>
        <v>32</v>
      </c>
      <c r="W165" s="145">
        <f>SUMIFS(Table2[NewPointsAway],Table2[GameDate], "&lt;=" &amp; $A165, Table2[AwayTeam], W$1)+SUMIFS(Table2[NewPointsHome],Table2[GameDate], "&lt;=" &amp; $A165, Table2[HomeTeam], W$1)</f>
        <v>34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31</v>
      </c>
      <c r="Z165" s="145">
        <f>SUMIFS(Table2[NewPointsAway],Table2[GameDate], "&lt;=" &amp; $A165, Table2[AwayTeam], Z$1)+SUMIFS(Table2[NewPointsHome],Table2[GameDate], "&lt;=" &amp; $A165, Table2[HomeTeam], Z$1)</f>
        <v>30</v>
      </c>
      <c r="AA165" s="145">
        <f>SUMIFS(Table2[NewPointsAway],Table2[GameDate], "&lt;=" &amp; $A165, Table2[AwayTeam], AA$1)+SUMIFS(Table2[NewPointsHome],Table2[GameDate], "&lt;=" &amp; $A165, Table2[HomeTeam], AA$1)</f>
        <v>34</v>
      </c>
      <c r="AB165" s="145">
        <f>SUMIFS(Table2[NewPointsAway],Table2[GameDate], "&lt;=" &amp; $A165, Table2[AwayTeam], AB$1)+SUMIFS(Table2[NewPointsHome],Table2[GameDate], "&lt;=" &amp; $A165, Table2[HomeTeam], AB$1)</f>
        <v>32</v>
      </c>
      <c r="AC165" s="145">
        <f>SUMIFS(Table2[NewPointsAway],Table2[GameDate], "&lt;=" &amp; $A165, Table2[AwayTeam], AC$1)+SUMIFS(Table2[NewPointsHome],Table2[GameDate], "&lt;=" &amp; $A165, Table2[HomeTeam], AC$1)</f>
        <v>31</v>
      </c>
      <c r="AD165" s="145">
        <f>SUMIFS(Table2[NewPointsAway],Table2[GameDate], "&lt;=" &amp; $A165, Table2[AwayTeam], AD$1)+SUMIFS(Table2[NewPointsHome],Table2[GameDate], "&lt;=" &amp; $A165, Table2[HomeTeam], AD$1)</f>
        <v>25</v>
      </c>
      <c r="AE165" s="145">
        <f>SUMIFS(Table2[NewPointsAway],Table2[GameDate], "&lt;=" &amp; $A165, Table2[AwayTeam], AE$1)+SUMIFS(Table2[NewPointsHome],Table2[GameDate], "&lt;=" &amp; $A165, Table2[HomeTeam], AE$1)</f>
        <v>36</v>
      </c>
      <c r="AF165" s="145">
        <f>SUMIFS(Table2[NewPointsAway],Table2[GameDate], "&lt;=" &amp; $A165, Table2[AwayTeam], AF$1)+SUMIFS(Table2[NewPointsHome],Table2[GameDate], "&lt;=" &amp; $A165, Table2[HomeTeam], AF$1)</f>
        <v>29</v>
      </c>
      <c r="AG165" s="145">
        <f>SUMIFS(Table2[NewPointsAway],Table2[GameDate], "&lt;=" &amp; $A165, Table2[AwayTeam], AG$1)+SUMIFS(Table2[NewPointsHome],Table2[GameDate], "&lt;=" &amp; $A165, Table2[HomeTeam], AG$1)</f>
        <v>39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37</v>
      </c>
      <c r="C166" s="145">
        <f>SUMIFS(Table2[NewPointsAway],Table2[GameDate], "&lt;=" &amp; $A166, Table2[AwayTeam], C$1)+SUMIFS(Table2[NewPointsHome],Table2[GameDate], "&lt;=" &amp; $A166, Table2[HomeTeam], C$1)</f>
        <v>34</v>
      </c>
      <c r="D166" s="145">
        <f>SUMIFS(Table2[NewPointsAway],Table2[GameDate], "&lt;=" &amp; $A166, Table2[AwayTeam], D$1)+SUMIFS(Table2[NewPointsHome],Table2[GameDate], "&lt;=" &amp; $A166, Table2[HomeTeam], D$1)</f>
        <v>26</v>
      </c>
      <c r="E166" s="145">
        <f>SUMIFS(Table2[NewPointsAway],Table2[GameDate], "&lt;=" &amp; $A166, Table2[AwayTeam], E$1)+SUMIFS(Table2[NewPointsHome],Table2[GameDate], "&lt;=" &amp; $A166, Table2[HomeTeam], E$1)</f>
        <v>36</v>
      </c>
      <c r="F166" s="145">
        <f>SUMIFS(Table2[NewPointsAway],Table2[GameDate], "&lt;=" &amp; $A166, Table2[AwayTeam], F$1)+SUMIFS(Table2[NewPointsHome],Table2[GameDate], "&lt;=" &amp; $A166, Table2[HomeTeam], F$1)</f>
        <v>32</v>
      </c>
      <c r="G166" s="145">
        <f>SUMIFS(Table2[NewPointsAway],Table2[GameDate], "&lt;=" &amp; $A166, Table2[AwayTeam], G$1)+SUMIFS(Table2[NewPointsHome],Table2[GameDate], "&lt;=" &amp; $A166, Table2[HomeTeam], G$1)</f>
        <v>28</v>
      </c>
      <c r="H166" s="145">
        <f>SUMIFS(Table2[NewPointsAway],Table2[GameDate], "&lt;=" &amp; $A166, Table2[AwayTeam], H$1)+SUMIFS(Table2[NewPointsHome],Table2[GameDate], "&lt;=" &amp; $A166, Table2[HomeTeam], H$1)</f>
        <v>30</v>
      </c>
      <c r="I166" s="145">
        <f>SUMIFS(Table2[NewPointsAway],Table2[GameDate], "&lt;=" &amp; $A166, Table2[AwayTeam], I$1)+SUMIFS(Table2[NewPointsHome],Table2[GameDate], "&lt;=" &amp; $A166, Table2[HomeTeam], I$1)</f>
        <v>48</v>
      </c>
      <c r="J166" s="145">
        <f>SUMIFS(Table2[NewPointsAway],Table2[GameDate], "&lt;=" &amp; $A166, Table2[AwayTeam], J$1)+SUMIFS(Table2[NewPointsHome],Table2[GameDate], "&lt;=" &amp; $A166, Table2[HomeTeam], J$1)</f>
        <v>45</v>
      </c>
      <c r="K166" s="145">
        <f>SUMIFS(Table2[NewPointsAway],Table2[GameDate], "&lt;=" &amp; $A166, Table2[AwayTeam], K$1)+SUMIFS(Table2[NewPointsHome],Table2[GameDate], "&lt;=" &amp; $A166, Table2[HomeTeam], K$1)</f>
        <v>35</v>
      </c>
      <c r="L166" s="145">
        <f>SUMIFS(Table2[NewPointsAway],Table2[GameDate], "&lt;=" &amp; $A166, Table2[AwayTeam], L$1)+SUMIFS(Table2[NewPointsHome],Table2[GameDate], "&lt;=" &amp; $A166, Table2[HomeTeam], L$1)</f>
        <v>31</v>
      </c>
      <c r="M166" s="145">
        <f>SUMIFS(Table2[NewPointsAway],Table2[GameDate], "&lt;=" &amp; $A166, Table2[AwayTeam], M$1)+SUMIFS(Table2[NewPointsHome],Table2[GameDate], "&lt;=" &amp; $A166, Table2[HomeTeam], M$1)</f>
        <v>30</v>
      </c>
      <c r="N166" s="145">
        <f>SUMIFS(Table2[NewPointsAway],Table2[GameDate], "&lt;=" &amp; $A166, Table2[AwayTeam], N$1)+SUMIFS(Table2[NewPointsHome],Table2[GameDate], "&lt;=" &amp; $A166, Table2[HomeTeam], N$1)</f>
        <v>35</v>
      </c>
      <c r="O166" s="145">
        <f>SUMIFS(Table2[NewPointsAway],Table2[GameDate], "&lt;=" &amp; $A166, Table2[AwayTeam], O$1)+SUMIFS(Table2[NewPointsHome],Table2[GameDate], "&lt;=" &amp; $A166, Table2[HomeTeam], O$1)</f>
        <v>37</v>
      </c>
      <c r="P166" s="145">
        <f>SUMIFS(Table2[NewPointsAway],Table2[GameDate], "&lt;=" &amp; $A166, Table2[AwayTeam], P$1)+SUMIFS(Table2[NewPointsHome],Table2[GameDate], "&lt;=" &amp; $A166, Table2[HomeTeam], P$1)</f>
        <v>33</v>
      </c>
      <c r="Q166" s="145">
        <f>SUMIFS(Table2[NewPointsAway],Table2[GameDate], "&lt;=" &amp; $A166, Table2[AwayTeam], Q$1)+SUMIFS(Table2[NewPointsHome],Table2[GameDate], "&lt;=" &amp; $A166, Table2[HomeTeam], Q$1)</f>
        <v>33</v>
      </c>
      <c r="R166" s="145">
        <f>SUMIFS(Table2[NewPointsAway],Table2[GameDate], "&lt;=" &amp; $A166, Table2[AwayTeam], R$1)+SUMIFS(Table2[NewPointsHome],Table2[GameDate], "&lt;=" &amp; $A166, Table2[HomeTeam], R$1)</f>
        <v>24</v>
      </c>
      <c r="S166" s="145">
        <f>SUMIFS(Table2[NewPointsAway],Table2[GameDate], "&lt;=" &amp; $A166, Table2[AwayTeam], S$1)+SUMIFS(Table2[NewPointsHome],Table2[GameDate], "&lt;=" &amp; $A166, Table2[HomeTeam], S$1)</f>
        <v>35</v>
      </c>
      <c r="T166" s="145">
        <f>SUMIFS(Table2[NewPointsAway],Table2[GameDate], "&lt;=" &amp; $A166, Table2[AwayTeam], T$1)+SUMIFS(Table2[NewPointsHome],Table2[GameDate], "&lt;=" &amp; $A166, Table2[HomeTeam], T$1)</f>
        <v>34</v>
      </c>
      <c r="U166" s="145">
        <f>SUMIFS(Table2[NewPointsAway],Table2[GameDate], "&lt;=" &amp; $A166, Table2[AwayTeam], U$1)+SUMIFS(Table2[NewPointsHome],Table2[GameDate], "&lt;=" &amp; $A166, Table2[HomeTeam], U$1)</f>
        <v>30</v>
      </c>
      <c r="V166" s="145">
        <f>SUMIFS(Table2[NewPointsAway],Table2[GameDate], "&lt;=" &amp; $A166, Table2[AwayTeam], V$1)+SUMIFS(Table2[NewPointsHome],Table2[GameDate], "&lt;=" &amp; $A166, Table2[HomeTeam], V$1)</f>
        <v>32</v>
      </c>
      <c r="W166" s="145">
        <f>SUMIFS(Table2[NewPointsAway],Table2[GameDate], "&lt;=" &amp; $A166, Table2[AwayTeam], W$1)+SUMIFS(Table2[NewPointsHome],Table2[GameDate], "&lt;=" &amp; $A166, Table2[HomeTeam], W$1)</f>
        <v>34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31</v>
      </c>
      <c r="Z166" s="145">
        <f>SUMIFS(Table2[NewPointsAway],Table2[GameDate], "&lt;=" &amp; $A166, Table2[AwayTeam], Z$1)+SUMIFS(Table2[NewPointsHome],Table2[GameDate], "&lt;=" &amp; $A166, Table2[HomeTeam], Z$1)</f>
        <v>30</v>
      </c>
      <c r="AA166" s="145">
        <f>SUMIFS(Table2[NewPointsAway],Table2[GameDate], "&lt;=" &amp; $A166, Table2[AwayTeam], AA$1)+SUMIFS(Table2[NewPointsHome],Table2[GameDate], "&lt;=" &amp; $A166, Table2[HomeTeam], AA$1)</f>
        <v>34</v>
      </c>
      <c r="AB166" s="145">
        <f>SUMIFS(Table2[NewPointsAway],Table2[GameDate], "&lt;=" &amp; $A166, Table2[AwayTeam], AB$1)+SUMIFS(Table2[NewPointsHome],Table2[GameDate], "&lt;=" &amp; $A166, Table2[HomeTeam], AB$1)</f>
        <v>32</v>
      </c>
      <c r="AC166" s="145">
        <f>SUMIFS(Table2[NewPointsAway],Table2[GameDate], "&lt;=" &amp; $A166, Table2[AwayTeam], AC$1)+SUMIFS(Table2[NewPointsHome],Table2[GameDate], "&lt;=" &amp; $A166, Table2[HomeTeam], AC$1)</f>
        <v>31</v>
      </c>
      <c r="AD166" s="145">
        <f>SUMIFS(Table2[NewPointsAway],Table2[GameDate], "&lt;=" &amp; $A166, Table2[AwayTeam], AD$1)+SUMIFS(Table2[NewPointsHome],Table2[GameDate], "&lt;=" &amp; $A166, Table2[HomeTeam], AD$1)</f>
        <v>25</v>
      </c>
      <c r="AE166" s="145">
        <f>SUMIFS(Table2[NewPointsAway],Table2[GameDate], "&lt;=" &amp; $A166, Table2[AwayTeam], AE$1)+SUMIFS(Table2[NewPointsHome],Table2[GameDate], "&lt;=" &amp; $A166, Table2[HomeTeam], AE$1)</f>
        <v>36</v>
      </c>
      <c r="AF166" s="145">
        <f>SUMIFS(Table2[NewPointsAway],Table2[GameDate], "&lt;=" &amp; $A166, Table2[AwayTeam], AF$1)+SUMIFS(Table2[NewPointsHome],Table2[GameDate], "&lt;=" &amp; $A166, Table2[HomeTeam], AF$1)</f>
        <v>29</v>
      </c>
      <c r="AG166" s="145">
        <f>SUMIFS(Table2[NewPointsAway],Table2[GameDate], "&lt;=" &amp; $A166, Table2[AwayTeam], AG$1)+SUMIFS(Table2[NewPointsHome],Table2[GameDate], "&lt;=" &amp; $A166, Table2[HomeTeam], AG$1)</f>
        <v>39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37</v>
      </c>
      <c r="C167" s="145">
        <f>SUMIFS(Table2[NewPointsAway],Table2[GameDate], "&lt;=" &amp; $A167, Table2[AwayTeam], C$1)+SUMIFS(Table2[NewPointsHome],Table2[GameDate], "&lt;=" &amp; $A167, Table2[HomeTeam], C$1)</f>
        <v>34</v>
      </c>
      <c r="D167" s="145">
        <f>SUMIFS(Table2[NewPointsAway],Table2[GameDate], "&lt;=" &amp; $A167, Table2[AwayTeam], D$1)+SUMIFS(Table2[NewPointsHome],Table2[GameDate], "&lt;=" &amp; $A167, Table2[HomeTeam], D$1)</f>
        <v>26</v>
      </c>
      <c r="E167" s="145">
        <f>SUMIFS(Table2[NewPointsAway],Table2[GameDate], "&lt;=" &amp; $A167, Table2[AwayTeam], E$1)+SUMIFS(Table2[NewPointsHome],Table2[GameDate], "&lt;=" &amp; $A167, Table2[HomeTeam], E$1)</f>
        <v>36</v>
      </c>
      <c r="F167" s="145">
        <f>SUMIFS(Table2[NewPointsAway],Table2[GameDate], "&lt;=" &amp; $A167, Table2[AwayTeam], F$1)+SUMIFS(Table2[NewPointsHome],Table2[GameDate], "&lt;=" &amp; $A167, Table2[HomeTeam], F$1)</f>
        <v>32</v>
      </c>
      <c r="G167" s="145">
        <f>SUMIFS(Table2[NewPointsAway],Table2[GameDate], "&lt;=" &amp; $A167, Table2[AwayTeam], G$1)+SUMIFS(Table2[NewPointsHome],Table2[GameDate], "&lt;=" &amp; $A167, Table2[HomeTeam], G$1)</f>
        <v>28</v>
      </c>
      <c r="H167" s="145">
        <f>SUMIFS(Table2[NewPointsAway],Table2[GameDate], "&lt;=" &amp; $A167, Table2[AwayTeam], H$1)+SUMIFS(Table2[NewPointsHome],Table2[GameDate], "&lt;=" &amp; $A167, Table2[HomeTeam], H$1)</f>
        <v>30</v>
      </c>
      <c r="I167" s="145">
        <f>SUMIFS(Table2[NewPointsAway],Table2[GameDate], "&lt;=" &amp; $A167, Table2[AwayTeam], I$1)+SUMIFS(Table2[NewPointsHome],Table2[GameDate], "&lt;=" &amp; $A167, Table2[HomeTeam], I$1)</f>
        <v>48</v>
      </c>
      <c r="J167" s="145">
        <f>SUMIFS(Table2[NewPointsAway],Table2[GameDate], "&lt;=" &amp; $A167, Table2[AwayTeam], J$1)+SUMIFS(Table2[NewPointsHome],Table2[GameDate], "&lt;=" &amp; $A167, Table2[HomeTeam], J$1)</f>
        <v>45</v>
      </c>
      <c r="K167" s="145">
        <f>SUMIFS(Table2[NewPointsAway],Table2[GameDate], "&lt;=" &amp; $A167, Table2[AwayTeam], K$1)+SUMIFS(Table2[NewPointsHome],Table2[GameDate], "&lt;=" &amp; $A167, Table2[HomeTeam], K$1)</f>
        <v>35</v>
      </c>
      <c r="L167" s="145">
        <f>SUMIFS(Table2[NewPointsAway],Table2[GameDate], "&lt;=" &amp; $A167, Table2[AwayTeam], L$1)+SUMIFS(Table2[NewPointsHome],Table2[GameDate], "&lt;=" &amp; $A167, Table2[HomeTeam], L$1)</f>
        <v>31</v>
      </c>
      <c r="M167" s="145">
        <f>SUMIFS(Table2[NewPointsAway],Table2[GameDate], "&lt;=" &amp; $A167, Table2[AwayTeam], M$1)+SUMIFS(Table2[NewPointsHome],Table2[GameDate], "&lt;=" &amp; $A167, Table2[HomeTeam], M$1)</f>
        <v>30</v>
      </c>
      <c r="N167" s="145">
        <f>SUMIFS(Table2[NewPointsAway],Table2[GameDate], "&lt;=" &amp; $A167, Table2[AwayTeam], N$1)+SUMIFS(Table2[NewPointsHome],Table2[GameDate], "&lt;=" &amp; $A167, Table2[HomeTeam], N$1)</f>
        <v>35</v>
      </c>
      <c r="O167" s="145">
        <f>SUMIFS(Table2[NewPointsAway],Table2[GameDate], "&lt;=" &amp; $A167, Table2[AwayTeam], O$1)+SUMIFS(Table2[NewPointsHome],Table2[GameDate], "&lt;=" &amp; $A167, Table2[HomeTeam], O$1)</f>
        <v>37</v>
      </c>
      <c r="P167" s="145">
        <f>SUMIFS(Table2[NewPointsAway],Table2[GameDate], "&lt;=" &amp; $A167, Table2[AwayTeam], P$1)+SUMIFS(Table2[NewPointsHome],Table2[GameDate], "&lt;=" &amp; $A167, Table2[HomeTeam], P$1)</f>
        <v>33</v>
      </c>
      <c r="Q167" s="145">
        <f>SUMIFS(Table2[NewPointsAway],Table2[GameDate], "&lt;=" &amp; $A167, Table2[AwayTeam], Q$1)+SUMIFS(Table2[NewPointsHome],Table2[GameDate], "&lt;=" &amp; $A167, Table2[HomeTeam], Q$1)</f>
        <v>33</v>
      </c>
      <c r="R167" s="145">
        <f>SUMIFS(Table2[NewPointsAway],Table2[GameDate], "&lt;=" &amp; $A167, Table2[AwayTeam], R$1)+SUMIFS(Table2[NewPointsHome],Table2[GameDate], "&lt;=" &amp; $A167, Table2[HomeTeam], R$1)</f>
        <v>24</v>
      </c>
      <c r="S167" s="145">
        <f>SUMIFS(Table2[NewPointsAway],Table2[GameDate], "&lt;=" &amp; $A167, Table2[AwayTeam], S$1)+SUMIFS(Table2[NewPointsHome],Table2[GameDate], "&lt;=" &amp; $A167, Table2[HomeTeam], S$1)</f>
        <v>35</v>
      </c>
      <c r="T167" s="145">
        <f>SUMIFS(Table2[NewPointsAway],Table2[GameDate], "&lt;=" &amp; $A167, Table2[AwayTeam], T$1)+SUMIFS(Table2[NewPointsHome],Table2[GameDate], "&lt;=" &amp; $A167, Table2[HomeTeam], T$1)</f>
        <v>34</v>
      </c>
      <c r="U167" s="145">
        <f>SUMIFS(Table2[NewPointsAway],Table2[GameDate], "&lt;=" &amp; $A167, Table2[AwayTeam], U$1)+SUMIFS(Table2[NewPointsHome],Table2[GameDate], "&lt;=" &amp; $A167, Table2[HomeTeam], U$1)</f>
        <v>30</v>
      </c>
      <c r="V167" s="145">
        <f>SUMIFS(Table2[NewPointsAway],Table2[GameDate], "&lt;=" &amp; $A167, Table2[AwayTeam], V$1)+SUMIFS(Table2[NewPointsHome],Table2[GameDate], "&lt;=" &amp; $A167, Table2[HomeTeam], V$1)</f>
        <v>32</v>
      </c>
      <c r="W167" s="145">
        <f>SUMIFS(Table2[NewPointsAway],Table2[GameDate], "&lt;=" &amp; $A167, Table2[AwayTeam], W$1)+SUMIFS(Table2[NewPointsHome],Table2[GameDate], "&lt;=" &amp; $A167, Table2[HomeTeam], W$1)</f>
        <v>34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31</v>
      </c>
      <c r="Z167" s="145">
        <f>SUMIFS(Table2[NewPointsAway],Table2[GameDate], "&lt;=" &amp; $A167, Table2[AwayTeam], Z$1)+SUMIFS(Table2[NewPointsHome],Table2[GameDate], "&lt;=" &amp; $A167, Table2[HomeTeam], Z$1)</f>
        <v>30</v>
      </c>
      <c r="AA167" s="145">
        <f>SUMIFS(Table2[NewPointsAway],Table2[GameDate], "&lt;=" &amp; $A167, Table2[AwayTeam], AA$1)+SUMIFS(Table2[NewPointsHome],Table2[GameDate], "&lt;=" &amp; $A167, Table2[HomeTeam], AA$1)</f>
        <v>34</v>
      </c>
      <c r="AB167" s="145">
        <f>SUMIFS(Table2[NewPointsAway],Table2[GameDate], "&lt;=" &amp; $A167, Table2[AwayTeam], AB$1)+SUMIFS(Table2[NewPointsHome],Table2[GameDate], "&lt;=" &amp; $A167, Table2[HomeTeam], AB$1)</f>
        <v>32</v>
      </c>
      <c r="AC167" s="145">
        <f>SUMIFS(Table2[NewPointsAway],Table2[GameDate], "&lt;=" &amp; $A167, Table2[AwayTeam], AC$1)+SUMIFS(Table2[NewPointsHome],Table2[GameDate], "&lt;=" &amp; $A167, Table2[HomeTeam], AC$1)</f>
        <v>31</v>
      </c>
      <c r="AD167" s="145">
        <f>SUMIFS(Table2[NewPointsAway],Table2[GameDate], "&lt;=" &amp; $A167, Table2[AwayTeam], AD$1)+SUMIFS(Table2[NewPointsHome],Table2[GameDate], "&lt;=" &amp; $A167, Table2[HomeTeam], AD$1)</f>
        <v>25</v>
      </c>
      <c r="AE167" s="145">
        <f>SUMIFS(Table2[NewPointsAway],Table2[GameDate], "&lt;=" &amp; $A167, Table2[AwayTeam], AE$1)+SUMIFS(Table2[NewPointsHome],Table2[GameDate], "&lt;=" &amp; $A167, Table2[HomeTeam], AE$1)</f>
        <v>36</v>
      </c>
      <c r="AF167" s="145">
        <f>SUMIFS(Table2[NewPointsAway],Table2[GameDate], "&lt;=" &amp; $A167, Table2[AwayTeam], AF$1)+SUMIFS(Table2[NewPointsHome],Table2[GameDate], "&lt;=" &amp; $A167, Table2[HomeTeam], AF$1)</f>
        <v>29</v>
      </c>
      <c r="AG167" s="145">
        <f>SUMIFS(Table2[NewPointsAway],Table2[GameDate], "&lt;=" &amp; $A167, Table2[AwayTeam], AG$1)+SUMIFS(Table2[NewPointsHome],Table2[GameDate], "&lt;=" &amp; $A167, Table2[HomeTeam], AG$1)</f>
        <v>39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37</v>
      </c>
      <c r="C168" s="145">
        <f>SUMIFS(Table2[NewPointsAway],Table2[GameDate], "&lt;=" &amp; $A168, Table2[AwayTeam], C$1)+SUMIFS(Table2[NewPointsHome],Table2[GameDate], "&lt;=" &amp; $A168, Table2[HomeTeam], C$1)</f>
        <v>34</v>
      </c>
      <c r="D168" s="145">
        <f>SUMIFS(Table2[NewPointsAway],Table2[GameDate], "&lt;=" &amp; $A168, Table2[AwayTeam], D$1)+SUMIFS(Table2[NewPointsHome],Table2[GameDate], "&lt;=" &amp; $A168, Table2[HomeTeam], D$1)</f>
        <v>26</v>
      </c>
      <c r="E168" s="145">
        <f>SUMIFS(Table2[NewPointsAway],Table2[GameDate], "&lt;=" &amp; $A168, Table2[AwayTeam], E$1)+SUMIFS(Table2[NewPointsHome],Table2[GameDate], "&lt;=" &amp; $A168, Table2[HomeTeam], E$1)</f>
        <v>36</v>
      </c>
      <c r="F168" s="145">
        <f>SUMIFS(Table2[NewPointsAway],Table2[GameDate], "&lt;=" &amp; $A168, Table2[AwayTeam], F$1)+SUMIFS(Table2[NewPointsHome],Table2[GameDate], "&lt;=" &amp; $A168, Table2[HomeTeam], F$1)</f>
        <v>32</v>
      </c>
      <c r="G168" s="145">
        <f>SUMIFS(Table2[NewPointsAway],Table2[GameDate], "&lt;=" &amp; $A168, Table2[AwayTeam], G$1)+SUMIFS(Table2[NewPointsHome],Table2[GameDate], "&lt;=" &amp; $A168, Table2[HomeTeam], G$1)</f>
        <v>28</v>
      </c>
      <c r="H168" s="145">
        <f>SUMIFS(Table2[NewPointsAway],Table2[GameDate], "&lt;=" &amp; $A168, Table2[AwayTeam], H$1)+SUMIFS(Table2[NewPointsHome],Table2[GameDate], "&lt;=" &amp; $A168, Table2[HomeTeam], H$1)</f>
        <v>30</v>
      </c>
      <c r="I168" s="145">
        <f>SUMIFS(Table2[NewPointsAway],Table2[GameDate], "&lt;=" &amp; $A168, Table2[AwayTeam], I$1)+SUMIFS(Table2[NewPointsHome],Table2[GameDate], "&lt;=" &amp; $A168, Table2[HomeTeam], I$1)</f>
        <v>48</v>
      </c>
      <c r="J168" s="145">
        <f>SUMIFS(Table2[NewPointsAway],Table2[GameDate], "&lt;=" &amp; $A168, Table2[AwayTeam], J$1)+SUMIFS(Table2[NewPointsHome],Table2[GameDate], "&lt;=" &amp; $A168, Table2[HomeTeam], J$1)</f>
        <v>45</v>
      </c>
      <c r="K168" s="145">
        <f>SUMIFS(Table2[NewPointsAway],Table2[GameDate], "&lt;=" &amp; $A168, Table2[AwayTeam], K$1)+SUMIFS(Table2[NewPointsHome],Table2[GameDate], "&lt;=" &amp; $A168, Table2[HomeTeam], K$1)</f>
        <v>35</v>
      </c>
      <c r="L168" s="145">
        <f>SUMIFS(Table2[NewPointsAway],Table2[GameDate], "&lt;=" &amp; $A168, Table2[AwayTeam], L$1)+SUMIFS(Table2[NewPointsHome],Table2[GameDate], "&lt;=" &amp; $A168, Table2[HomeTeam], L$1)</f>
        <v>31</v>
      </c>
      <c r="M168" s="145">
        <f>SUMIFS(Table2[NewPointsAway],Table2[GameDate], "&lt;=" &amp; $A168, Table2[AwayTeam], M$1)+SUMIFS(Table2[NewPointsHome],Table2[GameDate], "&lt;=" &amp; $A168, Table2[HomeTeam], M$1)</f>
        <v>30</v>
      </c>
      <c r="N168" s="145">
        <f>SUMIFS(Table2[NewPointsAway],Table2[GameDate], "&lt;=" &amp; $A168, Table2[AwayTeam], N$1)+SUMIFS(Table2[NewPointsHome],Table2[GameDate], "&lt;=" &amp; $A168, Table2[HomeTeam], N$1)</f>
        <v>35</v>
      </c>
      <c r="O168" s="145">
        <f>SUMIFS(Table2[NewPointsAway],Table2[GameDate], "&lt;=" &amp; $A168, Table2[AwayTeam], O$1)+SUMIFS(Table2[NewPointsHome],Table2[GameDate], "&lt;=" &amp; $A168, Table2[HomeTeam], O$1)</f>
        <v>37</v>
      </c>
      <c r="P168" s="145">
        <f>SUMIFS(Table2[NewPointsAway],Table2[GameDate], "&lt;=" &amp; $A168, Table2[AwayTeam], P$1)+SUMIFS(Table2[NewPointsHome],Table2[GameDate], "&lt;=" &amp; $A168, Table2[HomeTeam], P$1)</f>
        <v>33</v>
      </c>
      <c r="Q168" s="145">
        <f>SUMIFS(Table2[NewPointsAway],Table2[GameDate], "&lt;=" &amp; $A168, Table2[AwayTeam], Q$1)+SUMIFS(Table2[NewPointsHome],Table2[GameDate], "&lt;=" &amp; $A168, Table2[HomeTeam], Q$1)</f>
        <v>33</v>
      </c>
      <c r="R168" s="145">
        <f>SUMIFS(Table2[NewPointsAway],Table2[GameDate], "&lt;=" &amp; $A168, Table2[AwayTeam], R$1)+SUMIFS(Table2[NewPointsHome],Table2[GameDate], "&lt;=" &amp; $A168, Table2[HomeTeam], R$1)</f>
        <v>24</v>
      </c>
      <c r="S168" s="145">
        <f>SUMIFS(Table2[NewPointsAway],Table2[GameDate], "&lt;=" &amp; $A168, Table2[AwayTeam], S$1)+SUMIFS(Table2[NewPointsHome],Table2[GameDate], "&lt;=" &amp; $A168, Table2[HomeTeam], S$1)</f>
        <v>35</v>
      </c>
      <c r="T168" s="145">
        <f>SUMIFS(Table2[NewPointsAway],Table2[GameDate], "&lt;=" &amp; $A168, Table2[AwayTeam], T$1)+SUMIFS(Table2[NewPointsHome],Table2[GameDate], "&lt;=" &amp; $A168, Table2[HomeTeam], T$1)</f>
        <v>34</v>
      </c>
      <c r="U168" s="145">
        <f>SUMIFS(Table2[NewPointsAway],Table2[GameDate], "&lt;=" &amp; $A168, Table2[AwayTeam], U$1)+SUMIFS(Table2[NewPointsHome],Table2[GameDate], "&lt;=" &amp; $A168, Table2[HomeTeam], U$1)</f>
        <v>30</v>
      </c>
      <c r="V168" s="145">
        <f>SUMIFS(Table2[NewPointsAway],Table2[GameDate], "&lt;=" &amp; $A168, Table2[AwayTeam], V$1)+SUMIFS(Table2[NewPointsHome],Table2[GameDate], "&lt;=" &amp; $A168, Table2[HomeTeam], V$1)</f>
        <v>32</v>
      </c>
      <c r="W168" s="145">
        <f>SUMIFS(Table2[NewPointsAway],Table2[GameDate], "&lt;=" &amp; $A168, Table2[AwayTeam], W$1)+SUMIFS(Table2[NewPointsHome],Table2[GameDate], "&lt;=" &amp; $A168, Table2[HomeTeam], W$1)</f>
        <v>34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31</v>
      </c>
      <c r="Z168" s="145">
        <f>SUMIFS(Table2[NewPointsAway],Table2[GameDate], "&lt;=" &amp; $A168, Table2[AwayTeam], Z$1)+SUMIFS(Table2[NewPointsHome],Table2[GameDate], "&lt;=" &amp; $A168, Table2[HomeTeam], Z$1)</f>
        <v>30</v>
      </c>
      <c r="AA168" s="145">
        <f>SUMIFS(Table2[NewPointsAway],Table2[GameDate], "&lt;=" &amp; $A168, Table2[AwayTeam], AA$1)+SUMIFS(Table2[NewPointsHome],Table2[GameDate], "&lt;=" &amp; $A168, Table2[HomeTeam], AA$1)</f>
        <v>34</v>
      </c>
      <c r="AB168" s="145">
        <f>SUMIFS(Table2[NewPointsAway],Table2[GameDate], "&lt;=" &amp; $A168, Table2[AwayTeam], AB$1)+SUMIFS(Table2[NewPointsHome],Table2[GameDate], "&lt;=" &amp; $A168, Table2[HomeTeam], AB$1)</f>
        <v>32</v>
      </c>
      <c r="AC168" s="145">
        <f>SUMIFS(Table2[NewPointsAway],Table2[GameDate], "&lt;=" &amp; $A168, Table2[AwayTeam], AC$1)+SUMIFS(Table2[NewPointsHome],Table2[GameDate], "&lt;=" &amp; $A168, Table2[HomeTeam], AC$1)</f>
        <v>31</v>
      </c>
      <c r="AD168" s="145">
        <f>SUMIFS(Table2[NewPointsAway],Table2[GameDate], "&lt;=" &amp; $A168, Table2[AwayTeam], AD$1)+SUMIFS(Table2[NewPointsHome],Table2[GameDate], "&lt;=" &amp; $A168, Table2[HomeTeam], AD$1)</f>
        <v>25</v>
      </c>
      <c r="AE168" s="145">
        <f>SUMIFS(Table2[NewPointsAway],Table2[GameDate], "&lt;=" &amp; $A168, Table2[AwayTeam], AE$1)+SUMIFS(Table2[NewPointsHome],Table2[GameDate], "&lt;=" &amp; $A168, Table2[HomeTeam], AE$1)</f>
        <v>36</v>
      </c>
      <c r="AF168" s="145">
        <f>SUMIFS(Table2[NewPointsAway],Table2[GameDate], "&lt;=" &amp; $A168, Table2[AwayTeam], AF$1)+SUMIFS(Table2[NewPointsHome],Table2[GameDate], "&lt;=" &amp; $A168, Table2[HomeTeam], AF$1)</f>
        <v>29</v>
      </c>
      <c r="AG168" s="145">
        <f>SUMIFS(Table2[NewPointsAway],Table2[GameDate], "&lt;=" &amp; $A168, Table2[AwayTeam], AG$1)+SUMIFS(Table2[NewPointsHome],Table2[GameDate], "&lt;=" &amp; $A168, Table2[HomeTeam], AG$1)</f>
        <v>39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37</v>
      </c>
      <c r="C169" s="145">
        <f>SUMIFS(Table2[NewPointsAway],Table2[GameDate], "&lt;=" &amp; $A169, Table2[AwayTeam], C$1)+SUMIFS(Table2[NewPointsHome],Table2[GameDate], "&lt;=" &amp; $A169, Table2[HomeTeam], C$1)</f>
        <v>34</v>
      </c>
      <c r="D169" s="145">
        <f>SUMIFS(Table2[NewPointsAway],Table2[GameDate], "&lt;=" &amp; $A169, Table2[AwayTeam], D$1)+SUMIFS(Table2[NewPointsHome],Table2[GameDate], "&lt;=" &amp; $A169, Table2[HomeTeam], D$1)</f>
        <v>26</v>
      </c>
      <c r="E169" s="145">
        <f>SUMIFS(Table2[NewPointsAway],Table2[GameDate], "&lt;=" &amp; $A169, Table2[AwayTeam], E$1)+SUMIFS(Table2[NewPointsHome],Table2[GameDate], "&lt;=" &amp; $A169, Table2[HomeTeam], E$1)</f>
        <v>36</v>
      </c>
      <c r="F169" s="145">
        <f>SUMIFS(Table2[NewPointsAway],Table2[GameDate], "&lt;=" &amp; $A169, Table2[AwayTeam], F$1)+SUMIFS(Table2[NewPointsHome],Table2[GameDate], "&lt;=" &amp; $A169, Table2[HomeTeam], F$1)</f>
        <v>32</v>
      </c>
      <c r="G169" s="145">
        <f>SUMIFS(Table2[NewPointsAway],Table2[GameDate], "&lt;=" &amp; $A169, Table2[AwayTeam], G$1)+SUMIFS(Table2[NewPointsHome],Table2[GameDate], "&lt;=" &amp; $A169, Table2[HomeTeam], G$1)</f>
        <v>28</v>
      </c>
      <c r="H169" s="145">
        <f>SUMIFS(Table2[NewPointsAway],Table2[GameDate], "&lt;=" &amp; $A169, Table2[AwayTeam], H$1)+SUMIFS(Table2[NewPointsHome],Table2[GameDate], "&lt;=" &amp; $A169, Table2[HomeTeam], H$1)</f>
        <v>30</v>
      </c>
      <c r="I169" s="145">
        <f>SUMIFS(Table2[NewPointsAway],Table2[GameDate], "&lt;=" &amp; $A169, Table2[AwayTeam], I$1)+SUMIFS(Table2[NewPointsHome],Table2[GameDate], "&lt;=" &amp; $A169, Table2[HomeTeam], I$1)</f>
        <v>48</v>
      </c>
      <c r="J169" s="145">
        <f>SUMIFS(Table2[NewPointsAway],Table2[GameDate], "&lt;=" &amp; $A169, Table2[AwayTeam], J$1)+SUMIFS(Table2[NewPointsHome],Table2[GameDate], "&lt;=" &amp; $A169, Table2[HomeTeam], J$1)</f>
        <v>45</v>
      </c>
      <c r="K169" s="145">
        <f>SUMIFS(Table2[NewPointsAway],Table2[GameDate], "&lt;=" &amp; $A169, Table2[AwayTeam], K$1)+SUMIFS(Table2[NewPointsHome],Table2[GameDate], "&lt;=" &amp; $A169, Table2[HomeTeam], K$1)</f>
        <v>35</v>
      </c>
      <c r="L169" s="145">
        <f>SUMIFS(Table2[NewPointsAway],Table2[GameDate], "&lt;=" &amp; $A169, Table2[AwayTeam], L$1)+SUMIFS(Table2[NewPointsHome],Table2[GameDate], "&lt;=" &amp; $A169, Table2[HomeTeam], L$1)</f>
        <v>31</v>
      </c>
      <c r="M169" s="145">
        <f>SUMIFS(Table2[NewPointsAway],Table2[GameDate], "&lt;=" &amp; $A169, Table2[AwayTeam], M$1)+SUMIFS(Table2[NewPointsHome],Table2[GameDate], "&lt;=" &amp; $A169, Table2[HomeTeam], M$1)</f>
        <v>30</v>
      </c>
      <c r="N169" s="145">
        <f>SUMIFS(Table2[NewPointsAway],Table2[GameDate], "&lt;=" &amp; $A169, Table2[AwayTeam], N$1)+SUMIFS(Table2[NewPointsHome],Table2[GameDate], "&lt;=" &amp; $A169, Table2[HomeTeam], N$1)</f>
        <v>35</v>
      </c>
      <c r="O169" s="145">
        <f>SUMIFS(Table2[NewPointsAway],Table2[GameDate], "&lt;=" &amp; $A169, Table2[AwayTeam], O$1)+SUMIFS(Table2[NewPointsHome],Table2[GameDate], "&lt;=" &amp; $A169, Table2[HomeTeam], O$1)</f>
        <v>37</v>
      </c>
      <c r="P169" s="145">
        <f>SUMIFS(Table2[NewPointsAway],Table2[GameDate], "&lt;=" &amp; $A169, Table2[AwayTeam], P$1)+SUMIFS(Table2[NewPointsHome],Table2[GameDate], "&lt;=" &amp; $A169, Table2[HomeTeam], P$1)</f>
        <v>33</v>
      </c>
      <c r="Q169" s="145">
        <f>SUMIFS(Table2[NewPointsAway],Table2[GameDate], "&lt;=" &amp; $A169, Table2[AwayTeam], Q$1)+SUMIFS(Table2[NewPointsHome],Table2[GameDate], "&lt;=" &amp; $A169, Table2[HomeTeam], Q$1)</f>
        <v>33</v>
      </c>
      <c r="R169" s="145">
        <f>SUMIFS(Table2[NewPointsAway],Table2[GameDate], "&lt;=" &amp; $A169, Table2[AwayTeam], R$1)+SUMIFS(Table2[NewPointsHome],Table2[GameDate], "&lt;=" &amp; $A169, Table2[HomeTeam], R$1)</f>
        <v>24</v>
      </c>
      <c r="S169" s="145">
        <f>SUMIFS(Table2[NewPointsAway],Table2[GameDate], "&lt;=" &amp; $A169, Table2[AwayTeam], S$1)+SUMIFS(Table2[NewPointsHome],Table2[GameDate], "&lt;=" &amp; $A169, Table2[HomeTeam], S$1)</f>
        <v>35</v>
      </c>
      <c r="T169" s="145">
        <f>SUMIFS(Table2[NewPointsAway],Table2[GameDate], "&lt;=" &amp; $A169, Table2[AwayTeam], T$1)+SUMIFS(Table2[NewPointsHome],Table2[GameDate], "&lt;=" &amp; $A169, Table2[HomeTeam], T$1)</f>
        <v>34</v>
      </c>
      <c r="U169" s="145">
        <f>SUMIFS(Table2[NewPointsAway],Table2[GameDate], "&lt;=" &amp; $A169, Table2[AwayTeam], U$1)+SUMIFS(Table2[NewPointsHome],Table2[GameDate], "&lt;=" &amp; $A169, Table2[HomeTeam], U$1)</f>
        <v>30</v>
      </c>
      <c r="V169" s="145">
        <f>SUMIFS(Table2[NewPointsAway],Table2[GameDate], "&lt;=" &amp; $A169, Table2[AwayTeam], V$1)+SUMIFS(Table2[NewPointsHome],Table2[GameDate], "&lt;=" &amp; $A169, Table2[HomeTeam], V$1)</f>
        <v>32</v>
      </c>
      <c r="W169" s="145">
        <f>SUMIFS(Table2[NewPointsAway],Table2[GameDate], "&lt;=" &amp; $A169, Table2[AwayTeam], W$1)+SUMIFS(Table2[NewPointsHome],Table2[GameDate], "&lt;=" &amp; $A169, Table2[HomeTeam], W$1)</f>
        <v>34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31</v>
      </c>
      <c r="Z169" s="145">
        <f>SUMIFS(Table2[NewPointsAway],Table2[GameDate], "&lt;=" &amp; $A169, Table2[AwayTeam], Z$1)+SUMIFS(Table2[NewPointsHome],Table2[GameDate], "&lt;=" &amp; $A169, Table2[HomeTeam], Z$1)</f>
        <v>30</v>
      </c>
      <c r="AA169" s="145">
        <f>SUMIFS(Table2[NewPointsAway],Table2[GameDate], "&lt;=" &amp; $A169, Table2[AwayTeam], AA$1)+SUMIFS(Table2[NewPointsHome],Table2[GameDate], "&lt;=" &amp; $A169, Table2[HomeTeam], AA$1)</f>
        <v>34</v>
      </c>
      <c r="AB169" s="145">
        <f>SUMIFS(Table2[NewPointsAway],Table2[GameDate], "&lt;=" &amp; $A169, Table2[AwayTeam], AB$1)+SUMIFS(Table2[NewPointsHome],Table2[GameDate], "&lt;=" &amp; $A169, Table2[HomeTeam], AB$1)</f>
        <v>32</v>
      </c>
      <c r="AC169" s="145">
        <f>SUMIFS(Table2[NewPointsAway],Table2[GameDate], "&lt;=" &amp; $A169, Table2[AwayTeam], AC$1)+SUMIFS(Table2[NewPointsHome],Table2[GameDate], "&lt;=" &amp; $A169, Table2[HomeTeam], AC$1)</f>
        <v>31</v>
      </c>
      <c r="AD169" s="145">
        <f>SUMIFS(Table2[NewPointsAway],Table2[GameDate], "&lt;=" &amp; $A169, Table2[AwayTeam], AD$1)+SUMIFS(Table2[NewPointsHome],Table2[GameDate], "&lt;=" &amp; $A169, Table2[HomeTeam], AD$1)</f>
        <v>25</v>
      </c>
      <c r="AE169" s="145">
        <f>SUMIFS(Table2[NewPointsAway],Table2[GameDate], "&lt;=" &amp; $A169, Table2[AwayTeam], AE$1)+SUMIFS(Table2[NewPointsHome],Table2[GameDate], "&lt;=" &amp; $A169, Table2[HomeTeam], AE$1)</f>
        <v>36</v>
      </c>
      <c r="AF169" s="145">
        <f>SUMIFS(Table2[NewPointsAway],Table2[GameDate], "&lt;=" &amp; $A169, Table2[AwayTeam], AF$1)+SUMIFS(Table2[NewPointsHome],Table2[GameDate], "&lt;=" &amp; $A169, Table2[HomeTeam], AF$1)</f>
        <v>29</v>
      </c>
      <c r="AG169" s="145">
        <f>SUMIFS(Table2[NewPointsAway],Table2[GameDate], "&lt;=" &amp; $A169, Table2[AwayTeam], AG$1)+SUMIFS(Table2[NewPointsHome],Table2[GameDate], "&lt;=" &amp; $A169, Table2[HomeTeam], AG$1)</f>
        <v>39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37</v>
      </c>
      <c r="C170" s="145">
        <f>SUMIFS(Table2[NewPointsAway],Table2[GameDate], "&lt;=" &amp; $A170, Table2[AwayTeam], C$1)+SUMIFS(Table2[NewPointsHome],Table2[GameDate], "&lt;=" &amp; $A170, Table2[HomeTeam], C$1)</f>
        <v>34</v>
      </c>
      <c r="D170" s="145">
        <f>SUMIFS(Table2[NewPointsAway],Table2[GameDate], "&lt;=" &amp; $A170, Table2[AwayTeam], D$1)+SUMIFS(Table2[NewPointsHome],Table2[GameDate], "&lt;=" &amp; $A170, Table2[HomeTeam], D$1)</f>
        <v>26</v>
      </c>
      <c r="E170" s="145">
        <f>SUMIFS(Table2[NewPointsAway],Table2[GameDate], "&lt;=" &amp; $A170, Table2[AwayTeam], E$1)+SUMIFS(Table2[NewPointsHome],Table2[GameDate], "&lt;=" &amp; $A170, Table2[HomeTeam], E$1)</f>
        <v>36</v>
      </c>
      <c r="F170" s="145">
        <f>SUMIFS(Table2[NewPointsAway],Table2[GameDate], "&lt;=" &amp; $A170, Table2[AwayTeam], F$1)+SUMIFS(Table2[NewPointsHome],Table2[GameDate], "&lt;=" &amp; $A170, Table2[HomeTeam], F$1)</f>
        <v>32</v>
      </c>
      <c r="G170" s="145">
        <f>SUMIFS(Table2[NewPointsAway],Table2[GameDate], "&lt;=" &amp; $A170, Table2[AwayTeam], G$1)+SUMIFS(Table2[NewPointsHome],Table2[GameDate], "&lt;=" &amp; $A170, Table2[HomeTeam], G$1)</f>
        <v>28</v>
      </c>
      <c r="H170" s="145">
        <f>SUMIFS(Table2[NewPointsAway],Table2[GameDate], "&lt;=" &amp; $A170, Table2[AwayTeam], H$1)+SUMIFS(Table2[NewPointsHome],Table2[GameDate], "&lt;=" &amp; $A170, Table2[HomeTeam], H$1)</f>
        <v>30</v>
      </c>
      <c r="I170" s="145">
        <f>SUMIFS(Table2[NewPointsAway],Table2[GameDate], "&lt;=" &amp; $A170, Table2[AwayTeam], I$1)+SUMIFS(Table2[NewPointsHome],Table2[GameDate], "&lt;=" &amp; $A170, Table2[HomeTeam], I$1)</f>
        <v>48</v>
      </c>
      <c r="J170" s="145">
        <f>SUMIFS(Table2[NewPointsAway],Table2[GameDate], "&lt;=" &amp; $A170, Table2[AwayTeam], J$1)+SUMIFS(Table2[NewPointsHome],Table2[GameDate], "&lt;=" &amp; $A170, Table2[HomeTeam], J$1)</f>
        <v>45</v>
      </c>
      <c r="K170" s="145">
        <f>SUMIFS(Table2[NewPointsAway],Table2[GameDate], "&lt;=" &amp; $A170, Table2[AwayTeam], K$1)+SUMIFS(Table2[NewPointsHome],Table2[GameDate], "&lt;=" &amp; $A170, Table2[HomeTeam], K$1)</f>
        <v>35</v>
      </c>
      <c r="L170" s="145">
        <f>SUMIFS(Table2[NewPointsAway],Table2[GameDate], "&lt;=" &amp; $A170, Table2[AwayTeam], L$1)+SUMIFS(Table2[NewPointsHome],Table2[GameDate], "&lt;=" &amp; $A170, Table2[HomeTeam], L$1)</f>
        <v>31</v>
      </c>
      <c r="M170" s="145">
        <f>SUMIFS(Table2[NewPointsAway],Table2[GameDate], "&lt;=" &amp; $A170, Table2[AwayTeam], M$1)+SUMIFS(Table2[NewPointsHome],Table2[GameDate], "&lt;=" &amp; $A170, Table2[HomeTeam], M$1)</f>
        <v>30</v>
      </c>
      <c r="N170" s="145">
        <f>SUMIFS(Table2[NewPointsAway],Table2[GameDate], "&lt;=" &amp; $A170, Table2[AwayTeam], N$1)+SUMIFS(Table2[NewPointsHome],Table2[GameDate], "&lt;=" &amp; $A170, Table2[HomeTeam], N$1)</f>
        <v>35</v>
      </c>
      <c r="O170" s="145">
        <f>SUMIFS(Table2[NewPointsAway],Table2[GameDate], "&lt;=" &amp; $A170, Table2[AwayTeam], O$1)+SUMIFS(Table2[NewPointsHome],Table2[GameDate], "&lt;=" &amp; $A170, Table2[HomeTeam], O$1)</f>
        <v>37</v>
      </c>
      <c r="P170" s="145">
        <f>SUMIFS(Table2[NewPointsAway],Table2[GameDate], "&lt;=" &amp; $A170, Table2[AwayTeam], P$1)+SUMIFS(Table2[NewPointsHome],Table2[GameDate], "&lt;=" &amp; $A170, Table2[HomeTeam], P$1)</f>
        <v>33</v>
      </c>
      <c r="Q170" s="145">
        <f>SUMIFS(Table2[NewPointsAway],Table2[GameDate], "&lt;=" &amp; $A170, Table2[AwayTeam], Q$1)+SUMIFS(Table2[NewPointsHome],Table2[GameDate], "&lt;=" &amp; $A170, Table2[HomeTeam], Q$1)</f>
        <v>33</v>
      </c>
      <c r="R170" s="145">
        <f>SUMIFS(Table2[NewPointsAway],Table2[GameDate], "&lt;=" &amp; $A170, Table2[AwayTeam], R$1)+SUMIFS(Table2[NewPointsHome],Table2[GameDate], "&lt;=" &amp; $A170, Table2[HomeTeam], R$1)</f>
        <v>24</v>
      </c>
      <c r="S170" s="145">
        <f>SUMIFS(Table2[NewPointsAway],Table2[GameDate], "&lt;=" &amp; $A170, Table2[AwayTeam], S$1)+SUMIFS(Table2[NewPointsHome],Table2[GameDate], "&lt;=" &amp; $A170, Table2[HomeTeam], S$1)</f>
        <v>35</v>
      </c>
      <c r="T170" s="145">
        <f>SUMIFS(Table2[NewPointsAway],Table2[GameDate], "&lt;=" &amp; $A170, Table2[AwayTeam], T$1)+SUMIFS(Table2[NewPointsHome],Table2[GameDate], "&lt;=" &amp; $A170, Table2[HomeTeam], T$1)</f>
        <v>34</v>
      </c>
      <c r="U170" s="145">
        <f>SUMIFS(Table2[NewPointsAway],Table2[GameDate], "&lt;=" &amp; $A170, Table2[AwayTeam], U$1)+SUMIFS(Table2[NewPointsHome],Table2[GameDate], "&lt;=" &amp; $A170, Table2[HomeTeam], U$1)</f>
        <v>30</v>
      </c>
      <c r="V170" s="145">
        <f>SUMIFS(Table2[NewPointsAway],Table2[GameDate], "&lt;=" &amp; $A170, Table2[AwayTeam], V$1)+SUMIFS(Table2[NewPointsHome],Table2[GameDate], "&lt;=" &amp; $A170, Table2[HomeTeam], V$1)</f>
        <v>32</v>
      </c>
      <c r="W170" s="145">
        <f>SUMIFS(Table2[NewPointsAway],Table2[GameDate], "&lt;=" &amp; $A170, Table2[AwayTeam], W$1)+SUMIFS(Table2[NewPointsHome],Table2[GameDate], "&lt;=" &amp; $A170, Table2[HomeTeam], W$1)</f>
        <v>34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31</v>
      </c>
      <c r="Z170" s="145">
        <f>SUMIFS(Table2[NewPointsAway],Table2[GameDate], "&lt;=" &amp; $A170, Table2[AwayTeam], Z$1)+SUMIFS(Table2[NewPointsHome],Table2[GameDate], "&lt;=" &amp; $A170, Table2[HomeTeam], Z$1)</f>
        <v>30</v>
      </c>
      <c r="AA170" s="145">
        <f>SUMIFS(Table2[NewPointsAway],Table2[GameDate], "&lt;=" &amp; $A170, Table2[AwayTeam], AA$1)+SUMIFS(Table2[NewPointsHome],Table2[GameDate], "&lt;=" &amp; $A170, Table2[HomeTeam], AA$1)</f>
        <v>34</v>
      </c>
      <c r="AB170" s="145">
        <f>SUMIFS(Table2[NewPointsAway],Table2[GameDate], "&lt;=" &amp; $A170, Table2[AwayTeam], AB$1)+SUMIFS(Table2[NewPointsHome],Table2[GameDate], "&lt;=" &amp; $A170, Table2[HomeTeam], AB$1)</f>
        <v>32</v>
      </c>
      <c r="AC170" s="145">
        <f>SUMIFS(Table2[NewPointsAway],Table2[GameDate], "&lt;=" &amp; $A170, Table2[AwayTeam], AC$1)+SUMIFS(Table2[NewPointsHome],Table2[GameDate], "&lt;=" &amp; $A170, Table2[HomeTeam], AC$1)</f>
        <v>31</v>
      </c>
      <c r="AD170" s="145">
        <f>SUMIFS(Table2[NewPointsAway],Table2[GameDate], "&lt;=" &amp; $A170, Table2[AwayTeam], AD$1)+SUMIFS(Table2[NewPointsHome],Table2[GameDate], "&lt;=" &amp; $A170, Table2[HomeTeam], AD$1)</f>
        <v>25</v>
      </c>
      <c r="AE170" s="145">
        <f>SUMIFS(Table2[NewPointsAway],Table2[GameDate], "&lt;=" &amp; $A170, Table2[AwayTeam], AE$1)+SUMIFS(Table2[NewPointsHome],Table2[GameDate], "&lt;=" &amp; $A170, Table2[HomeTeam], AE$1)</f>
        <v>36</v>
      </c>
      <c r="AF170" s="145">
        <f>SUMIFS(Table2[NewPointsAway],Table2[GameDate], "&lt;=" &amp; $A170, Table2[AwayTeam], AF$1)+SUMIFS(Table2[NewPointsHome],Table2[GameDate], "&lt;=" &amp; $A170, Table2[HomeTeam], AF$1)</f>
        <v>29</v>
      </c>
      <c r="AG170" s="145">
        <f>SUMIFS(Table2[NewPointsAway],Table2[GameDate], "&lt;=" &amp; $A170, Table2[AwayTeam], AG$1)+SUMIFS(Table2[NewPointsHome],Table2[GameDate], "&lt;=" &amp; $A170, Table2[HomeTeam], AG$1)</f>
        <v>39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37</v>
      </c>
      <c r="C171" s="145">
        <f>SUMIFS(Table2[NewPointsAway],Table2[GameDate], "&lt;=" &amp; $A171, Table2[AwayTeam], C$1)+SUMIFS(Table2[NewPointsHome],Table2[GameDate], "&lt;=" &amp; $A171, Table2[HomeTeam], C$1)</f>
        <v>34</v>
      </c>
      <c r="D171" s="145">
        <f>SUMIFS(Table2[NewPointsAway],Table2[GameDate], "&lt;=" &amp; $A171, Table2[AwayTeam], D$1)+SUMIFS(Table2[NewPointsHome],Table2[GameDate], "&lt;=" &amp; $A171, Table2[HomeTeam], D$1)</f>
        <v>26</v>
      </c>
      <c r="E171" s="145">
        <f>SUMIFS(Table2[NewPointsAway],Table2[GameDate], "&lt;=" &amp; $A171, Table2[AwayTeam], E$1)+SUMIFS(Table2[NewPointsHome],Table2[GameDate], "&lt;=" &amp; $A171, Table2[HomeTeam], E$1)</f>
        <v>36</v>
      </c>
      <c r="F171" s="145">
        <f>SUMIFS(Table2[NewPointsAway],Table2[GameDate], "&lt;=" &amp; $A171, Table2[AwayTeam], F$1)+SUMIFS(Table2[NewPointsHome],Table2[GameDate], "&lt;=" &amp; $A171, Table2[HomeTeam], F$1)</f>
        <v>32</v>
      </c>
      <c r="G171" s="145">
        <f>SUMIFS(Table2[NewPointsAway],Table2[GameDate], "&lt;=" &amp; $A171, Table2[AwayTeam], G$1)+SUMIFS(Table2[NewPointsHome],Table2[GameDate], "&lt;=" &amp; $A171, Table2[HomeTeam], G$1)</f>
        <v>28</v>
      </c>
      <c r="H171" s="145">
        <f>SUMIFS(Table2[NewPointsAway],Table2[GameDate], "&lt;=" &amp; $A171, Table2[AwayTeam], H$1)+SUMIFS(Table2[NewPointsHome],Table2[GameDate], "&lt;=" &amp; $A171, Table2[HomeTeam], H$1)</f>
        <v>30</v>
      </c>
      <c r="I171" s="145">
        <f>SUMIFS(Table2[NewPointsAway],Table2[GameDate], "&lt;=" &amp; $A171, Table2[AwayTeam], I$1)+SUMIFS(Table2[NewPointsHome],Table2[GameDate], "&lt;=" &amp; $A171, Table2[HomeTeam], I$1)</f>
        <v>48</v>
      </c>
      <c r="J171" s="145">
        <f>SUMIFS(Table2[NewPointsAway],Table2[GameDate], "&lt;=" &amp; $A171, Table2[AwayTeam], J$1)+SUMIFS(Table2[NewPointsHome],Table2[GameDate], "&lt;=" &amp; $A171, Table2[HomeTeam], J$1)</f>
        <v>45</v>
      </c>
      <c r="K171" s="145">
        <f>SUMIFS(Table2[NewPointsAway],Table2[GameDate], "&lt;=" &amp; $A171, Table2[AwayTeam], K$1)+SUMIFS(Table2[NewPointsHome],Table2[GameDate], "&lt;=" &amp; $A171, Table2[HomeTeam], K$1)</f>
        <v>35</v>
      </c>
      <c r="L171" s="145">
        <f>SUMIFS(Table2[NewPointsAway],Table2[GameDate], "&lt;=" &amp; $A171, Table2[AwayTeam], L$1)+SUMIFS(Table2[NewPointsHome],Table2[GameDate], "&lt;=" &amp; $A171, Table2[HomeTeam], L$1)</f>
        <v>31</v>
      </c>
      <c r="M171" s="145">
        <f>SUMIFS(Table2[NewPointsAway],Table2[GameDate], "&lt;=" &amp; $A171, Table2[AwayTeam], M$1)+SUMIFS(Table2[NewPointsHome],Table2[GameDate], "&lt;=" &amp; $A171, Table2[HomeTeam], M$1)</f>
        <v>30</v>
      </c>
      <c r="N171" s="145">
        <f>SUMIFS(Table2[NewPointsAway],Table2[GameDate], "&lt;=" &amp; $A171, Table2[AwayTeam], N$1)+SUMIFS(Table2[NewPointsHome],Table2[GameDate], "&lt;=" &amp; $A171, Table2[HomeTeam], N$1)</f>
        <v>35</v>
      </c>
      <c r="O171" s="145">
        <f>SUMIFS(Table2[NewPointsAway],Table2[GameDate], "&lt;=" &amp; $A171, Table2[AwayTeam], O$1)+SUMIFS(Table2[NewPointsHome],Table2[GameDate], "&lt;=" &amp; $A171, Table2[HomeTeam], O$1)</f>
        <v>37</v>
      </c>
      <c r="P171" s="145">
        <f>SUMIFS(Table2[NewPointsAway],Table2[GameDate], "&lt;=" &amp; $A171, Table2[AwayTeam], P$1)+SUMIFS(Table2[NewPointsHome],Table2[GameDate], "&lt;=" &amp; $A171, Table2[HomeTeam], P$1)</f>
        <v>33</v>
      </c>
      <c r="Q171" s="145">
        <f>SUMIFS(Table2[NewPointsAway],Table2[GameDate], "&lt;=" &amp; $A171, Table2[AwayTeam], Q$1)+SUMIFS(Table2[NewPointsHome],Table2[GameDate], "&lt;=" &amp; $A171, Table2[HomeTeam], Q$1)</f>
        <v>33</v>
      </c>
      <c r="R171" s="145">
        <f>SUMIFS(Table2[NewPointsAway],Table2[GameDate], "&lt;=" &amp; $A171, Table2[AwayTeam], R$1)+SUMIFS(Table2[NewPointsHome],Table2[GameDate], "&lt;=" &amp; $A171, Table2[HomeTeam], R$1)</f>
        <v>24</v>
      </c>
      <c r="S171" s="145">
        <f>SUMIFS(Table2[NewPointsAway],Table2[GameDate], "&lt;=" &amp; $A171, Table2[AwayTeam], S$1)+SUMIFS(Table2[NewPointsHome],Table2[GameDate], "&lt;=" &amp; $A171, Table2[HomeTeam], S$1)</f>
        <v>35</v>
      </c>
      <c r="T171" s="145">
        <f>SUMIFS(Table2[NewPointsAway],Table2[GameDate], "&lt;=" &amp; $A171, Table2[AwayTeam], T$1)+SUMIFS(Table2[NewPointsHome],Table2[GameDate], "&lt;=" &amp; $A171, Table2[HomeTeam], T$1)</f>
        <v>34</v>
      </c>
      <c r="U171" s="145">
        <f>SUMIFS(Table2[NewPointsAway],Table2[GameDate], "&lt;=" &amp; $A171, Table2[AwayTeam], U$1)+SUMIFS(Table2[NewPointsHome],Table2[GameDate], "&lt;=" &amp; $A171, Table2[HomeTeam], U$1)</f>
        <v>30</v>
      </c>
      <c r="V171" s="145">
        <f>SUMIFS(Table2[NewPointsAway],Table2[GameDate], "&lt;=" &amp; $A171, Table2[AwayTeam], V$1)+SUMIFS(Table2[NewPointsHome],Table2[GameDate], "&lt;=" &amp; $A171, Table2[HomeTeam], V$1)</f>
        <v>32</v>
      </c>
      <c r="W171" s="145">
        <f>SUMIFS(Table2[NewPointsAway],Table2[GameDate], "&lt;=" &amp; $A171, Table2[AwayTeam], W$1)+SUMIFS(Table2[NewPointsHome],Table2[GameDate], "&lt;=" &amp; $A171, Table2[HomeTeam], W$1)</f>
        <v>34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31</v>
      </c>
      <c r="Z171" s="145">
        <f>SUMIFS(Table2[NewPointsAway],Table2[GameDate], "&lt;=" &amp; $A171, Table2[AwayTeam], Z$1)+SUMIFS(Table2[NewPointsHome],Table2[GameDate], "&lt;=" &amp; $A171, Table2[HomeTeam], Z$1)</f>
        <v>30</v>
      </c>
      <c r="AA171" s="145">
        <f>SUMIFS(Table2[NewPointsAway],Table2[GameDate], "&lt;=" &amp; $A171, Table2[AwayTeam], AA$1)+SUMIFS(Table2[NewPointsHome],Table2[GameDate], "&lt;=" &amp; $A171, Table2[HomeTeam], AA$1)</f>
        <v>34</v>
      </c>
      <c r="AB171" s="145">
        <f>SUMIFS(Table2[NewPointsAway],Table2[GameDate], "&lt;=" &amp; $A171, Table2[AwayTeam], AB$1)+SUMIFS(Table2[NewPointsHome],Table2[GameDate], "&lt;=" &amp; $A171, Table2[HomeTeam], AB$1)</f>
        <v>32</v>
      </c>
      <c r="AC171" s="145">
        <f>SUMIFS(Table2[NewPointsAway],Table2[GameDate], "&lt;=" &amp; $A171, Table2[AwayTeam], AC$1)+SUMIFS(Table2[NewPointsHome],Table2[GameDate], "&lt;=" &amp; $A171, Table2[HomeTeam], AC$1)</f>
        <v>31</v>
      </c>
      <c r="AD171" s="145">
        <f>SUMIFS(Table2[NewPointsAway],Table2[GameDate], "&lt;=" &amp; $A171, Table2[AwayTeam], AD$1)+SUMIFS(Table2[NewPointsHome],Table2[GameDate], "&lt;=" &amp; $A171, Table2[HomeTeam], AD$1)</f>
        <v>25</v>
      </c>
      <c r="AE171" s="145">
        <f>SUMIFS(Table2[NewPointsAway],Table2[GameDate], "&lt;=" &amp; $A171, Table2[AwayTeam], AE$1)+SUMIFS(Table2[NewPointsHome],Table2[GameDate], "&lt;=" &amp; $A171, Table2[HomeTeam], AE$1)</f>
        <v>36</v>
      </c>
      <c r="AF171" s="145">
        <f>SUMIFS(Table2[NewPointsAway],Table2[GameDate], "&lt;=" &amp; $A171, Table2[AwayTeam], AF$1)+SUMIFS(Table2[NewPointsHome],Table2[GameDate], "&lt;=" &amp; $A171, Table2[HomeTeam], AF$1)</f>
        <v>29</v>
      </c>
      <c r="AG171" s="145">
        <f>SUMIFS(Table2[NewPointsAway],Table2[GameDate], "&lt;=" &amp; $A171, Table2[AwayTeam], AG$1)+SUMIFS(Table2[NewPointsHome],Table2[GameDate], "&lt;=" &amp; $A171, Table2[HomeTeam], AG$1)</f>
        <v>39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37</v>
      </c>
      <c r="C172" s="145">
        <f>SUMIFS(Table2[NewPointsAway],Table2[GameDate], "&lt;=" &amp; $A172, Table2[AwayTeam], C$1)+SUMIFS(Table2[NewPointsHome],Table2[GameDate], "&lt;=" &amp; $A172, Table2[HomeTeam], C$1)</f>
        <v>34</v>
      </c>
      <c r="D172" s="145">
        <f>SUMIFS(Table2[NewPointsAway],Table2[GameDate], "&lt;=" &amp; $A172, Table2[AwayTeam], D$1)+SUMIFS(Table2[NewPointsHome],Table2[GameDate], "&lt;=" &amp; $A172, Table2[HomeTeam], D$1)</f>
        <v>26</v>
      </c>
      <c r="E172" s="145">
        <f>SUMIFS(Table2[NewPointsAway],Table2[GameDate], "&lt;=" &amp; $A172, Table2[AwayTeam], E$1)+SUMIFS(Table2[NewPointsHome],Table2[GameDate], "&lt;=" &amp; $A172, Table2[HomeTeam], E$1)</f>
        <v>36</v>
      </c>
      <c r="F172" s="145">
        <f>SUMIFS(Table2[NewPointsAway],Table2[GameDate], "&lt;=" &amp; $A172, Table2[AwayTeam], F$1)+SUMIFS(Table2[NewPointsHome],Table2[GameDate], "&lt;=" &amp; $A172, Table2[HomeTeam], F$1)</f>
        <v>32</v>
      </c>
      <c r="G172" s="145">
        <f>SUMIFS(Table2[NewPointsAway],Table2[GameDate], "&lt;=" &amp; $A172, Table2[AwayTeam], G$1)+SUMIFS(Table2[NewPointsHome],Table2[GameDate], "&lt;=" &amp; $A172, Table2[HomeTeam], G$1)</f>
        <v>28</v>
      </c>
      <c r="H172" s="145">
        <f>SUMIFS(Table2[NewPointsAway],Table2[GameDate], "&lt;=" &amp; $A172, Table2[AwayTeam], H$1)+SUMIFS(Table2[NewPointsHome],Table2[GameDate], "&lt;=" &amp; $A172, Table2[HomeTeam], H$1)</f>
        <v>30</v>
      </c>
      <c r="I172" s="145">
        <f>SUMIFS(Table2[NewPointsAway],Table2[GameDate], "&lt;=" &amp; $A172, Table2[AwayTeam], I$1)+SUMIFS(Table2[NewPointsHome],Table2[GameDate], "&lt;=" &amp; $A172, Table2[HomeTeam], I$1)</f>
        <v>48</v>
      </c>
      <c r="J172" s="145">
        <f>SUMIFS(Table2[NewPointsAway],Table2[GameDate], "&lt;=" &amp; $A172, Table2[AwayTeam], J$1)+SUMIFS(Table2[NewPointsHome],Table2[GameDate], "&lt;=" &amp; $A172, Table2[HomeTeam], J$1)</f>
        <v>45</v>
      </c>
      <c r="K172" s="145">
        <f>SUMIFS(Table2[NewPointsAway],Table2[GameDate], "&lt;=" &amp; $A172, Table2[AwayTeam], K$1)+SUMIFS(Table2[NewPointsHome],Table2[GameDate], "&lt;=" &amp; $A172, Table2[HomeTeam], K$1)</f>
        <v>35</v>
      </c>
      <c r="L172" s="145">
        <f>SUMIFS(Table2[NewPointsAway],Table2[GameDate], "&lt;=" &amp; $A172, Table2[AwayTeam], L$1)+SUMIFS(Table2[NewPointsHome],Table2[GameDate], "&lt;=" &amp; $A172, Table2[HomeTeam], L$1)</f>
        <v>31</v>
      </c>
      <c r="M172" s="145">
        <f>SUMIFS(Table2[NewPointsAway],Table2[GameDate], "&lt;=" &amp; $A172, Table2[AwayTeam], M$1)+SUMIFS(Table2[NewPointsHome],Table2[GameDate], "&lt;=" &amp; $A172, Table2[HomeTeam], M$1)</f>
        <v>30</v>
      </c>
      <c r="N172" s="145">
        <f>SUMIFS(Table2[NewPointsAway],Table2[GameDate], "&lt;=" &amp; $A172, Table2[AwayTeam], N$1)+SUMIFS(Table2[NewPointsHome],Table2[GameDate], "&lt;=" &amp; $A172, Table2[HomeTeam], N$1)</f>
        <v>35</v>
      </c>
      <c r="O172" s="145">
        <f>SUMIFS(Table2[NewPointsAway],Table2[GameDate], "&lt;=" &amp; $A172, Table2[AwayTeam], O$1)+SUMIFS(Table2[NewPointsHome],Table2[GameDate], "&lt;=" &amp; $A172, Table2[HomeTeam], O$1)</f>
        <v>37</v>
      </c>
      <c r="P172" s="145">
        <f>SUMIFS(Table2[NewPointsAway],Table2[GameDate], "&lt;=" &amp; $A172, Table2[AwayTeam], P$1)+SUMIFS(Table2[NewPointsHome],Table2[GameDate], "&lt;=" &amp; $A172, Table2[HomeTeam], P$1)</f>
        <v>33</v>
      </c>
      <c r="Q172" s="145">
        <f>SUMIFS(Table2[NewPointsAway],Table2[GameDate], "&lt;=" &amp; $A172, Table2[AwayTeam], Q$1)+SUMIFS(Table2[NewPointsHome],Table2[GameDate], "&lt;=" &amp; $A172, Table2[HomeTeam], Q$1)</f>
        <v>33</v>
      </c>
      <c r="R172" s="145">
        <f>SUMIFS(Table2[NewPointsAway],Table2[GameDate], "&lt;=" &amp; $A172, Table2[AwayTeam], R$1)+SUMIFS(Table2[NewPointsHome],Table2[GameDate], "&lt;=" &amp; $A172, Table2[HomeTeam], R$1)</f>
        <v>24</v>
      </c>
      <c r="S172" s="145">
        <f>SUMIFS(Table2[NewPointsAway],Table2[GameDate], "&lt;=" &amp; $A172, Table2[AwayTeam], S$1)+SUMIFS(Table2[NewPointsHome],Table2[GameDate], "&lt;=" &amp; $A172, Table2[HomeTeam], S$1)</f>
        <v>35</v>
      </c>
      <c r="T172" s="145">
        <f>SUMIFS(Table2[NewPointsAway],Table2[GameDate], "&lt;=" &amp; $A172, Table2[AwayTeam], T$1)+SUMIFS(Table2[NewPointsHome],Table2[GameDate], "&lt;=" &amp; $A172, Table2[HomeTeam], T$1)</f>
        <v>34</v>
      </c>
      <c r="U172" s="145">
        <f>SUMIFS(Table2[NewPointsAway],Table2[GameDate], "&lt;=" &amp; $A172, Table2[AwayTeam], U$1)+SUMIFS(Table2[NewPointsHome],Table2[GameDate], "&lt;=" &amp; $A172, Table2[HomeTeam], U$1)</f>
        <v>30</v>
      </c>
      <c r="V172" s="145">
        <f>SUMIFS(Table2[NewPointsAway],Table2[GameDate], "&lt;=" &amp; $A172, Table2[AwayTeam], V$1)+SUMIFS(Table2[NewPointsHome],Table2[GameDate], "&lt;=" &amp; $A172, Table2[HomeTeam], V$1)</f>
        <v>32</v>
      </c>
      <c r="W172" s="145">
        <f>SUMIFS(Table2[NewPointsAway],Table2[GameDate], "&lt;=" &amp; $A172, Table2[AwayTeam], W$1)+SUMIFS(Table2[NewPointsHome],Table2[GameDate], "&lt;=" &amp; $A172, Table2[HomeTeam], W$1)</f>
        <v>34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31</v>
      </c>
      <c r="Z172" s="145">
        <f>SUMIFS(Table2[NewPointsAway],Table2[GameDate], "&lt;=" &amp; $A172, Table2[AwayTeam], Z$1)+SUMIFS(Table2[NewPointsHome],Table2[GameDate], "&lt;=" &amp; $A172, Table2[HomeTeam], Z$1)</f>
        <v>30</v>
      </c>
      <c r="AA172" s="145">
        <f>SUMIFS(Table2[NewPointsAway],Table2[GameDate], "&lt;=" &amp; $A172, Table2[AwayTeam], AA$1)+SUMIFS(Table2[NewPointsHome],Table2[GameDate], "&lt;=" &amp; $A172, Table2[HomeTeam], AA$1)</f>
        <v>34</v>
      </c>
      <c r="AB172" s="145">
        <f>SUMIFS(Table2[NewPointsAway],Table2[GameDate], "&lt;=" &amp; $A172, Table2[AwayTeam], AB$1)+SUMIFS(Table2[NewPointsHome],Table2[GameDate], "&lt;=" &amp; $A172, Table2[HomeTeam], AB$1)</f>
        <v>32</v>
      </c>
      <c r="AC172" s="145">
        <f>SUMIFS(Table2[NewPointsAway],Table2[GameDate], "&lt;=" &amp; $A172, Table2[AwayTeam], AC$1)+SUMIFS(Table2[NewPointsHome],Table2[GameDate], "&lt;=" &amp; $A172, Table2[HomeTeam], AC$1)</f>
        <v>31</v>
      </c>
      <c r="AD172" s="145">
        <f>SUMIFS(Table2[NewPointsAway],Table2[GameDate], "&lt;=" &amp; $A172, Table2[AwayTeam], AD$1)+SUMIFS(Table2[NewPointsHome],Table2[GameDate], "&lt;=" &amp; $A172, Table2[HomeTeam], AD$1)</f>
        <v>25</v>
      </c>
      <c r="AE172" s="145">
        <f>SUMIFS(Table2[NewPointsAway],Table2[GameDate], "&lt;=" &amp; $A172, Table2[AwayTeam], AE$1)+SUMIFS(Table2[NewPointsHome],Table2[GameDate], "&lt;=" &amp; $A172, Table2[HomeTeam], AE$1)</f>
        <v>36</v>
      </c>
      <c r="AF172" s="145">
        <f>SUMIFS(Table2[NewPointsAway],Table2[GameDate], "&lt;=" &amp; $A172, Table2[AwayTeam], AF$1)+SUMIFS(Table2[NewPointsHome],Table2[GameDate], "&lt;=" &amp; $A172, Table2[HomeTeam], AF$1)</f>
        <v>29</v>
      </c>
      <c r="AG172" s="145">
        <f>SUMIFS(Table2[NewPointsAway],Table2[GameDate], "&lt;=" &amp; $A172, Table2[AwayTeam], AG$1)+SUMIFS(Table2[NewPointsHome],Table2[GameDate], "&lt;=" &amp; $A172, Table2[HomeTeam], AG$1)</f>
        <v>39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37</v>
      </c>
      <c r="C173" s="145">
        <f>SUMIFS(Table2[NewPointsAway],Table2[GameDate], "&lt;=" &amp; $A173, Table2[AwayTeam], C$1)+SUMIFS(Table2[NewPointsHome],Table2[GameDate], "&lt;=" &amp; $A173, Table2[HomeTeam], C$1)</f>
        <v>34</v>
      </c>
      <c r="D173" s="145">
        <f>SUMIFS(Table2[NewPointsAway],Table2[GameDate], "&lt;=" &amp; $A173, Table2[AwayTeam], D$1)+SUMIFS(Table2[NewPointsHome],Table2[GameDate], "&lt;=" &amp; $A173, Table2[HomeTeam], D$1)</f>
        <v>26</v>
      </c>
      <c r="E173" s="145">
        <f>SUMIFS(Table2[NewPointsAway],Table2[GameDate], "&lt;=" &amp; $A173, Table2[AwayTeam], E$1)+SUMIFS(Table2[NewPointsHome],Table2[GameDate], "&lt;=" &amp; $A173, Table2[HomeTeam], E$1)</f>
        <v>36</v>
      </c>
      <c r="F173" s="145">
        <f>SUMIFS(Table2[NewPointsAway],Table2[GameDate], "&lt;=" &amp; $A173, Table2[AwayTeam], F$1)+SUMIFS(Table2[NewPointsHome],Table2[GameDate], "&lt;=" &amp; $A173, Table2[HomeTeam], F$1)</f>
        <v>32</v>
      </c>
      <c r="G173" s="145">
        <f>SUMIFS(Table2[NewPointsAway],Table2[GameDate], "&lt;=" &amp; $A173, Table2[AwayTeam], G$1)+SUMIFS(Table2[NewPointsHome],Table2[GameDate], "&lt;=" &amp; $A173, Table2[HomeTeam], G$1)</f>
        <v>28</v>
      </c>
      <c r="H173" s="145">
        <f>SUMIFS(Table2[NewPointsAway],Table2[GameDate], "&lt;=" &amp; $A173, Table2[AwayTeam], H$1)+SUMIFS(Table2[NewPointsHome],Table2[GameDate], "&lt;=" &amp; $A173, Table2[HomeTeam], H$1)</f>
        <v>30</v>
      </c>
      <c r="I173" s="145">
        <f>SUMIFS(Table2[NewPointsAway],Table2[GameDate], "&lt;=" &amp; $A173, Table2[AwayTeam], I$1)+SUMIFS(Table2[NewPointsHome],Table2[GameDate], "&lt;=" &amp; $A173, Table2[HomeTeam], I$1)</f>
        <v>48</v>
      </c>
      <c r="J173" s="145">
        <f>SUMIFS(Table2[NewPointsAway],Table2[GameDate], "&lt;=" &amp; $A173, Table2[AwayTeam], J$1)+SUMIFS(Table2[NewPointsHome],Table2[GameDate], "&lt;=" &amp; $A173, Table2[HomeTeam], J$1)</f>
        <v>45</v>
      </c>
      <c r="K173" s="145">
        <f>SUMIFS(Table2[NewPointsAway],Table2[GameDate], "&lt;=" &amp; $A173, Table2[AwayTeam], K$1)+SUMIFS(Table2[NewPointsHome],Table2[GameDate], "&lt;=" &amp; $A173, Table2[HomeTeam], K$1)</f>
        <v>35</v>
      </c>
      <c r="L173" s="145">
        <f>SUMIFS(Table2[NewPointsAway],Table2[GameDate], "&lt;=" &amp; $A173, Table2[AwayTeam], L$1)+SUMIFS(Table2[NewPointsHome],Table2[GameDate], "&lt;=" &amp; $A173, Table2[HomeTeam], L$1)</f>
        <v>31</v>
      </c>
      <c r="M173" s="145">
        <f>SUMIFS(Table2[NewPointsAway],Table2[GameDate], "&lt;=" &amp; $A173, Table2[AwayTeam], M$1)+SUMIFS(Table2[NewPointsHome],Table2[GameDate], "&lt;=" &amp; $A173, Table2[HomeTeam], M$1)</f>
        <v>30</v>
      </c>
      <c r="N173" s="145">
        <f>SUMIFS(Table2[NewPointsAway],Table2[GameDate], "&lt;=" &amp; $A173, Table2[AwayTeam], N$1)+SUMIFS(Table2[NewPointsHome],Table2[GameDate], "&lt;=" &amp; $A173, Table2[HomeTeam], N$1)</f>
        <v>35</v>
      </c>
      <c r="O173" s="145">
        <f>SUMIFS(Table2[NewPointsAway],Table2[GameDate], "&lt;=" &amp; $A173, Table2[AwayTeam], O$1)+SUMIFS(Table2[NewPointsHome],Table2[GameDate], "&lt;=" &amp; $A173, Table2[HomeTeam], O$1)</f>
        <v>37</v>
      </c>
      <c r="P173" s="145">
        <f>SUMIFS(Table2[NewPointsAway],Table2[GameDate], "&lt;=" &amp; $A173, Table2[AwayTeam], P$1)+SUMIFS(Table2[NewPointsHome],Table2[GameDate], "&lt;=" &amp; $A173, Table2[HomeTeam], P$1)</f>
        <v>33</v>
      </c>
      <c r="Q173" s="145">
        <f>SUMIFS(Table2[NewPointsAway],Table2[GameDate], "&lt;=" &amp; $A173, Table2[AwayTeam], Q$1)+SUMIFS(Table2[NewPointsHome],Table2[GameDate], "&lt;=" &amp; $A173, Table2[HomeTeam], Q$1)</f>
        <v>33</v>
      </c>
      <c r="R173" s="145">
        <f>SUMIFS(Table2[NewPointsAway],Table2[GameDate], "&lt;=" &amp; $A173, Table2[AwayTeam], R$1)+SUMIFS(Table2[NewPointsHome],Table2[GameDate], "&lt;=" &amp; $A173, Table2[HomeTeam], R$1)</f>
        <v>24</v>
      </c>
      <c r="S173" s="145">
        <f>SUMIFS(Table2[NewPointsAway],Table2[GameDate], "&lt;=" &amp; $A173, Table2[AwayTeam], S$1)+SUMIFS(Table2[NewPointsHome],Table2[GameDate], "&lt;=" &amp; $A173, Table2[HomeTeam], S$1)</f>
        <v>35</v>
      </c>
      <c r="T173" s="145">
        <f>SUMIFS(Table2[NewPointsAway],Table2[GameDate], "&lt;=" &amp; $A173, Table2[AwayTeam], T$1)+SUMIFS(Table2[NewPointsHome],Table2[GameDate], "&lt;=" &amp; $A173, Table2[HomeTeam], T$1)</f>
        <v>34</v>
      </c>
      <c r="U173" s="145">
        <f>SUMIFS(Table2[NewPointsAway],Table2[GameDate], "&lt;=" &amp; $A173, Table2[AwayTeam], U$1)+SUMIFS(Table2[NewPointsHome],Table2[GameDate], "&lt;=" &amp; $A173, Table2[HomeTeam], U$1)</f>
        <v>30</v>
      </c>
      <c r="V173" s="145">
        <f>SUMIFS(Table2[NewPointsAway],Table2[GameDate], "&lt;=" &amp; $A173, Table2[AwayTeam], V$1)+SUMIFS(Table2[NewPointsHome],Table2[GameDate], "&lt;=" &amp; $A173, Table2[HomeTeam], V$1)</f>
        <v>32</v>
      </c>
      <c r="W173" s="145">
        <f>SUMIFS(Table2[NewPointsAway],Table2[GameDate], "&lt;=" &amp; $A173, Table2[AwayTeam], W$1)+SUMIFS(Table2[NewPointsHome],Table2[GameDate], "&lt;=" &amp; $A173, Table2[HomeTeam], W$1)</f>
        <v>34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31</v>
      </c>
      <c r="Z173" s="145">
        <f>SUMIFS(Table2[NewPointsAway],Table2[GameDate], "&lt;=" &amp; $A173, Table2[AwayTeam], Z$1)+SUMIFS(Table2[NewPointsHome],Table2[GameDate], "&lt;=" &amp; $A173, Table2[HomeTeam], Z$1)</f>
        <v>30</v>
      </c>
      <c r="AA173" s="145">
        <f>SUMIFS(Table2[NewPointsAway],Table2[GameDate], "&lt;=" &amp; $A173, Table2[AwayTeam], AA$1)+SUMIFS(Table2[NewPointsHome],Table2[GameDate], "&lt;=" &amp; $A173, Table2[HomeTeam], AA$1)</f>
        <v>34</v>
      </c>
      <c r="AB173" s="145">
        <f>SUMIFS(Table2[NewPointsAway],Table2[GameDate], "&lt;=" &amp; $A173, Table2[AwayTeam], AB$1)+SUMIFS(Table2[NewPointsHome],Table2[GameDate], "&lt;=" &amp; $A173, Table2[HomeTeam], AB$1)</f>
        <v>32</v>
      </c>
      <c r="AC173" s="145">
        <f>SUMIFS(Table2[NewPointsAway],Table2[GameDate], "&lt;=" &amp; $A173, Table2[AwayTeam], AC$1)+SUMIFS(Table2[NewPointsHome],Table2[GameDate], "&lt;=" &amp; $A173, Table2[HomeTeam], AC$1)</f>
        <v>31</v>
      </c>
      <c r="AD173" s="145">
        <f>SUMIFS(Table2[NewPointsAway],Table2[GameDate], "&lt;=" &amp; $A173, Table2[AwayTeam], AD$1)+SUMIFS(Table2[NewPointsHome],Table2[GameDate], "&lt;=" &amp; $A173, Table2[HomeTeam], AD$1)</f>
        <v>25</v>
      </c>
      <c r="AE173" s="145">
        <f>SUMIFS(Table2[NewPointsAway],Table2[GameDate], "&lt;=" &amp; $A173, Table2[AwayTeam], AE$1)+SUMIFS(Table2[NewPointsHome],Table2[GameDate], "&lt;=" &amp; $A173, Table2[HomeTeam], AE$1)</f>
        <v>36</v>
      </c>
      <c r="AF173" s="145">
        <f>SUMIFS(Table2[NewPointsAway],Table2[GameDate], "&lt;=" &amp; $A173, Table2[AwayTeam], AF$1)+SUMIFS(Table2[NewPointsHome],Table2[GameDate], "&lt;=" &amp; $A173, Table2[HomeTeam], AF$1)</f>
        <v>29</v>
      </c>
      <c r="AG173" s="145">
        <f>SUMIFS(Table2[NewPointsAway],Table2[GameDate], "&lt;=" &amp; $A173, Table2[AwayTeam], AG$1)+SUMIFS(Table2[NewPointsHome],Table2[GameDate], "&lt;=" &amp; $A173, Table2[HomeTeam], AG$1)</f>
        <v>39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37</v>
      </c>
      <c r="C174" s="145">
        <f>SUMIFS(Table2[NewPointsAway],Table2[GameDate], "&lt;=" &amp; $A174, Table2[AwayTeam], C$1)+SUMIFS(Table2[NewPointsHome],Table2[GameDate], "&lt;=" &amp; $A174, Table2[HomeTeam], C$1)</f>
        <v>34</v>
      </c>
      <c r="D174" s="145">
        <f>SUMIFS(Table2[NewPointsAway],Table2[GameDate], "&lt;=" &amp; $A174, Table2[AwayTeam], D$1)+SUMIFS(Table2[NewPointsHome],Table2[GameDate], "&lt;=" &amp; $A174, Table2[HomeTeam], D$1)</f>
        <v>26</v>
      </c>
      <c r="E174" s="145">
        <f>SUMIFS(Table2[NewPointsAway],Table2[GameDate], "&lt;=" &amp; $A174, Table2[AwayTeam], E$1)+SUMIFS(Table2[NewPointsHome],Table2[GameDate], "&lt;=" &amp; $A174, Table2[HomeTeam], E$1)</f>
        <v>36</v>
      </c>
      <c r="F174" s="145">
        <f>SUMIFS(Table2[NewPointsAway],Table2[GameDate], "&lt;=" &amp; $A174, Table2[AwayTeam], F$1)+SUMIFS(Table2[NewPointsHome],Table2[GameDate], "&lt;=" &amp; $A174, Table2[HomeTeam], F$1)</f>
        <v>32</v>
      </c>
      <c r="G174" s="145">
        <f>SUMIFS(Table2[NewPointsAway],Table2[GameDate], "&lt;=" &amp; $A174, Table2[AwayTeam], G$1)+SUMIFS(Table2[NewPointsHome],Table2[GameDate], "&lt;=" &amp; $A174, Table2[HomeTeam], G$1)</f>
        <v>28</v>
      </c>
      <c r="H174" s="145">
        <f>SUMIFS(Table2[NewPointsAway],Table2[GameDate], "&lt;=" &amp; $A174, Table2[AwayTeam], H$1)+SUMIFS(Table2[NewPointsHome],Table2[GameDate], "&lt;=" &amp; $A174, Table2[HomeTeam], H$1)</f>
        <v>30</v>
      </c>
      <c r="I174" s="145">
        <f>SUMIFS(Table2[NewPointsAway],Table2[GameDate], "&lt;=" &amp; $A174, Table2[AwayTeam], I$1)+SUMIFS(Table2[NewPointsHome],Table2[GameDate], "&lt;=" &amp; $A174, Table2[HomeTeam], I$1)</f>
        <v>48</v>
      </c>
      <c r="J174" s="145">
        <f>SUMIFS(Table2[NewPointsAway],Table2[GameDate], "&lt;=" &amp; $A174, Table2[AwayTeam], J$1)+SUMIFS(Table2[NewPointsHome],Table2[GameDate], "&lt;=" &amp; $A174, Table2[HomeTeam], J$1)</f>
        <v>45</v>
      </c>
      <c r="K174" s="145">
        <f>SUMIFS(Table2[NewPointsAway],Table2[GameDate], "&lt;=" &amp; $A174, Table2[AwayTeam], K$1)+SUMIFS(Table2[NewPointsHome],Table2[GameDate], "&lt;=" &amp; $A174, Table2[HomeTeam], K$1)</f>
        <v>35</v>
      </c>
      <c r="L174" s="145">
        <f>SUMIFS(Table2[NewPointsAway],Table2[GameDate], "&lt;=" &amp; $A174, Table2[AwayTeam], L$1)+SUMIFS(Table2[NewPointsHome],Table2[GameDate], "&lt;=" &amp; $A174, Table2[HomeTeam], L$1)</f>
        <v>31</v>
      </c>
      <c r="M174" s="145">
        <f>SUMIFS(Table2[NewPointsAway],Table2[GameDate], "&lt;=" &amp; $A174, Table2[AwayTeam], M$1)+SUMIFS(Table2[NewPointsHome],Table2[GameDate], "&lt;=" &amp; $A174, Table2[HomeTeam], M$1)</f>
        <v>30</v>
      </c>
      <c r="N174" s="145">
        <f>SUMIFS(Table2[NewPointsAway],Table2[GameDate], "&lt;=" &amp; $A174, Table2[AwayTeam], N$1)+SUMIFS(Table2[NewPointsHome],Table2[GameDate], "&lt;=" &amp; $A174, Table2[HomeTeam], N$1)</f>
        <v>35</v>
      </c>
      <c r="O174" s="145">
        <f>SUMIFS(Table2[NewPointsAway],Table2[GameDate], "&lt;=" &amp; $A174, Table2[AwayTeam], O$1)+SUMIFS(Table2[NewPointsHome],Table2[GameDate], "&lt;=" &amp; $A174, Table2[HomeTeam], O$1)</f>
        <v>37</v>
      </c>
      <c r="P174" s="145">
        <f>SUMIFS(Table2[NewPointsAway],Table2[GameDate], "&lt;=" &amp; $A174, Table2[AwayTeam], P$1)+SUMIFS(Table2[NewPointsHome],Table2[GameDate], "&lt;=" &amp; $A174, Table2[HomeTeam], P$1)</f>
        <v>33</v>
      </c>
      <c r="Q174" s="145">
        <f>SUMIFS(Table2[NewPointsAway],Table2[GameDate], "&lt;=" &amp; $A174, Table2[AwayTeam], Q$1)+SUMIFS(Table2[NewPointsHome],Table2[GameDate], "&lt;=" &amp; $A174, Table2[HomeTeam], Q$1)</f>
        <v>33</v>
      </c>
      <c r="R174" s="145">
        <f>SUMIFS(Table2[NewPointsAway],Table2[GameDate], "&lt;=" &amp; $A174, Table2[AwayTeam], R$1)+SUMIFS(Table2[NewPointsHome],Table2[GameDate], "&lt;=" &amp; $A174, Table2[HomeTeam], R$1)</f>
        <v>24</v>
      </c>
      <c r="S174" s="145">
        <f>SUMIFS(Table2[NewPointsAway],Table2[GameDate], "&lt;=" &amp; $A174, Table2[AwayTeam], S$1)+SUMIFS(Table2[NewPointsHome],Table2[GameDate], "&lt;=" &amp; $A174, Table2[HomeTeam], S$1)</f>
        <v>35</v>
      </c>
      <c r="T174" s="145">
        <f>SUMIFS(Table2[NewPointsAway],Table2[GameDate], "&lt;=" &amp; $A174, Table2[AwayTeam], T$1)+SUMIFS(Table2[NewPointsHome],Table2[GameDate], "&lt;=" &amp; $A174, Table2[HomeTeam], T$1)</f>
        <v>34</v>
      </c>
      <c r="U174" s="145">
        <f>SUMIFS(Table2[NewPointsAway],Table2[GameDate], "&lt;=" &amp; $A174, Table2[AwayTeam], U$1)+SUMIFS(Table2[NewPointsHome],Table2[GameDate], "&lt;=" &amp; $A174, Table2[HomeTeam], U$1)</f>
        <v>30</v>
      </c>
      <c r="V174" s="145">
        <f>SUMIFS(Table2[NewPointsAway],Table2[GameDate], "&lt;=" &amp; $A174, Table2[AwayTeam], V$1)+SUMIFS(Table2[NewPointsHome],Table2[GameDate], "&lt;=" &amp; $A174, Table2[HomeTeam], V$1)</f>
        <v>32</v>
      </c>
      <c r="W174" s="145">
        <f>SUMIFS(Table2[NewPointsAway],Table2[GameDate], "&lt;=" &amp; $A174, Table2[AwayTeam], W$1)+SUMIFS(Table2[NewPointsHome],Table2[GameDate], "&lt;=" &amp; $A174, Table2[HomeTeam], W$1)</f>
        <v>34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31</v>
      </c>
      <c r="Z174" s="145">
        <f>SUMIFS(Table2[NewPointsAway],Table2[GameDate], "&lt;=" &amp; $A174, Table2[AwayTeam], Z$1)+SUMIFS(Table2[NewPointsHome],Table2[GameDate], "&lt;=" &amp; $A174, Table2[HomeTeam], Z$1)</f>
        <v>30</v>
      </c>
      <c r="AA174" s="145">
        <f>SUMIFS(Table2[NewPointsAway],Table2[GameDate], "&lt;=" &amp; $A174, Table2[AwayTeam], AA$1)+SUMIFS(Table2[NewPointsHome],Table2[GameDate], "&lt;=" &amp; $A174, Table2[HomeTeam], AA$1)</f>
        <v>34</v>
      </c>
      <c r="AB174" s="145">
        <f>SUMIFS(Table2[NewPointsAway],Table2[GameDate], "&lt;=" &amp; $A174, Table2[AwayTeam], AB$1)+SUMIFS(Table2[NewPointsHome],Table2[GameDate], "&lt;=" &amp; $A174, Table2[HomeTeam], AB$1)</f>
        <v>32</v>
      </c>
      <c r="AC174" s="145">
        <f>SUMIFS(Table2[NewPointsAway],Table2[GameDate], "&lt;=" &amp; $A174, Table2[AwayTeam], AC$1)+SUMIFS(Table2[NewPointsHome],Table2[GameDate], "&lt;=" &amp; $A174, Table2[HomeTeam], AC$1)</f>
        <v>31</v>
      </c>
      <c r="AD174" s="145">
        <f>SUMIFS(Table2[NewPointsAway],Table2[GameDate], "&lt;=" &amp; $A174, Table2[AwayTeam], AD$1)+SUMIFS(Table2[NewPointsHome],Table2[GameDate], "&lt;=" &amp; $A174, Table2[HomeTeam], AD$1)</f>
        <v>25</v>
      </c>
      <c r="AE174" s="145">
        <f>SUMIFS(Table2[NewPointsAway],Table2[GameDate], "&lt;=" &amp; $A174, Table2[AwayTeam], AE$1)+SUMIFS(Table2[NewPointsHome],Table2[GameDate], "&lt;=" &amp; $A174, Table2[HomeTeam], AE$1)</f>
        <v>36</v>
      </c>
      <c r="AF174" s="145">
        <f>SUMIFS(Table2[NewPointsAway],Table2[GameDate], "&lt;=" &amp; $A174, Table2[AwayTeam], AF$1)+SUMIFS(Table2[NewPointsHome],Table2[GameDate], "&lt;=" &amp; $A174, Table2[HomeTeam], AF$1)</f>
        <v>29</v>
      </c>
      <c r="AG174" s="145">
        <f>SUMIFS(Table2[NewPointsAway],Table2[GameDate], "&lt;=" &amp; $A174, Table2[AwayTeam], AG$1)+SUMIFS(Table2[NewPointsHome],Table2[GameDate], "&lt;=" &amp; $A174, Table2[HomeTeam], AG$1)</f>
        <v>39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37</v>
      </c>
      <c r="C175" s="145">
        <f>SUMIFS(Table2[NewPointsAway],Table2[GameDate], "&lt;=" &amp; $A175, Table2[AwayTeam], C$1)+SUMIFS(Table2[NewPointsHome],Table2[GameDate], "&lt;=" &amp; $A175, Table2[HomeTeam], C$1)</f>
        <v>34</v>
      </c>
      <c r="D175" s="145">
        <f>SUMIFS(Table2[NewPointsAway],Table2[GameDate], "&lt;=" &amp; $A175, Table2[AwayTeam], D$1)+SUMIFS(Table2[NewPointsHome],Table2[GameDate], "&lt;=" &amp; $A175, Table2[HomeTeam], D$1)</f>
        <v>26</v>
      </c>
      <c r="E175" s="145">
        <f>SUMIFS(Table2[NewPointsAway],Table2[GameDate], "&lt;=" &amp; $A175, Table2[AwayTeam], E$1)+SUMIFS(Table2[NewPointsHome],Table2[GameDate], "&lt;=" &amp; $A175, Table2[HomeTeam], E$1)</f>
        <v>36</v>
      </c>
      <c r="F175" s="145">
        <f>SUMIFS(Table2[NewPointsAway],Table2[GameDate], "&lt;=" &amp; $A175, Table2[AwayTeam], F$1)+SUMIFS(Table2[NewPointsHome],Table2[GameDate], "&lt;=" &amp; $A175, Table2[HomeTeam], F$1)</f>
        <v>32</v>
      </c>
      <c r="G175" s="145">
        <f>SUMIFS(Table2[NewPointsAway],Table2[GameDate], "&lt;=" &amp; $A175, Table2[AwayTeam], G$1)+SUMIFS(Table2[NewPointsHome],Table2[GameDate], "&lt;=" &amp; $A175, Table2[HomeTeam], G$1)</f>
        <v>28</v>
      </c>
      <c r="H175" s="145">
        <f>SUMIFS(Table2[NewPointsAway],Table2[GameDate], "&lt;=" &amp; $A175, Table2[AwayTeam], H$1)+SUMIFS(Table2[NewPointsHome],Table2[GameDate], "&lt;=" &amp; $A175, Table2[HomeTeam], H$1)</f>
        <v>30</v>
      </c>
      <c r="I175" s="145">
        <f>SUMIFS(Table2[NewPointsAway],Table2[GameDate], "&lt;=" &amp; $A175, Table2[AwayTeam], I$1)+SUMIFS(Table2[NewPointsHome],Table2[GameDate], "&lt;=" &amp; $A175, Table2[HomeTeam], I$1)</f>
        <v>48</v>
      </c>
      <c r="J175" s="145">
        <f>SUMIFS(Table2[NewPointsAway],Table2[GameDate], "&lt;=" &amp; $A175, Table2[AwayTeam], J$1)+SUMIFS(Table2[NewPointsHome],Table2[GameDate], "&lt;=" &amp; $A175, Table2[HomeTeam], J$1)</f>
        <v>45</v>
      </c>
      <c r="K175" s="145">
        <f>SUMIFS(Table2[NewPointsAway],Table2[GameDate], "&lt;=" &amp; $A175, Table2[AwayTeam], K$1)+SUMIFS(Table2[NewPointsHome],Table2[GameDate], "&lt;=" &amp; $A175, Table2[HomeTeam], K$1)</f>
        <v>35</v>
      </c>
      <c r="L175" s="145">
        <f>SUMIFS(Table2[NewPointsAway],Table2[GameDate], "&lt;=" &amp; $A175, Table2[AwayTeam], L$1)+SUMIFS(Table2[NewPointsHome],Table2[GameDate], "&lt;=" &amp; $A175, Table2[HomeTeam], L$1)</f>
        <v>31</v>
      </c>
      <c r="M175" s="145">
        <f>SUMIFS(Table2[NewPointsAway],Table2[GameDate], "&lt;=" &amp; $A175, Table2[AwayTeam], M$1)+SUMIFS(Table2[NewPointsHome],Table2[GameDate], "&lt;=" &amp; $A175, Table2[HomeTeam], M$1)</f>
        <v>30</v>
      </c>
      <c r="N175" s="145">
        <f>SUMIFS(Table2[NewPointsAway],Table2[GameDate], "&lt;=" &amp; $A175, Table2[AwayTeam], N$1)+SUMIFS(Table2[NewPointsHome],Table2[GameDate], "&lt;=" &amp; $A175, Table2[HomeTeam], N$1)</f>
        <v>35</v>
      </c>
      <c r="O175" s="145">
        <f>SUMIFS(Table2[NewPointsAway],Table2[GameDate], "&lt;=" &amp; $A175, Table2[AwayTeam], O$1)+SUMIFS(Table2[NewPointsHome],Table2[GameDate], "&lt;=" &amp; $A175, Table2[HomeTeam], O$1)</f>
        <v>37</v>
      </c>
      <c r="P175" s="145">
        <f>SUMIFS(Table2[NewPointsAway],Table2[GameDate], "&lt;=" &amp; $A175, Table2[AwayTeam], P$1)+SUMIFS(Table2[NewPointsHome],Table2[GameDate], "&lt;=" &amp; $A175, Table2[HomeTeam], P$1)</f>
        <v>33</v>
      </c>
      <c r="Q175" s="145">
        <f>SUMIFS(Table2[NewPointsAway],Table2[GameDate], "&lt;=" &amp; $A175, Table2[AwayTeam], Q$1)+SUMIFS(Table2[NewPointsHome],Table2[GameDate], "&lt;=" &amp; $A175, Table2[HomeTeam], Q$1)</f>
        <v>33</v>
      </c>
      <c r="R175" s="145">
        <f>SUMIFS(Table2[NewPointsAway],Table2[GameDate], "&lt;=" &amp; $A175, Table2[AwayTeam], R$1)+SUMIFS(Table2[NewPointsHome],Table2[GameDate], "&lt;=" &amp; $A175, Table2[HomeTeam], R$1)</f>
        <v>24</v>
      </c>
      <c r="S175" s="145">
        <f>SUMIFS(Table2[NewPointsAway],Table2[GameDate], "&lt;=" &amp; $A175, Table2[AwayTeam], S$1)+SUMIFS(Table2[NewPointsHome],Table2[GameDate], "&lt;=" &amp; $A175, Table2[HomeTeam], S$1)</f>
        <v>35</v>
      </c>
      <c r="T175" s="145">
        <f>SUMIFS(Table2[NewPointsAway],Table2[GameDate], "&lt;=" &amp; $A175, Table2[AwayTeam], T$1)+SUMIFS(Table2[NewPointsHome],Table2[GameDate], "&lt;=" &amp; $A175, Table2[HomeTeam], T$1)</f>
        <v>34</v>
      </c>
      <c r="U175" s="145">
        <f>SUMIFS(Table2[NewPointsAway],Table2[GameDate], "&lt;=" &amp; $A175, Table2[AwayTeam], U$1)+SUMIFS(Table2[NewPointsHome],Table2[GameDate], "&lt;=" &amp; $A175, Table2[HomeTeam], U$1)</f>
        <v>30</v>
      </c>
      <c r="V175" s="145">
        <f>SUMIFS(Table2[NewPointsAway],Table2[GameDate], "&lt;=" &amp; $A175, Table2[AwayTeam], V$1)+SUMIFS(Table2[NewPointsHome],Table2[GameDate], "&lt;=" &amp; $A175, Table2[HomeTeam], V$1)</f>
        <v>32</v>
      </c>
      <c r="W175" s="145">
        <f>SUMIFS(Table2[NewPointsAway],Table2[GameDate], "&lt;=" &amp; $A175, Table2[AwayTeam], W$1)+SUMIFS(Table2[NewPointsHome],Table2[GameDate], "&lt;=" &amp; $A175, Table2[HomeTeam], W$1)</f>
        <v>34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31</v>
      </c>
      <c r="Z175" s="145">
        <f>SUMIFS(Table2[NewPointsAway],Table2[GameDate], "&lt;=" &amp; $A175, Table2[AwayTeam], Z$1)+SUMIFS(Table2[NewPointsHome],Table2[GameDate], "&lt;=" &amp; $A175, Table2[HomeTeam], Z$1)</f>
        <v>30</v>
      </c>
      <c r="AA175" s="145">
        <f>SUMIFS(Table2[NewPointsAway],Table2[GameDate], "&lt;=" &amp; $A175, Table2[AwayTeam], AA$1)+SUMIFS(Table2[NewPointsHome],Table2[GameDate], "&lt;=" &amp; $A175, Table2[HomeTeam], AA$1)</f>
        <v>34</v>
      </c>
      <c r="AB175" s="145">
        <f>SUMIFS(Table2[NewPointsAway],Table2[GameDate], "&lt;=" &amp; $A175, Table2[AwayTeam], AB$1)+SUMIFS(Table2[NewPointsHome],Table2[GameDate], "&lt;=" &amp; $A175, Table2[HomeTeam], AB$1)</f>
        <v>32</v>
      </c>
      <c r="AC175" s="145">
        <f>SUMIFS(Table2[NewPointsAway],Table2[GameDate], "&lt;=" &amp; $A175, Table2[AwayTeam], AC$1)+SUMIFS(Table2[NewPointsHome],Table2[GameDate], "&lt;=" &amp; $A175, Table2[HomeTeam], AC$1)</f>
        <v>31</v>
      </c>
      <c r="AD175" s="145">
        <f>SUMIFS(Table2[NewPointsAway],Table2[GameDate], "&lt;=" &amp; $A175, Table2[AwayTeam], AD$1)+SUMIFS(Table2[NewPointsHome],Table2[GameDate], "&lt;=" &amp; $A175, Table2[HomeTeam], AD$1)</f>
        <v>25</v>
      </c>
      <c r="AE175" s="145">
        <f>SUMIFS(Table2[NewPointsAway],Table2[GameDate], "&lt;=" &amp; $A175, Table2[AwayTeam], AE$1)+SUMIFS(Table2[NewPointsHome],Table2[GameDate], "&lt;=" &amp; $A175, Table2[HomeTeam], AE$1)</f>
        <v>36</v>
      </c>
      <c r="AF175" s="145">
        <f>SUMIFS(Table2[NewPointsAway],Table2[GameDate], "&lt;=" &amp; $A175, Table2[AwayTeam], AF$1)+SUMIFS(Table2[NewPointsHome],Table2[GameDate], "&lt;=" &amp; $A175, Table2[HomeTeam], AF$1)</f>
        <v>29</v>
      </c>
      <c r="AG175" s="145">
        <f>SUMIFS(Table2[NewPointsAway],Table2[GameDate], "&lt;=" &amp; $A175, Table2[AwayTeam], AG$1)+SUMIFS(Table2[NewPointsHome],Table2[GameDate], "&lt;=" &amp; $A175, Table2[HomeTeam], AG$1)</f>
        <v>39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37</v>
      </c>
      <c r="C176" s="145">
        <f>SUMIFS(Table2[NewPointsAway],Table2[GameDate], "&lt;=" &amp; $A176, Table2[AwayTeam], C$1)+SUMIFS(Table2[NewPointsHome],Table2[GameDate], "&lt;=" &amp; $A176, Table2[HomeTeam], C$1)</f>
        <v>34</v>
      </c>
      <c r="D176" s="145">
        <f>SUMIFS(Table2[NewPointsAway],Table2[GameDate], "&lt;=" &amp; $A176, Table2[AwayTeam], D$1)+SUMIFS(Table2[NewPointsHome],Table2[GameDate], "&lt;=" &amp; $A176, Table2[HomeTeam], D$1)</f>
        <v>26</v>
      </c>
      <c r="E176" s="145">
        <f>SUMIFS(Table2[NewPointsAway],Table2[GameDate], "&lt;=" &amp; $A176, Table2[AwayTeam], E$1)+SUMIFS(Table2[NewPointsHome],Table2[GameDate], "&lt;=" &amp; $A176, Table2[HomeTeam], E$1)</f>
        <v>36</v>
      </c>
      <c r="F176" s="145">
        <f>SUMIFS(Table2[NewPointsAway],Table2[GameDate], "&lt;=" &amp; $A176, Table2[AwayTeam], F$1)+SUMIFS(Table2[NewPointsHome],Table2[GameDate], "&lt;=" &amp; $A176, Table2[HomeTeam], F$1)</f>
        <v>32</v>
      </c>
      <c r="G176" s="145">
        <f>SUMIFS(Table2[NewPointsAway],Table2[GameDate], "&lt;=" &amp; $A176, Table2[AwayTeam], G$1)+SUMIFS(Table2[NewPointsHome],Table2[GameDate], "&lt;=" &amp; $A176, Table2[HomeTeam], G$1)</f>
        <v>28</v>
      </c>
      <c r="H176" s="145">
        <f>SUMIFS(Table2[NewPointsAway],Table2[GameDate], "&lt;=" &amp; $A176, Table2[AwayTeam], H$1)+SUMIFS(Table2[NewPointsHome],Table2[GameDate], "&lt;=" &amp; $A176, Table2[HomeTeam], H$1)</f>
        <v>30</v>
      </c>
      <c r="I176" s="145">
        <f>SUMIFS(Table2[NewPointsAway],Table2[GameDate], "&lt;=" &amp; $A176, Table2[AwayTeam], I$1)+SUMIFS(Table2[NewPointsHome],Table2[GameDate], "&lt;=" &amp; $A176, Table2[HomeTeam], I$1)</f>
        <v>48</v>
      </c>
      <c r="J176" s="145">
        <f>SUMIFS(Table2[NewPointsAway],Table2[GameDate], "&lt;=" &amp; $A176, Table2[AwayTeam], J$1)+SUMIFS(Table2[NewPointsHome],Table2[GameDate], "&lt;=" &amp; $A176, Table2[HomeTeam], J$1)</f>
        <v>45</v>
      </c>
      <c r="K176" s="145">
        <f>SUMIFS(Table2[NewPointsAway],Table2[GameDate], "&lt;=" &amp; $A176, Table2[AwayTeam], K$1)+SUMIFS(Table2[NewPointsHome],Table2[GameDate], "&lt;=" &amp; $A176, Table2[HomeTeam], K$1)</f>
        <v>35</v>
      </c>
      <c r="L176" s="145">
        <f>SUMIFS(Table2[NewPointsAway],Table2[GameDate], "&lt;=" &amp; $A176, Table2[AwayTeam], L$1)+SUMIFS(Table2[NewPointsHome],Table2[GameDate], "&lt;=" &amp; $A176, Table2[HomeTeam], L$1)</f>
        <v>31</v>
      </c>
      <c r="M176" s="145">
        <f>SUMIFS(Table2[NewPointsAway],Table2[GameDate], "&lt;=" &amp; $A176, Table2[AwayTeam], M$1)+SUMIFS(Table2[NewPointsHome],Table2[GameDate], "&lt;=" &amp; $A176, Table2[HomeTeam], M$1)</f>
        <v>30</v>
      </c>
      <c r="N176" s="145">
        <f>SUMIFS(Table2[NewPointsAway],Table2[GameDate], "&lt;=" &amp; $A176, Table2[AwayTeam], N$1)+SUMIFS(Table2[NewPointsHome],Table2[GameDate], "&lt;=" &amp; $A176, Table2[HomeTeam], N$1)</f>
        <v>35</v>
      </c>
      <c r="O176" s="145">
        <f>SUMIFS(Table2[NewPointsAway],Table2[GameDate], "&lt;=" &amp; $A176, Table2[AwayTeam], O$1)+SUMIFS(Table2[NewPointsHome],Table2[GameDate], "&lt;=" &amp; $A176, Table2[HomeTeam], O$1)</f>
        <v>37</v>
      </c>
      <c r="P176" s="145">
        <f>SUMIFS(Table2[NewPointsAway],Table2[GameDate], "&lt;=" &amp; $A176, Table2[AwayTeam], P$1)+SUMIFS(Table2[NewPointsHome],Table2[GameDate], "&lt;=" &amp; $A176, Table2[HomeTeam], P$1)</f>
        <v>33</v>
      </c>
      <c r="Q176" s="145">
        <f>SUMIFS(Table2[NewPointsAway],Table2[GameDate], "&lt;=" &amp; $A176, Table2[AwayTeam], Q$1)+SUMIFS(Table2[NewPointsHome],Table2[GameDate], "&lt;=" &amp; $A176, Table2[HomeTeam], Q$1)</f>
        <v>33</v>
      </c>
      <c r="R176" s="145">
        <f>SUMIFS(Table2[NewPointsAway],Table2[GameDate], "&lt;=" &amp; $A176, Table2[AwayTeam], R$1)+SUMIFS(Table2[NewPointsHome],Table2[GameDate], "&lt;=" &amp; $A176, Table2[HomeTeam], R$1)</f>
        <v>24</v>
      </c>
      <c r="S176" s="145">
        <f>SUMIFS(Table2[NewPointsAway],Table2[GameDate], "&lt;=" &amp; $A176, Table2[AwayTeam], S$1)+SUMIFS(Table2[NewPointsHome],Table2[GameDate], "&lt;=" &amp; $A176, Table2[HomeTeam], S$1)</f>
        <v>35</v>
      </c>
      <c r="T176" s="145">
        <f>SUMIFS(Table2[NewPointsAway],Table2[GameDate], "&lt;=" &amp; $A176, Table2[AwayTeam], T$1)+SUMIFS(Table2[NewPointsHome],Table2[GameDate], "&lt;=" &amp; $A176, Table2[HomeTeam], T$1)</f>
        <v>34</v>
      </c>
      <c r="U176" s="145">
        <f>SUMIFS(Table2[NewPointsAway],Table2[GameDate], "&lt;=" &amp; $A176, Table2[AwayTeam], U$1)+SUMIFS(Table2[NewPointsHome],Table2[GameDate], "&lt;=" &amp; $A176, Table2[HomeTeam], U$1)</f>
        <v>30</v>
      </c>
      <c r="V176" s="145">
        <f>SUMIFS(Table2[NewPointsAway],Table2[GameDate], "&lt;=" &amp; $A176, Table2[AwayTeam], V$1)+SUMIFS(Table2[NewPointsHome],Table2[GameDate], "&lt;=" &amp; $A176, Table2[HomeTeam], V$1)</f>
        <v>32</v>
      </c>
      <c r="W176" s="145">
        <f>SUMIFS(Table2[NewPointsAway],Table2[GameDate], "&lt;=" &amp; $A176, Table2[AwayTeam], W$1)+SUMIFS(Table2[NewPointsHome],Table2[GameDate], "&lt;=" &amp; $A176, Table2[HomeTeam], W$1)</f>
        <v>34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31</v>
      </c>
      <c r="Z176" s="145">
        <f>SUMIFS(Table2[NewPointsAway],Table2[GameDate], "&lt;=" &amp; $A176, Table2[AwayTeam], Z$1)+SUMIFS(Table2[NewPointsHome],Table2[GameDate], "&lt;=" &amp; $A176, Table2[HomeTeam], Z$1)</f>
        <v>30</v>
      </c>
      <c r="AA176" s="145">
        <f>SUMIFS(Table2[NewPointsAway],Table2[GameDate], "&lt;=" &amp; $A176, Table2[AwayTeam], AA$1)+SUMIFS(Table2[NewPointsHome],Table2[GameDate], "&lt;=" &amp; $A176, Table2[HomeTeam], AA$1)</f>
        <v>34</v>
      </c>
      <c r="AB176" s="145">
        <f>SUMIFS(Table2[NewPointsAway],Table2[GameDate], "&lt;=" &amp; $A176, Table2[AwayTeam], AB$1)+SUMIFS(Table2[NewPointsHome],Table2[GameDate], "&lt;=" &amp; $A176, Table2[HomeTeam], AB$1)</f>
        <v>32</v>
      </c>
      <c r="AC176" s="145">
        <f>SUMIFS(Table2[NewPointsAway],Table2[GameDate], "&lt;=" &amp; $A176, Table2[AwayTeam], AC$1)+SUMIFS(Table2[NewPointsHome],Table2[GameDate], "&lt;=" &amp; $A176, Table2[HomeTeam], AC$1)</f>
        <v>31</v>
      </c>
      <c r="AD176" s="145">
        <f>SUMIFS(Table2[NewPointsAway],Table2[GameDate], "&lt;=" &amp; $A176, Table2[AwayTeam], AD$1)+SUMIFS(Table2[NewPointsHome],Table2[GameDate], "&lt;=" &amp; $A176, Table2[HomeTeam], AD$1)</f>
        <v>25</v>
      </c>
      <c r="AE176" s="145">
        <f>SUMIFS(Table2[NewPointsAway],Table2[GameDate], "&lt;=" &amp; $A176, Table2[AwayTeam], AE$1)+SUMIFS(Table2[NewPointsHome],Table2[GameDate], "&lt;=" &amp; $A176, Table2[HomeTeam], AE$1)</f>
        <v>36</v>
      </c>
      <c r="AF176" s="145">
        <f>SUMIFS(Table2[NewPointsAway],Table2[GameDate], "&lt;=" &amp; $A176, Table2[AwayTeam], AF$1)+SUMIFS(Table2[NewPointsHome],Table2[GameDate], "&lt;=" &amp; $A176, Table2[HomeTeam], AF$1)</f>
        <v>29</v>
      </c>
      <c r="AG176" s="145">
        <f>SUMIFS(Table2[NewPointsAway],Table2[GameDate], "&lt;=" &amp; $A176, Table2[AwayTeam], AG$1)+SUMIFS(Table2[NewPointsHome],Table2[GameDate], "&lt;=" &amp; $A176, Table2[HomeTeam], AG$1)</f>
        <v>39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37</v>
      </c>
      <c r="C177" s="145">
        <f>SUMIFS(Table2[NewPointsAway],Table2[GameDate], "&lt;=" &amp; $A177, Table2[AwayTeam], C$1)+SUMIFS(Table2[NewPointsHome],Table2[GameDate], "&lt;=" &amp; $A177, Table2[HomeTeam], C$1)</f>
        <v>34</v>
      </c>
      <c r="D177" s="145">
        <f>SUMIFS(Table2[NewPointsAway],Table2[GameDate], "&lt;=" &amp; $A177, Table2[AwayTeam], D$1)+SUMIFS(Table2[NewPointsHome],Table2[GameDate], "&lt;=" &amp; $A177, Table2[HomeTeam], D$1)</f>
        <v>26</v>
      </c>
      <c r="E177" s="145">
        <f>SUMIFS(Table2[NewPointsAway],Table2[GameDate], "&lt;=" &amp; $A177, Table2[AwayTeam], E$1)+SUMIFS(Table2[NewPointsHome],Table2[GameDate], "&lt;=" &amp; $A177, Table2[HomeTeam], E$1)</f>
        <v>36</v>
      </c>
      <c r="F177" s="145">
        <f>SUMIFS(Table2[NewPointsAway],Table2[GameDate], "&lt;=" &amp; $A177, Table2[AwayTeam], F$1)+SUMIFS(Table2[NewPointsHome],Table2[GameDate], "&lt;=" &amp; $A177, Table2[HomeTeam], F$1)</f>
        <v>32</v>
      </c>
      <c r="G177" s="145">
        <f>SUMIFS(Table2[NewPointsAway],Table2[GameDate], "&lt;=" &amp; $A177, Table2[AwayTeam], G$1)+SUMIFS(Table2[NewPointsHome],Table2[GameDate], "&lt;=" &amp; $A177, Table2[HomeTeam], G$1)</f>
        <v>28</v>
      </c>
      <c r="H177" s="145">
        <f>SUMIFS(Table2[NewPointsAway],Table2[GameDate], "&lt;=" &amp; $A177, Table2[AwayTeam], H$1)+SUMIFS(Table2[NewPointsHome],Table2[GameDate], "&lt;=" &amp; $A177, Table2[HomeTeam], H$1)</f>
        <v>30</v>
      </c>
      <c r="I177" s="145">
        <f>SUMIFS(Table2[NewPointsAway],Table2[GameDate], "&lt;=" &amp; $A177, Table2[AwayTeam], I$1)+SUMIFS(Table2[NewPointsHome],Table2[GameDate], "&lt;=" &amp; $A177, Table2[HomeTeam], I$1)</f>
        <v>48</v>
      </c>
      <c r="J177" s="145">
        <f>SUMIFS(Table2[NewPointsAway],Table2[GameDate], "&lt;=" &amp; $A177, Table2[AwayTeam], J$1)+SUMIFS(Table2[NewPointsHome],Table2[GameDate], "&lt;=" &amp; $A177, Table2[HomeTeam], J$1)</f>
        <v>45</v>
      </c>
      <c r="K177" s="145">
        <f>SUMIFS(Table2[NewPointsAway],Table2[GameDate], "&lt;=" &amp; $A177, Table2[AwayTeam], K$1)+SUMIFS(Table2[NewPointsHome],Table2[GameDate], "&lt;=" &amp; $A177, Table2[HomeTeam], K$1)</f>
        <v>35</v>
      </c>
      <c r="L177" s="145">
        <f>SUMIFS(Table2[NewPointsAway],Table2[GameDate], "&lt;=" &amp; $A177, Table2[AwayTeam], L$1)+SUMIFS(Table2[NewPointsHome],Table2[GameDate], "&lt;=" &amp; $A177, Table2[HomeTeam], L$1)</f>
        <v>31</v>
      </c>
      <c r="M177" s="145">
        <f>SUMIFS(Table2[NewPointsAway],Table2[GameDate], "&lt;=" &amp; $A177, Table2[AwayTeam], M$1)+SUMIFS(Table2[NewPointsHome],Table2[GameDate], "&lt;=" &amp; $A177, Table2[HomeTeam], M$1)</f>
        <v>30</v>
      </c>
      <c r="N177" s="145">
        <f>SUMIFS(Table2[NewPointsAway],Table2[GameDate], "&lt;=" &amp; $A177, Table2[AwayTeam], N$1)+SUMIFS(Table2[NewPointsHome],Table2[GameDate], "&lt;=" &amp; $A177, Table2[HomeTeam], N$1)</f>
        <v>35</v>
      </c>
      <c r="O177" s="145">
        <f>SUMIFS(Table2[NewPointsAway],Table2[GameDate], "&lt;=" &amp; $A177, Table2[AwayTeam], O$1)+SUMIFS(Table2[NewPointsHome],Table2[GameDate], "&lt;=" &amp; $A177, Table2[HomeTeam], O$1)</f>
        <v>37</v>
      </c>
      <c r="P177" s="145">
        <f>SUMIFS(Table2[NewPointsAway],Table2[GameDate], "&lt;=" &amp; $A177, Table2[AwayTeam], P$1)+SUMIFS(Table2[NewPointsHome],Table2[GameDate], "&lt;=" &amp; $A177, Table2[HomeTeam], P$1)</f>
        <v>33</v>
      </c>
      <c r="Q177" s="145">
        <f>SUMIFS(Table2[NewPointsAway],Table2[GameDate], "&lt;=" &amp; $A177, Table2[AwayTeam], Q$1)+SUMIFS(Table2[NewPointsHome],Table2[GameDate], "&lt;=" &amp; $A177, Table2[HomeTeam], Q$1)</f>
        <v>33</v>
      </c>
      <c r="R177" s="145">
        <f>SUMIFS(Table2[NewPointsAway],Table2[GameDate], "&lt;=" &amp; $A177, Table2[AwayTeam], R$1)+SUMIFS(Table2[NewPointsHome],Table2[GameDate], "&lt;=" &amp; $A177, Table2[HomeTeam], R$1)</f>
        <v>24</v>
      </c>
      <c r="S177" s="145">
        <f>SUMIFS(Table2[NewPointsAway],Table2[GameDate], "&lt;=" &amp; $A177, Table2[AwayTeam], S$1)+SUMIFS(Table2[NewPointsHome],Table2[GameDate], "&lt;=" &amp; $A177, Table2[HomeTeam], S$1)</f>
        <v>35</v>
      </c>
      <c r="T177" s="145">
        <f>SUMIFS(Table2[NewPointsAway],Table2[GameDate], "&lt;=" &amp; $A177, Table2[AwayTeam], T$1)+SUMIFS(Table2[NewPointsHome],Table2[GameDate], "&lt;=" &amp; $A177, Table2[HomeTeam], T$1)</f>
        <v>34</v>
      </c>
      <c r="U177" s="145">
        <f>SUMIFS(Table2[NewPointsAway],Table2[GameDate], "&lt;=" &amp; $A177, Table2[AwayTeam], U$1)+SUMIFS(Table2[NewPointsHome],Table2[GameDate], "&lt;=" &amp; $A177, Table2[HomeTeam], U$1)</f>
        <v>30</v>
      </c>
      <c r="V177" s="145">
        <f>SUMIFS(Table2[NewPointsAway],Table2[GameDate], "&lt;=" &amp; $A177, Table2[AwayTeam], V$1)+SUMIFS(Table2[NewPointsHome],Table2[GameDate], "&lt;=" &amp; $A177, Table2[HomeTeam], V$1)</f>
        <v>32</v>
      </c>
      <c r="W177" s="145">
        <f>SUMIFS(Table2[NewPointsAway],Table2[GameDate], "&lt;=" &amp; $A177, Table2[AwayTeam], W$1)+SUMIFS(Table2[NewPointsHome],Table2[GameDate], "&lt;=" &amp; $A177, Table2[HomeTeam], W$1)</f>
        <v>34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31</v>
      </c>
      <c r="Z177" s="145">
        <f>SUMIFS(Table2[NewPointsAway],Table2[GameDate], "&lt;=" &amp; $A177, Table2[AwayTeam], Z$1)+SUMIFS(Table2[NewPointsHome],Table2[GameDate], "&lt;=" &amp; $A177, Table2[HomeTeam], Z$1)</f>
        <v>30</v>
      </c>
      <c r="AA177" s="145">
        <f>SUMIFS(Table2[NewPointsAway],Table2[GameDate], "&lt;=" &amp; $A177, Table2[AwayTeam], AA$1)+SUMIFS(Table2[NewPointsHome],Table2[GameDate], "&lt;=" &amp; $A177, Table2[HomeTeam], AA$1)</f>
        <v>34</v>
      </c>
      <c r="AB177" s="145">
        <f>SUMIFS(Table2[NewPointsAway],Table2[GameDate], "&lt;=" &amp; $A177, Table2[AwayTeam], AB$1)+SUMIFS(Table2[NewPointsHome],Table2[GameDate], "&lt;=" &amp; $A177, Table2[HomeTeam], AB$1)</f>
        <v>32</v>
      </c>
      <c r="AC177" s="145">
        <f>SUMIFS(Table2[NewPointsAway],Table2[GameDate], "&lt;=" &amp; $A177, Table2[AwayTeam], AC$1)+SUMIFS(Table2[NewPointsHome],Table2[GameDate], "&lt;=" &amp; $A177, Table2[HomeTeam], AC$1)</f>
        <v>31</v>
      </c>
      <c r="AD177" s="145">
        <f>SUMIFS(Table2[NewPointsAway],Table2[GameDate], "&lt;=" &amp; $A177, Table2[AwayTeam], AD$1)+SUMIFS(Table2[NewPointsHome],Table2[GameDate], "&lt;=" &amp; $A177, Table2[HomeTeam], AD$1)</f>
        <v>25</v>
      </c>
      <c r="AE177" s="145">
        <f>SUMIFS(Table2[NewPointsAway],Table2[GameDate], "&lt;=" &amp; $A177, Table2[AwayTeam], AE$1)+SUMIFS(Table2[NewPointsHome],Table2[GameDate], "&lt;=" &amp; $A177, Table2[HomeTeam], AE$1)</f>
        <v>36</v>
      </c>
      <c r="AF177" s="145">
        <f>SUMIFS(Table2[NewPointsAway],Table2[GameDate], "&lt;=" &amp; $A177, Table2[AwayTeam], AF$1)+SUMIFS(Table2[NewPointsHome],Table2[GameDate], "&lt;=" &amp; $A177, Table2[HomeTeam], AF$1)</f>
        <v>29</v>
      </c>
      <c r="AG177" s="145">
        <f>SUMIFS(Table2[NewPointsAway],Table2[GameDate], "&lt;=" &amp; $A177, Table2[AwayTeam], AG$1)+SUMIFS(Table2[NewPointsHome],Table2[GameDate], "&lt;=" &amp; $A177, Table2[HomeTeam], AG$1)</f>
        <v>39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37</v>
      </c>
      <c r="C178" s="145">
        <f>SUMIFS(Table2[NewPointsAway],Table2[GameDate], "&lt;=" &amp; $A178, Table2[AwayTeam], C$1)+SUMIFS(Table2[NewPointsHome],Table2[GameDate], "&lt;=" &amp; $A178, Table2[HomeTeam], C$1)</f>
        <v>34</v>
      </c>
      <c r="D178" s="145">
        <f>SUMIFS(Table2[NewPointsAway],Table2[GameDate], "&lt;=" &amp; $A178, Table2[AwayTeam], D$1)+SUMIFS(Table2[NewPointsHome],Table2[GameDate], "&lt;=" &amp; $A178, Table2[HomeTeam], D$1)</f>
        <v>26</v>
      </c>
      <c r="E178" s="145">
        <f>SUMIFS(Table2[NewPointsAway],Table2[GameDate], "&lt;=" &amp; $A178, Table2[AwayTeam], E$1)+SUMIFS(Table2[NewPointsHome],Table2[GameDate], "&lt;=" &amp; $A178, Table2[HomeTeam], E$1)</f>
        <v>36</v>
      </c>
      <c r="F178" s="145">
        <f>SUMIFS(Table2[NewPointsAway],Table2[GameDate], "&lt;=" &amp; $A178, Table2[AwayTeam], F$1)+SUMIFS(Table2[NewPointsHome],Table2[GameDate], "&lt;=" &amp; $A178, Table2[HomeTeam], F$1)</f>
        <v>32</v>
      </c>
      <c r="G178" s="145">
        <f>SUMIFS(Table2[NewPointsAway],Table2[GameDate], "&lt;=" &amp; $A178, Table2[AwayTeam], G$1)+SUMIFS(Table2[NewPointsHome],Table2[GameDate], "&lt;=" &amp; $A178, Table2[HomeTeam], G$1)</f>
        <v>28</v>
      </c>
      <c r="H178" s="145">
        <f>SUMIFS(Table2[NewPointsAway],Table2[GameDate], "&lt;=" &amp; $A178, Table2[AwayTeam], H$1)+SUMIFS(Table2[NewPointsHome],Table2[GameDate], "&lt;=" &amp; $A178, Table2[HomeTeam], H$1)</f>
        <v>30</v>
      </c>
      <c r="I178" s="145">
        <f>SUMIFS(Table2[NewPointsAway],Table2[GameDate], "&lt;=" &amp; $A178, Table2[AwayTeam], I$1)+SUMIFS(Table2[NewPointsHome],Table2[GameDate], "&lt;=" &amp; $A178, Table2[HomeTeam], I$1)</f>
        <v>48</v>
      </c>
      <c r="J178" s="145">
        <f>SUMIFS(Table2[NewPointsAway],Table2[GameDate], "&lt;=" &amp; $A178, Table2[AwayTeam], J$1)+SUMIFS(Table2[NewPointsHome],Table2[GameDate], "&lt;=" &amp; $A178, Table2[HomeTeam], J$1)</f>
        <v>45</v>
      </c>
      <c r="K178" s="145">
        <f>SUMIFS(Table2[NewPointsAway],Table2[GameDate], "&lt;=" &amp; $A178, Table2[AwayTeam], K$1)+SUMIFS(Table2[NewPointsHome],Table2[GameDate], "&lt;=" &amp; $A178, Table2[HomeTeam], K$1)</f>
        <v>35</v>
      </c>
      <c r="L178" s="145">
        <f>SUMIFS(Table2[NewPointsAway],Table2[GameDate], "&lt;=" &amp; $A178, Table2[AwayTeam], L$1)+SUMIFS(Table2[NewPointsHome],Table2[GameDate], "&lt;=" &amp; $A178, Table2[HomeTeam], L$1)</f>
        <v>31</v>
      </c>
      <c r="M178" s="145">
        <f>SUMIFS(Table2[NewPointsAway],Table2[GameDate], "&lt;=" &amp; $A178, Table2[AwayTeam], M$1)+SUMIFS(Table2[NewPointsHome],Table2[GameDate], "&lt;=" &amp; $A178, Table2[HomeTeam], M$1)</f>
        <v>30</v>
      </c>
      <c r="N178" s="145">
        <f>SUMIFS(Table2[NewPointsAway],Table2[GameDate], "&lt;=" &amp; $A178, Table2[AwayTeam], N$1)+SUMIFS(Table2[NewPointsHome],Table2[GameDate], "&lt;=" &amp; $A178, Table2[HomeTeam], N$1)</f>
        <v>35</v>
      </c>
      <c r="O178" s="145">
        <f>SUMIFS(Table2[NewPointsAway],Table2[GameDate], "&lt;=" &amp; $A178, Table2[AwayTeam], O$1)+SUMIFS(Table2[NewPointsHome],Table2[GameDate], "&lt;=" &amp; $A178, Table2[HomeTeam], O$1)</f>
        <v>37</v>
      </c>
      <c r="P178" s="145">
        <f>SUMIFS(Table2[NewPointsAway],Table2[GameDate], "&lt;=" &amp; $A178, Table2[AwayTeam], P$1)+SUMIFS(Table2[NewPointsHome],Table2[GameDate], "&lt;=" &amp; $A178, Table2[HomeTeam], P$1)</f>
        <v>33</v>
      </c>
      <c r="Q178" s="145">
        <f>SUMIFS(Table2[NewPointsAway],Table2[GameDate], "&lt;=" &amp; $A178, Table2[AwayTeam], Q$1)+SUMIFS(Table2[NewPointsHome],Table2[GameDate], "&lt;=" &amp; $A178, Table2[HomeTeam], Q$1)</f>
        <v>33</v>
      </c>
      <c r="R178" s="145">
        <f>SUMIFS(Table2[NewPointsAway],Table2[GameDate], "&lt;=" &amp; $A178, Table2[AwayTeam], R$1)+SUMIFS(Table2[NewPointsHome],Table2[GameDate], "&lt;=" &amp; $A178, Table2[HomeTeam], R$1)</f>
        <v>24</v>
      </c>
      <c r="S178" s="145">
        <f>SUMIFS(Table2[NewPointsAway],Table2[GameDate], "&lt;=" &amp; $A178, Table2[AwayTeam], S$1)+SUMIFS(Table2[NewPointsHome],Table2[GameDate], "&lt;=" &amp; $A178, Table2[HomeTeam], S$1)</f>
        <v>35</v>
      </c>
      <c r="T178" s="145">
        <f>SUMIFS(Table2[NewPointsAway],Table2[GameDate], "&lt;=" &amp; $A178, Table2[AwayTeam], T$1)+SUMIFS(Table2[NewPointsHome],Table2[GameDate], "&lt;=" &amp; $A178, Table2[HomeTeam], T$1)</f>
        <v>34</v>
      </c>
      <c r="U178" s="145">
        <f>SUMIFS(Table2[NewPointsAway],Table2[GameDate], "&lt;=" &amp; $A178, Table2[AwayTeam], U$1)+SUMIFS(Table2[NewPointsHome],Table2[GameDate], "&lt;=" &amp; $A178, Table2[HomeTeam], U$1)</f>
        <v>30</v>
      </c>
      <c r="V178" s="145">
        <f>SUMIFS(Table2[NewPointsAway],Table2[GameDate], "&lt;=" &amp; $A178, Table2[AwayTeam], V$1)+SUMIFS(Table2[NewPointsHome],Table2[GameDate], "&lt;=" &amp; $A178, Table2[HomeTeam], V$1)</f>
        <v>32</v>
      </c>
      <c r="W178" s="145">
        <f>SUMIFS(Table2[NewPointsAway],Table2[GameDate], "&lt;=" &amp; $A178, Table2[AwayTeam], W$1)+SUMIFS(Table2[NewPointsHome],Table2[GameDate], "&lt;=" &amp; $A178, Table2[HomeTeam], W$1)</f>
        <v>34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31</v>
      </c>
      <c r="Z178" s="145">
        <f>SUMIFS(Table2[NewPointsAway],Table2[GameDate], "&lt;=" &amp; $A178, Table2[AwayTeam], Z$1)+SUMIFS(Table2[NewPointsHome],Table2[GameDate], "&lt;=" &amp; $A178, Table2[HomeTeam], Z$1)</f>
        <v>30</v>
      </c>
      <c r="AA178" s="145">
        <f>SUMIFS(Table2[NewPointsAway],Table2[GameDate], "&lt;=" &amp; $A178, Table2[AwayTeam], AA$1)+SUMIFS(Table2[NewPointsHome],Table2[GameDate], "&lt;=" &amp; $A178, Table2[HomeTeam], AA$1)</f>
        <v>34</v>
      </c>
      <c r="AB178" s="145">
        <f>SUMIFS(Table2[NewPointsAway],Table2[GameDate], "&lt;=" &amp; $A178, Table2[AwayTeam], AB$1)+SUMIFS(Table2[NewPointsHome],Table2[GameDate], "&lt;=" &amp; $A178, Table2[HomeTeam], AB$1)</f>
        <v>32</v>
      </c>
      <c r="AC178" s="145">
        <f>SUMIFS(Table2[NewPointsAway],Table2[GameDate], "&lt;=" &amp; $A178, Table2[AwayTeam], AC$1)+SUMIFS(Table2[NewPointsHome],Table2[GameDate], "&lt;=" &amp; $A178, Table2[HomeTeam], AC$1)</f>
        <v>31</v>
      </c>
      <c r="AD178" s="145">
        <f>SUMIFS(Table2[NewPointsAway],Table2[GameDate], "&lt;=" &amp; $A178, Table2[AwayTeam], AD$1)+SUMIFS(Table2[NewPointsHome],Table2[GameDate], "&lt;=" &amp; $A178, Table2[HomeTeam], AD$1)</f>
        <v>25</v>
      </c>
      <c r="AE178" s="145">
        <f>SUMIFS(Table2[NewPointsAway],Table2[GameDate], "&lt;=" &amp; $A178, Table2[AwayTeam], AE$1)+SUMIFS(Table2[NewPointsHome],Table2[GameDate], "&lt;=" &amp; $A178, Table2[HomeTeam], AE$1)</f>
        <v>36</v>
      </c>
      <c r="AF178" s="145">
        <f>SUMIFS(Table2[NewPointsAway],Table2[GameDate], "&lt;=" &amp; $A178, Table2[AwayTeam], AF$1)+SUMIFS(Table2[NewPointsHome],Table2[GameDate], "&lt;=" &amp; $A178, Table2[HomeTeam], AF$1)</f>
        <v>29</v>
      </c>
      <c r="AG178" s="145">
        <f>SUMIFS(Table2[NewPointsAway],Table2[GameDate], "&lt;=" &amp; $A178, Table2[AwayTeam], AG$1)+SUMIFS(Table2[NewPointsHome],Table2[GameDate], "&lt;=" &amp; $A178, Table2[HomeTeam], AG$1)</f>
        <v>39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37</v>
      </c>
      <c r="C179" s="145">
        <f>SUMIFS(Table2[NewPointsAway],Table2[GameDate], "&lt;=" &amp; $A179, Table2[AwayTeam], C$1)+SUMIFS(Table2[NewPointsHome],Table2[GameDate], "&lt;=" &amp; $A179, Table2[HomeTeam], C$1)</f>
        <v>34</v>
      </c>
      <c r="D179" s="145">
        <f>SUMIFS(Table2[NewPointsAway],Table2[GameDate], "&lt;=" &amp; $A179, Table2[AwayTeam], D$1)+SUMIFS(Table2[NewPointsHome],Table2[GameDate], "&lt;=" &amp; $A179, Table2[HomeTeam], D$1)</f>
        <v>26</v>
      </c>
      <c r="E179" s="145">
        <f>SUMIFS(Table2[NewPointsAway],Table2[GameDate], "&lt;=" &amp; $A179, Table2[AwayTeam], E$1)+SUMIFS(Table2[NewPointsHome],Table2[GameDate], "&lt;=" &amp; $A179, Table2[HomeTeam], E$1)</f>
        <v>36</v>
      </c>
      <c r="F179" s="145">
        <f>SUMIFS(Table2[NewPointsAway],Table2[GameDate], "&lt;=" &amp; $A179, Table2[AwayTeam], F$1)+SUMIFS(Table2[NewPointsHome],Table2[GameDate], "&lt;=" &amp; $A179, Table2[HomeTeam], F$1)</f>
        <v>32</v>
      </c>
      <c r="G179" s="145">
        <f>SUMIFS(Table2[NewPointsAway],Table2[GameDate], "&lt;=" &amp; $A179, Table2[AwayTeam], G$1)+SUMIFS(Table2[NewPointsHome],Table2[GameDate], "&lt;=" &amp; $A179, Table2[HomeTeam], G$1)</f>
        <v>28</v>
      </c>
      <c r="H179" s="145">
        <f>SUMIFS(Table2[NewPointsAway],Table2[GameDate], "&lt;=" &amp; $A179, Table2[AwayTeam], H$1)+SUMIFS(Table2[NewPointsHome],Table2[GameDate], "&lt;=" &amp; $A179, Table2[HomeTeam], H$1)</f>
        <v>30</v>
      </c>
      <c r="I179" s="145">
        <f>SUMIFS(Table2[NewPointsAway],Table2[GameDate], "&lt;=" &amp; $A179, Table2[AwayTeam], I$1)+SUMIFS(Table2[NewPointsHome],Table2[GameDate], "&lt;=" &amp; $A179, Table2[HomeTeam], I$1)</f>
        <v>48</v>
      </c>
      <c r="J179" s="145">
        <f>SUMIFS(Table2[NewPointsAway],Table2[GameDate], "&lt;=" &amp; $A179, Table2[AwayTeam], J$1)+SUMIFS(Table2[NewPointsHome],Table2[GameDate], "&lt;=" &amp; $A179, Table2[HomeTeam], J$1)</f>
        <v>45</v>
      </c>
      <c r="K179" s="145">
        <f>SUMIFS(Table2[NewPointsAway],Table2[GameDate], "&lt;=" &amp; $A179, Table2[AwayTeam], K$1)+SUMIFS(Table2[NewPointsHome],Table2[GameDate], "&lt;=" &amp; $A179, Table2[HomeTeam], K$1)</f>
        <v>35</v>
      </c>
      <c r="L179" s="145">
        <f>SUMIFS(Table2[NewPointsAway],Table2[GameDate], "&lt;=" &amp; $A179, Table2[AwayTeam], L$1)+SUMIFS(Table2[NewPointsHome],Table2[GameDate], "&lt;=" &amp; $A179, Table2[HomeTeam], L$1)</f>
        <v>31</v>
      </c>
      <c r="M179" s="145">
        <f>SUMIFS(Table2[NewPointsAway],Table2[GameDate], "&lt;=" &amp; $A179, Table2[AwayTeam], M$1)+SUMIFS(Table2[NewPointsHome],Table2[GameDate], "&lt;=" &amp; $A179, Table2[HomeTeam], M$1)</f>
        <v>30</v>
      </c>
      <c r="N179" s="145">
        <f>SUMIFS(Table2[NewPointsAway],Table2[GameDate], "&lt;=" &amp; $A179, Table2[AwayTeam], N$1)+SUMIFS(Table2[NewPointsHome],Table2[GameDate], "&lt;=" &amp; $A179, Table2[HomeTeam], N$1)</f>
        <v>35</v>
      </c>
      <c r="O179" s="145">
        <f>SUMIFS(Table2[NewPointsAway],Table2[GameDate], "&lt;=" &amp; $A179, Table2[AwayTeam], O$1)+SUMIFS(Table2[NewPointsHome],Table2[GameDate], "&lt;=" &amp; $A179, Table2[HomeTeam], O$1)</f>
        <v>37</v>
      </c>
      <c r="P179" s="145">
        <f>SUMIFS(Table2[NewPointsAway],Table2[GameDate], "&lt;=" &amp; $A179, Table2[AwayTeam], P$1)+SUMIFS(Table2[NewPointsHome],Table2[GameDate], "&lt;=" &amp; $A179, Table2[HomeTeam], P$1)</f>
        <v>33</v>
      </c>
      <c r="Q179" s="145">
        <f>SUMIFS(Table2[NewPointsAway],Table2[GameDate], "&lt;=" &amp; $A179, Table2[AwayTeam], Q$1)+SUMIFS(Table2[NewPointsHome],Table2[GameDate], "&lt;=" &amp; $A179, Table2[HomeTeam], Q$1)</f>
        <v>33</v>
      </c>
      <c r="R179" s="145">
        <f>SUMIFS(Table2[NewPointsAway],Table2[GameDate], "&lt;=" &amp; $A179, Table2[AwayTeam], R$1)+SUMIFS(Table2[NewPointsHome],Table2[GameDate], "&lt;=" &amp; $A179, Table2[HomeTeam], R$1)</f>
        <v>24</v>
      </c>
      <c r="S179" s="145">
        <f>SUMIFS(Table2[NewPointsAway],Table2[GameDate], "&lt;=" &amp; $A179, Table2[AwayTeam], S$1)+SUMIFS(Table2[NewPointsHome],Table2[GameDate], "&lt;=" &amp; $A179, Table2[HomeTeam], S$1)</f>
        <v>35</v>
      </c>
      <c r="T179" s="145">
        <f>SUMIFS(Table2[NewPointsAway],Table2[GameDate], "&lt;=" &amp; $A179, Table2[AwayTeam], T$1)+SUMIFS(Table2[NewPointsHome],Table2[GameDate], "&lt;=" &amp; $A179, Table2[HomeTeam], T$1)</f>
        <v>34</v>
      </c>
      <c r="U179" s="145">
        <f>SUMIFS(Table2[NewPointsAway],Table2[GameDate], "&lt;=" &amp; $A179, Table2[AwayTeam], U$1)+SUMIFS(Table2[NewPointsHome],Table2[GameDate], "&lt;=" &amp; $A179, Table2[HomeTeam], U$1)</f>
        <v>30</v>
      </c>
      <c r="V179" s="145">
        <f>SUMIFS(Table2[NewPointsAway],Table2[GameDate], "&lt;=" &amp; $A179, Table2[AwayTeam], V$1)+SUMIFS(Table2[NewPointsHome],Table2[GameDate], "&lt;=" &amp; $A179, Table2[HomeTeam], V$1)</f>
        <v>32</v>
      </c>
      <c r="W179" s="145">
        <f>SUMIFS(Table2[NewPointsAway],Table2[GameDate], "&lt;=" &amp; $A179, Table2[AwayTeam], W$1)+SUMIFS(Table2[NewPointsHome],Table2[GameDate], "&lt;=" &amp; $A179, Table2[HomeTeam], W$1)</f>
        <v>34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31</v>
      </c>
      <c r="Z179" s="145">
        <f>SUMIFS(Table2[NewPointsAway],Table2[GameDate], "&lt;=" &amp; $A179, Table2[AwayTeam], Z$1)+SUMIFS(Table2[NewPointsHome],Table2[GameDate], "&lt;=" &amp; $A179, Table2[HomeTeam], Z$1)</f>
        <v>30</v>
      </c>
      <c r="AA179" s="145">
        <f>SUMIFS(Table2[NewPointsAway],Table2[GameDate], "&lt;=" &amp; $A179, Table2[AwayTeam], AA$1)+SUMIFS(Table2[NewPointsHome],Table2[GameDate], "&lt;=" &amp; $A179, Table2[HomeTeam], AA$1)</f>
        <v>34</v>
      </c>
      <c r="AB179" s="145">
        <f>SUMIFS(Table2[NewPointsAway],Table2[GameDate], "&lt;=" &amp; $A179, Table2[AwayTeam], AB$1)+SUMIFS(Table2[NewPointsHome],Table2[GameDate], "&lt;=" &amp; $A179, Table2[HomeTeam], AB$1)</f>
        <v>32</v>
      </c>
      <c r="AC179" s="145">
        <f>SUMIFS(Table2[NewPointsAway],Table2[GameDate], "&lt;=" &amp; $A179, Table2[AwayTeam], AC$1)+SUMIFS(Table2[NewPointsHome],Table2[GameDate], "&lt;=" &amp; $A179, Table2[HomeTeam], AC$1)</f>
        <v>31</v>
      </c>
      <c r="AD179" s="145">
        <f>SUMIFS(Table2[NewPointsAway],Table2[GameDate], "&lt;=" &amp; $A179, Table2[AwayTeam], AD$1)+SUMIFS(Table2[NewPointsHome],Table2[GameDate], "&lt;=" &amp; $A179, Table2[HomeTeam], AD$1)</f>
        <v>25</v>
      </c>
      <c r="AE179" s="145">
        <f>SUMIFS(Table2[NewPointsAway],Table2[GameDate], "&lt;=" &amp; $A179, Table2[AwayTeam], AE$1)+SUMIFS(Table2[NewPointsHome],Table2[GameDate], "&lt;=" &amp; $A179, Table2[HomeTeam], AE$1)</f>
        <v>36</v>
      </c>
      <c r="AF179" s="145">
        <f>SUMIFS(Table2[NewPointsAway],Table2[GameDate], "&lt;=" &amp; $A179, Table2[AwayTeam], AF$1)+SUMIFS(Table2[NewPointsHome],Table2[GameDate], "&lt;=" &amp; $A179, Table2[HomeTeam], AF$1)</f>
        <v>29</v>
      </c>
      <c r="AG179" s="145">
        <f>SUMIFS(Table2[NewPointsAway],Table2[GameDate], "&lt;=" &amp; $A179, Table2[AwayTeam], AG$1)+SUMIFS(Table2[NewPointsHome],Table2[GameDate], "&lt;=" &amp; $A179, Table2[HomeTeam], AG$1)</f>
        <v>39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37</v>
      </c>
      <c r="C180" s="145">
        <f>SUMIFS(Table2[NewPointsAway],Table2[GameDate], "&lt;=" &amp; $A180, Table2[AwayTeam], C$1)+SUMIFS(Table2[NewPointsHome],Table2[GameDate], "&lt;=" &amp; $A180, Table2[HomeTeam], C$1)</f>
        <v>34</v>
      </c>
      <c r="D180" s="145">
        <f>SUMIFS(Table2[NewPointsAway],Table2[GameDate], "&lt;=" &amp; $A180, Table2[AwayTeam], D$1)+SUMIFS(Table2[NewPointsHome],Table2[GameDate], "&lt;=" &amp; $A180, Table2[HomeTeam], D$1)</f>
        <v>26</v>
      </c>
      <c r="E180" s="145">
        <f>SUMIFS(Table2[NewPointsAway],Table2[GameDate], "&lt;=" &amp; $A180, Table2[AwayTeam], E$1)+SUMIFS(Table2[NewPointsHome],Table2[GameDate], "&lt;=" &amp; $A180, Table2[HomeTeam], E$1)</f>
        <v>36</v>
      </c>
      <c r="F180" s="145">
        <f>SUMIFS(Table2[NewPointsAway],Table2[GameDate], "&lt;=" &amp; $A180, Table2[AwayTeam], F$1)+SUMIFS(Table2[NewPointsHome],Table2[GameDate], "&lt;=" &amp; $A180, Table2[HomeTeam], F$1)</f>
        <v>32</v>
      </c>
      <c r="G180" s="145">
        <f>SUMIFS(Table2[NewPointsAway],Table2[GameDate], "&lt;=" &amp; $A180, Table2[AwayTeam], G$1)+SUMIFS(Table2[NewPointsHome],Table2[GameDate], "&lt;=" &amp; $A180, Table2[HomeTeam], G$1)</f>
        <v>28</v>
      </c>
      <c r="H180" s="145">
        <f>SUMIFS(Table2[NewPointsAway],Table2[GameDate], "&lt;=" &amp; $A180, Table2[AwayTeam], H$1)+SUMIFS(Table2[NewPointsHome],Table2[GameDate], "&lt;=" &amp; $A180, Table2[HomeTeam], H$1)</f>
        <v>30</v>
      </c>
      <c r="I180" s="145">
        <f>SUMIFS(Table2[NewPointsAway],Table2[GameDate], "&lt;=" &amp; $A180, Table2[AwayTeam], I$1)+SUMIFS(Table2[NewPointsHome],Table2[GameDate], "&lt;=" &amp; $A180, Table2[HomeTeam], I$1)</f>
        <v>48</v>
      </c>
      <c r="J180" s="145">
        <f>SUMIFS(Table2[NewPointsAway],Table2[GameDate], "&lt;=" &amp; $A180, Table2[AwayTeam], J$1)+SUMIFS(Table2[NewPointsHome],Table2[GameDate], "&lt;=" &amp; $A180, Table2[HomeTeam], J$1)</f>
        <v>45</v>
      </c>
      <c r="K180" s="145">
        <f>SUMIFS(Table2[NewPointsAway],Table2[GameDate], "&lt;=" &amp; $A180, Table2[AwayTeam], K$1)+SUMIFS(Table2[NewPointsHome],Table2[GameDate], "&lt;=" &amp; $A180, Table2[HomeTeam], K$1)</f>
        <v>35</v>
      </c>
      <c r="L180" s="145">
        <f>SUMIFS(Table2[NewPointsAway],Table2[GameDate], "&lt;=" &amp; $A180, Table2[AwayTeam], L$1)+SUMIFS(Table2[NewPointsHome],Table2[GameDate], "&lt;=" &amp; $A180, Table2[HomeTeam], L$1)</f>
        <v>31</v>
      </c>
      <c r="M180" s="145">
        <f>SUMIFS(Table2[NewPointsAway],Table2[GameDate], "&lt;=" &amp; $A180, Table2[AwayTeam], M$1)+SUMIFS(Table2[NewPointsHome],Table2[GameDate], "&lt;=" &amp; $A180, Table2[HomeTeam], M$1)</f>
        <v>30</v>
      </c>
      <c r="N180" s="145">
        <f>SUMIFS(Table2[NewPointsAway],Table2[GameDate], "&lt;=" &amp; $A180, Table2[AwayTeam], N$1)+SUMIFS(Table2[NewPointsHome],Table2[GameDate], "&lt;=" &amp; $A180, Table2[HomeTeam], N$1)</f>
        <v>35</v>
      </c>
      <c r="O180" s="145">
        <f>SUMIFS(Table2[NewPointsAway],Table2[GameDate], "&lt;=" &amp; $A180, Table2[AwayTeam], O$1)+SUMIFS(Table2[NewPointsHome],Table2[GameDate], "&lt;=" &amp; $A180, Table2[HomeTeam], O$1)</f>
        <v>37</v>
      </c>
      <c r="P180" s="145">
        <f>SUMIFS(Table2[NewPointsAway],Table2[GameDate], "&lt;=" &amp; $A180, Table2[AwayTeam], P$1)+SUMIFS(Table2[NewPointsHome],Table2[GameDate], "&lt;=" &amp; $A180, Table2[HomeTeam], P$1)</f>
        <v>33</v>
      </c>
      <c r="Q180" s="145">
        <f>SUMIFS(Table2[NewPointsAway],Table2[GameDate], "&lt;=" &amp; $A180, Table2[AwayTeam], Q$1)+SUMIFS(Table2[NewPointsHome],Table2[GameDate], "&lt;=" &amp; $A180, Table2[HomeTeam], Q$1)</f>
        <v>33</v>
      </c>
      <c r="R180" s="145">
        <f>SUMIFS(Table2[NewPointsAway],Table2[GameDate], "&lt;=" &amp; $A180, Table2[AwayTeam], R$1)+SUMIFS(Table2[NewPointsHome],Table2[GameDate], "&lt;=" &amp; $A180, Table2[HomeTeam], R$1)</f>
        <v>24</v>
      </c>
      <c r="S180" s="145">
        <f>SUMIFS(Table2[NewPointsAway],Table2[GameDate], "&lt;=" &amp; $A180, Table2[AwayTeam], S$1)+SUMIFS(Table2[NewPointsHome],Table2[GameDate], "&lt;=" &amp; $A180, Table2[HomeTeam], S$1)</f>
        <v>35</v>
      </c>
      <c r="T180" s="145">
        <f>SUMIFS(Table2[NewPointsAway],Table2[GameDate], "&lt;=" &amp; $A180, Table2[AwayTeam], T$1)+SUMIFS(Table2[NewPointsHome],Table2[GameDate], "&lt;=" &amp; $A180, Table2[HomeTeam], T$1)</f>
        <v>34</v>
      </c>
      <c r="U180" s="145">
        <f>SUMIFS(Table2[NewPointsAway],Table2[GameDate], "&lt;=" &amp; $A180, Table2[AwayTeam], U$1)+SUMIFS(Table2[NewPointsHome],Table2[GameDate], "&lt;=" &amp; $A180, Table2[HomeTeam], U$1)</f>
        <v>30</v>
      </c>
      <c r="V180" s="145">
        <f>SUMIFS(Table2[NewPointsAway],Table2[GameDate], "&lt;=" &amp; $A180, Table2[AwayTeam], V$1)+SUMIFS(Table2[NewPointsHome],Table2[GameDate], "&lt;=" &amp; $A180, Table2[HomeTeam], V$1)</f>
        <v>32</v>
      </c>
      <c r="W180" s="145">
        <f>SUMIFS(Table2[NewPointsAway],Table2[GameDate], "&lt;=" &amp; $A180, Table2[AwayTeam], W$1)+SUMIFS(Table2[NewPointsHome],Table2[GameDate], "&lt;=" &amp; $A180, Table2[HomeTeam], W$1)</f>
        <v>34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31</v>
      </c>
      <c r="Z180" s="145">
        <f>SUMIFS(Table2[NewPointsAway],Table2[GameDate], "&lt;=" &amp; $A180, Table2[AwayTeam], Z$1)+SUMIFS(Table2[NewPointsHome],Table2[GameDate], "&lt;=" &amp; $A180, Table2[HomeTeam], Z$1)</f>
        <v>30</v>
      </c>
      <c r="AA180" s="145">
        <f>SUMIFS(Table2[NewPointsAway],Table2[GameDate], "&lt;=" &amp; $A180, Table2[AwayTeam], AA$1)+SUMIFS(Table2[NewPointsHome],Table2[GameDate], "&lt;=" &amp; $A180, Table2[HomeTeam], AA$1)</f>
        <v>34</v>
      </c>
      <c r="AB180" s="145">
        <f>SUMIFS(Table2[NewPointsAway],Table2[GameDate], "&lt;=" &amp; $A180, Table2[AwayTeam], AB$1)+SUMIFS(Table2[NewPointsHome],Table2[GameDate], "&lt;=" &amp; $A180, Table2[HomeTeam], AB$1)</f>
        <v>32</v>
      </c>
      <c r="AC180" s="145">
        <f>SUMIFS(Table2[NewPointsAway],Table2[GameDate], "&lt;=" &amp; $A180, Table2[AwayTeam], AC$1)+SUMIFS(Table2[NewPointsHome],Table2[GameDate], "&lt;=" &amp; $A180, Table2[HomeTeam], AC$1)</f>
        <v>31</v>
      </c>
      <c r="AD180" s="145">
        <f>SUMIFS(Table2[NewPointsAway],Table2[GameDate], "&lt;=" &amp; $A180, Table2[AwayTeam], AD$1)+SUMIFS(Table2[NewPointsHome],Table2[GameDate], "&lt;=" &amp; $A180, Table2[HomeTeam], AD$1)</f>
        <v>25</v>
      </c>
      <c r="AE180" s="145">
        <f>SUMIFS(Table2[NewPointsAway],Table2[GameDate], "&lt;=" &amp; $A180, Table2[AwayTeam], AE$1)+SUMIFS(Table2[NewPointsHome],Table2[GameDate], "&lt;=" &amp; $A180, Table2[HomeTeam], AE$1)</f>
        <v>36</v>
      </c>
      <c r="AF180" s="145">
        <f>SUMIFS(Table2[NewPointsAway],Table2[GameDate], "&lt;=" &amp; $A180, Table2[AwayTeam], AF$1)+SUMIFS(Table2[NewPointsHome],Table2[GameDate], "&lt;=" &amp; $A180, Table2[HomeTeam], AF$1)</f>
        <v>29</v>
      </c>
      <c r="AG180" s="145">
        <f>SUMIFS(Table2[NewPointsAway],Table2[GameDate], "&lt;=" &amp; $A180, Table2[AwayTeam], AG$1)+SUMIFS(Table2[NewPointsHome],Table2[GameDate], "&lt;=" &amp; $A180, Table2[HomeTeam], AG$1)</f>
        <v>39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37</v>
      </c>
      <c r="C181" s="145">
        <f>SUMIFS(Table2[NewPointsAway],Table2[GameDate], "&lt;=" &amp; $A181, Table2[AwayTeam], C$1)+SUMIFS(Table2[NewPointsHome],Table2[GameDate], "&lt;=" &amp; $A181, Table2[HomeTeam], C$1)</f>
        <v>34</v>
      </c>
      <c r="D181" s="145">
        <f>SUMIFS(Table2[NewPointsAway],Table2[GameDate], "&lt;=" &amp; $A181, Table2[AwayTeam], D$1)+SUMIFS(Table2[NewPointsHome],Table2[GameDate], "&lt;=" &amp; $A181, Table2[HomeTeam], D$1)</f>
        <v>26</v>
      </c>
      <c r="E181" s="145">
        <f>SUMIFS(Table2[NewPointsAway],Table2[GameDate], "&lt;=" &amp; $A181, Table2[AwayTeam], E$1)+SUMIFS(Table2[NewPointsHome],Table2[GameDate], "&lt;=" &amp; $A181, Table2[HomeTeam], E$1)</f>
        <v>36</v>
      </c>
      <c r="F181" s="145">
        <f>SUMIFS(Table2[NewPointsAway],Table2[GameDate], "&lt;=" &amp; $A181, Table2[AwayTeam], F$1)+SUMIFS(Table2[NewPointsHome],Table2[GameDate], "&lt;=" &amp; $A181, Table2[HomeTeam], F$1)</f>
        <v>32</v>
      </c>
      <c r="G181" s="145">
        <f>SUMIFS(Table2[NewPointsAway],Table2[GameDate], "&lt;=" &amp; $A181, Table2[AwayTeam], G$1)+SUMIFS(Table2[NewPointsHome],Table2[GameDate], "&lt;=" &amp; $A181, Table2[HomeTeam], G$1)</f>
        <v>28</v>
      </c>
      <c r="H181" s="145">
        <f>SUMIFS(Table2[NewPointsAway],Table2[GameDate], "&lt;=" &amp; $A181, Table2[AwayTeam], H$1)+SUMIFS(Table2[NewPointsHome],Table2[GameDate], "&lt;=" &amp; $A181, Table2[HomeTeam], H$1)</f>
        <v>30</v>
      </c>
      <c r="I181" s="145">
        <f>SUMIFS(Table2[NewPointsAway],Table2[GameDate], "&lt;=" &amp; $A181, Table2[AwayTeam], I$1)+SUMIFS(Table2[NewPointsHome],Table2[GameDate], "&lt;=" &amp; $A181, Table2[HomeTeam], I$1)</f>
        <v>48</v>
      </c>
      <c r="J181" s="145">
        <f>SUMIFS(Table2[NewPointsAway],Table2[GameDate], "&lt;=" &amp; $A181, Table2[AwayTeam], J$1)+SUMIFS(Table2[NewPointsHome],Table2[GameDate], "&lt;=" &amp; $A181, Table2[HomeTeam], J$1)</f>
        <v>45</v>
      </c>
      <c r="K181" s="145">
        <f>SUMIFS(Table2[NewPointsAway],Table2[GameDate], "&lt;=" &amp; $A181, Table2[AwayTeam], K$1)+SUMIFS(Table2[NewPointsHome],Table2[GameDate], "&lt;=" &amp; $A181, Table2[HomeTeam], K$1)</f>
        <v>35</v>
      </c>
      <c r="L181" s="145">
        <f>SUMIFS(Table2[NewPointsAway],Table2[GameDate], "&lt;=" &amp; $A181, Table2[AwayTeam], L$1)+SUMIFS(Table2[NewPointsHome],Table2[GameDate], "&lt;=" &amp; $A181, Table2[HomeTeam], L$1)</f>
        <v>31</v>
      </c>
      <c r="M181" s="145">
        <f>SUMIFS(Table2[NewPointsAway],Table2[GameDate], "&lt;=" &amp; $A181, Table2[AwayTeam], M$1)+SUMIFS(Table2[NewPointsHome],Table2[GameDate], "&lt;=" &amp; $A181, Table2[HomeTeam], M$1)</f>
        <v>30</v>
      </c>
      <c r="N181" s="145">
        <f>SUMIFS(Table2[NewPointsAway],Table2[GameDate], "&lt;=" &amp; $A181, Table2[AwayTeam], N$1)+SUMIFS(Table2[NewPointsHome],Table2[GameDate], "&lt;=" &amp; $A181, Table2[HomeTeam], N$1)</f>
        <v>35</v>
      </c>
      <c r="O181" s="145">
        <f>SUMIFS(Table2[NewPointsAway],Table2[GameDate], "&lt;=" &amp; $A181, Table2[AwayTeam], O$1)+SUMIFS(Table2[NewPointsHome],Table2[GameDate], "&lt;=" &amp; $A181, Table2[HomeTeam], O$1)</f>
        <v>37</v>
      </c>
      <c r="P181" s="145">
        <f>SUMIFS(Table2[NewPointsAway],Table2[GameDate], "&lt;=" &amp; $A181, Table2[AwayTeam], P$1)+SUMIFS(Table2[NewPointsHome],Table2[GameDate], "&lt;=" &amp; $A181, Table2[HomeTeam], P$1)</f>
        <v>33</v>
      </c>
      <c r="Q181" s="145">
        <f>SUMIFS(Table2[NewPointsAway],Table2[GameDate], "&lt;=" &amp; $A181, Table2[AwayTeam], Q$1)+SUMIFS(Table2[NewPointsHome],Table2[GameDate], "&lt;=" &amp; $A181, Table2[HomeTeam], Q$1)</f>
        <v>33</v>
      </c>
      <c r="R181" s="145">
        <f>SUMIFS(Table2[NewPointsAway],Table2[GameDate], "&lt;=" &amp; $A181, Table2[AwayTeam], R$1)+SUMIFS(Table2[NewPointsHome],Table2[GameDate], "&lt;=" &amp; $A181, Table2[HomeTeam], R$1)</f>
        <v>24</v>
      </c>
      <c r="S181" s="145">
        <f>SUMIFS(Table2[NewPointsAway],Table2[GameDate], "&lt;=" &amp; $A181, Table2[AwayTeam], S$1)+SUMIFS(Table2[NewPointsHome],Table2[GameDate], "&lt;=" &amp; $A181, Table2[HomeTeam], S$1)</f>
        <v>35</v>
      </c>
      <c r="T181" s="145">
        <f>SUMIFS(Table2[NewPointsAway],Table2[GameDate], "&lt;=" &amp; $A181, Table2[AwayTeam], T$1)+SUMIFS(Table2[NewPointsHome],Table2[GameDate], "&lt;=" &amp; $A181, Table2[HomeTeam], T$1)</f>
        <v>34</v>
      </c>
      <c r="U181" s="145">
        <f>SUMIFS(Table2[NewPointsAway],Table2[GameDate], "&lt;=" &amp; $A181, Table2[AwayTeam], U$1)+SUMIFS(Table2[NewPointsHome],Table2[GameDate], "&lt;=" &amp; $A181, Table2[HomeTeam], U$1)</f>
        <v>30</v>
      </c>
      <c r="V181" s="145">
        <f>SUMIFS(Table2[NewPointsAway],Table2[GameDate], "&lt;=" &amp; $A181, Table2[AwayTeam], V$1)+SUMIFS(Table2[NewPointsHome],Table2[GameDate], "&lt;=" &amp; $A181, Table2[HomeTeam], V$1)</f>
        <v>32</v>
      </c>
      <c r="W181" s="145">
        <f>SUMIFS(Table2[NewPointsAway],Table2[GameDate], "&lt;=" &amp; $A181, Table2[AwayTeam], W$1)+SUMIFS(Table2[NewPointsHome],Table2[GameDate], "&lt;=" &amp; $A181, Table2[HomeTeam], W$1)</f>
        <v>34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31</v>
      </c>
      <c r="Z181" s="145">
        <f>SUMIFS(Table2[NewPointsAway],Table2[GameDate], "&lt;=" &amp; $A181, Table2[AwayTeam], Z$1)+SUMIFS(Table2[NewPointsHome],Table2[GameDate], "&lt;=" &amp; $A181, Table2[HomeTeam], Z$1)</f>
        <v>30</v>
      </c>
      <c r="AA181" s="145">
        <f>SUMIFS(Table2[NewPointsAway],Table2[GameDate], "&lt;=" &amp; $A181, Table2[AwayTeam], AA$1)+SUMIFS(Table2[NewPointsHome],Table2[GameDate], "&lt;=" &amp; $A181, Table2[HomeTeam], AA$1)</f>
        <v>34</v>
      </c>
      <c r="AB181" s="145">
        <f>SUMIFS(Table2[NewPointsAway],Table2[GameDate], "&lt;=" &amp; $A181, Table2[AwayTeam], AB$1)+SUMIFS(Table2[NewPointsHome],Table2[GameDate], "&lt;=" &amp; $A181, Table2[HomeTeam], AB$1)</f>
        <v>32</v>
      </c>
      <c r="AC181" s="145">
        <f>SUMIFS(Table2[NewPointsAway],Table2[GameDate], "&lt;=" &amp; $A181, Table2[AwayTeam], AC$1)+SUMIFS(Table2[NewPointsHome],Table2[GameDate], "&lt;=" &amp; $A181, Table2[HomeTeam], AC$1)</f>
        <v>31</v>
      </c>
      <c r="AD181" s="145">
        <f>SUMIFS(Table2[NewPointsAway],Table2[GameDate], "&lt;=" &amp; $A181, Table2[AwayTeam], AD$1)+SUMIFS(Table2[NewPointsHome],Table2[GameDate], "&lt;=" &amp; $A181, Table2[HomeTeam], AD$1)</f>
        <v>25</v>
      </c>
      <c r="AE181" s="145">
        <f>SUMIFS(Table2[NewPointsAway],Table2[GameDate], "&lt;=" &amp; $A181, Table2[AwayTeam], AE$1)+SUMIFS(Table2[NewPointsHome],Table2[GameDate], "&lt;=" &amp; $A181, Table2[HomeTeam], AE$1)</f>
        <v>36</v>
      </c>
      <c r="AF181" s="145">
        <f>SUMIFS(Table2[NewPointsAway],Table2[GameDate], "&lt;=" &amp; $A181, Table2[AwayTeam], AF$1)+SUMIFS(Table2[NewPointsHome],Table2[GameDate], "&lt;=" &amp; $A181, Table2[HomeTeam], AF$1)</f>
        <v>29</v>
      </c>
      <c r="AG181" s="145">
        <f>SUMIFS(Table2[NewPointsAway],Table2[GameDate], "&lt;=" &amp; $A181, Table2[AwayTeam], AG$1)+SUMIFS(Table2[NewPointsHome],Table2[GameDate], "&lt;=" &amp; $A181, Table2[HomeTeam], AG$1)</f>
        <v>39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37</v>
      </c>
      <c r="C182" s="145">
        <f>SUMIFS(Table2[NewPointsAway],Table2[GameDate], "&lt;=" &amp; $A182, Table2[AwayTeam], C$1)+SUMIFS(Table2[NewPointsHome],Table2[GameDate], "&lt;=" &amp; $A182, Table2[HomeTeam], C$1)</f>
        <v>34</v>
      </c>
      <c r="D182" s="145">
        <f>SUMIFS(Table2[NewPointsAway],Table2[GameDate], "&lt;=" &amp; $A182, Table2[AwayTeam], D$1)+SUMIFS(Table2[NewPointsHome],Table2[GameDate], "&lt;=" &amp; $A182, Table2[HomeTeam], D$1)</f>
        <v>26</v>
      </c>
      <c r="E182" s="145">
        <f>SUMIFS(Table2[NewPointsAway],Table2[GameDate], "&lt;=" &amp; $A182, Table2[AwayTeam], E$1)+SUMIFS(Table2[NewPointsHome],Table2[GameDate], "&lt;=" &amp; $A182, Table2[HomeTeam], E$1)</f>
        <v>36</v>
      </c>
      <c r="F182" s="145">
        <f>SUMIFS(Table2[NewPointsAway],Table2[GameDate], "&lt;=" &amp; $A182, Table2[AwayTeam], F$1)+SUMIFS(Table2[NewPointsHome],Table2[GameDate], "&lt;=" &amp; $A182, Table2[HomeTeam], F$1)</f>
        <v>32</v>
      </c>
      <c r="G182" s="145">
        <f>SUMIFS(Table2[NewPointsAway],Table2[GameDate], "&lt;=" &amp; $A182, Table2[AwayTeam], G$1)+SUMIFS(Table2[NewPointsHome],Table2[GameDate], "&lt;=" &amp; $A182, Table2[HomeTeam], G$1)</f>
        <v>28</v>
      </c>
      <c r="H182" s="145">
        <f>SUMIFS(Table2[NewPointsAway],Table2[GameDate], "&lt;=" &amp; $A182, Table2[AwayTeam], H$1)+SUMIFS(Table2[NewPointsHome],Table2[GameDate], "&lt;=" &amp; $A182, Table2[HomeTeam], H$1)</f>
        <v>30</v>
      </c>
      <c r="I182" s="145">
        <f>SUMIFS(Table2[NewPointsAway],Table2[GameDate], "&lt;=" &amp; $A182, Table2[AwayTeam], I$1)+SUMIFS(Table2[NewPointsHome],Table2[GameDate], "&lt;=" &amp; $A182, Table2[HomeTeam], I$1)</f>
        <v>48</v>
      </c>
      <c r="J182" s="145">
        <f>SUMIFS(Table2[NewPointsAway],Table2[GameDate], "&lt;=" &amp; $A182, Table2[AwayTeam], J$1)+SUMIFS(Table2[NewPointsHome],Table2[GameDate], "&lt;=" &amp; $A182, Table2[HomeTeam], J$1)</f>
        <v>45</v>
      </c>
      <c r="K182" s="145">
        <f>SUMIFS(Table2[NewPointsAway],Table2[GameDate], "&lt;=" &amp; $A182, Table2[AwayTeam], K$1)+SUMIFS(Table2[NewPointsHome],Table2[GameDate], "&lt;=" &amp; $A182, Table2[HomeTeam], K$1)</f>
        <v>35</v>
      </c>
      <c r="L182" s="145">
        <f>SUMIFS(Table2[NewPointsAway],Table2[GameDate], "&lt;=" &amp; $A182, Table2[AwayTeam], L$1)+SUMIFS(Table2[NewPointsHome],Table2[GameDate], "&lt;=" &amp; $A182, Table2[HomeTeam], L$1)</f>
        <v>31</v>
      </c>
      <c r="M182" s="145">
        <f>SUMIFS(Table2[NewPointsAway],Table2[GameDate], "&lt;=" &amp; $A182, Table2[AwayTeam], M$1)+SUMIFS(Table2[NewPointsHome],Table2[GameDate], "&lt;=" &amp; $A182, Table2[HomeTeam], M$1)</f>
        <v>30</v>
      </c>
      <c r="N182" s="145">
        <f>SUMIFS(Table2[NewPointsAway],Table2[GameDate], "&lt;=" &amp; $A182, Table2[AwayTeam], N$1)+SUMIFS(Table2[NewPointsHome],Table2[GameDate], "&lt;=" &amp; $A182, Table2[HomeTeam], N$1)</f>
        <v>35</v>
      </c>
      <c r="O182" s="145">
        <f>SUMIFS(Table2[NewPointsAway],Table2[GameDate], "&lt;=" &amp; $A182, Table2[AwayTeam], O$1)+SUMIFS(Table2[NewPointsHome],Table2[GameDate], "&lt;=" &amp; $A182, Table2[HomeTeam], O$1)</f>
        <v>37</v>
      </c>
      <c r="P182" s="145">
        <f>SUMIFS(Table2[NewPointsAway],Table2[GameDate], "&lt;=" &amp; $A182, Table2[AwayTeam], P$1)+SUMIFS(Table2[NewPointsHome],Table2[GameDate], "&lt;=" &amp; $A182, Table2[HomeTeam], P$1)</f>
        <v>33</v>
      </c>
      <c r="Q182" s="145">
        <f>SUMIFS(Table2[NewPointsAway],Table2[GameDate], "&lt;=" &amp; $A182, Table2[AwayTeam], Q$1)+SUMIFS(Table2[NewPointsHome],Table2[GameDate], "&lt;=" &amp; $A182, Table2[HomeTeam], Q$1)</f>
        <v>33</v>
      </c>
      <c r="R182" s="145">
        <f>SUMIFS(Table2[NewPointsAway],Table2[GameDate], "&lt;=" &amp; $A182, Table2[AwayTeam], R$1)+SUMIFS(Table2[NewPointsHome],Table2[GameDate], "&lt;=" &amp; $A182, Table2[HomeTeam], R$1)</f>
        <v>24</v>
      </c>
      <c r="S182" s="145">
        <f>SUMIFS(Table2[NewPointsAway],Table2[GameDate], "&lt;=" &amp; $A182, Table2[AwayTeam], S$1)+SUMIFS(Table2[NewPointsHome],Table2[GameDate], "&lt;=" &amp; $A182, Table2[HomeTeam], S$1)</f>
        <v>35</v>
      </c>
      <c r="T182" s="145">
        <f>SUMIFS(Table2[NewPointsAway],Table2[GameDate], "&lt;=" &amp; $A182, Table2[AwayTeam], T$1)+SUMIFS(Table2[NewPointsHome],Table2[GameDate], "&lt;=" &amp; $A182, Table2[HomeTeam], T$1)</f>
        <v>34</v>
      </c>
      <c r="U182" s="145">
        <f>SUMIFS(Table2[NewPointsAway],Table2[GameDate], "&lt;=" &amp; $A182, Table2[AwayTeam], U$1)+SUMIFS(Table2[NewPointsHome],Table2[GameDate], "&lt;=" &amp; $A182, Table2[HomeTeam], U$1)</f>
        <v>30</v>
      </c>
      <c r="V182" s="145">
        <f>SUMIFS(Table2[NewPointsAway],Table2[GameDate], "&lt;=" &amp; $A182, Table2[AwayTeam], V$1)+SUMIFS(Table2[NewPointsHome],Table2[GameDate], "&lt;=" &amp; $A182, Table2[HomeTeam], V$1)</f>
        <v>32</v>
      </c>
      <c r="W182" s="145">
        <f>SUMIFS(Table2[NewPointsAway],Table2[GameDate], "&lt;=" &amp; $A182, Table2[AwayTeam], W$1)+SUMIFS(Table2[NewPointsHome],Table2[GameDate], "&lt;=" &amp; $A182, Table2[HomeTeam], W$1)</f>
        <v>34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31</v>
      </c>
      <c r="Z182" s="145">
        <f>SUMIFS(Table2[NewPointsAway],Table2[GameDate], "&lt;=" &amp; $A182, Table2[AwayTeam], Z$1)+SUMIFS(Table2[NewPointsHome],Table2[GameDate], "&lt;=" &amp; $A182, Table2[HomeTeam], Z$1)</f>
        <v>30</v>
      </c>
      <c r="AA182" s="145">
        <f>SUMIFS(Table2[NewPointsAway],Table2[GameDate], "&lt;=" &amp; $A182, Table2[AwayTeam], AA$1)+SUMIFS(Table2[NewPointsHome],Table2[GameDate], "&lt;=" &amp; $A182, Table2[HomeTeam], AA$1)</f>
        <v>34</v>
      </c>
      <c r="AB182" s="145">
        <f>SUMIFS(Table2[NewPointsAway],Table2[GameDate], "&lt;=" &amp; $A182, Table2[AwayTeam], AB$1)+SUMIFS(Table2[NewPointsHome],Table2[GameDate], "&lt;=" &amp; $A182, Table2[HomeTeam], AB$1)</f>
        <v>32</v>
      </c>
      <c r="AC182" s="145">
        <f>SUMIFS(Table2[NewPointsAway],Table2[GameDate], "&lt;=" &amp; $A182, Table2[AwayTeam], AC$1)+SUMIFS(Table2[NewPointsHome],Table2[GameDate], "&lt;=" &amp; $A182, Table2[HomeTeam], AC$1)</f>
        <v>31</v>
      </c>
      <c r="AD182" s="145">
        <f>SUMIFS(Table2[NewPointsAway],Table2[GameDate], "&lt;=" &amp; $A182, Table2[AwayTeam], AD$1)+SUMIFS(Table2[NewPointsHome],Table2[GameDate], "&lt;=" &amp; $A182, Table2[HomeTeam], AD$1)</f>
        <v>25</v>
      </c>
      <c r="AE182" s="145">
        <f>SUMIFS(Table2[NewPointsAway],Table2[GameDate], "&lt;=" &amp; $A182, Table2[AwayTeam], AE$1)+SUMIFS(Table2[NewPointsHome],Table2[GameDate], "&lt;=" &amp; $A182, Table2[HomeTeam], AE$1)</f>
        <v>36</v>
      </c>
      <c r="AF182" s="145">
        <f>SUMIFS(Table2[NewPointsAway],Table2[GameDate], "&lt;=" &amp; $A182, Table2[AwayTeam], AF$1)+SUMIFS(Table2[NewPointsHome],Table2[GameDate], "&lt;=" &amp; $A182, Table2[HomeTeam], AF$1)</f>
        <v>29</v>
      </c>
      <c r="AG182" s="145">
        <f>SUMIFS(Table2[NewPointsAway],Table2[GameDate], "&lt;=" &amp; $A182, Table2[AwayTeam], AG$1)+SUMIFS(Table2[NewPointsHome],Table2[GameDate], "&lt;=" &amp; $A182, Table2[HomeTeam], AG$1)</f>
        <v>39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37</v>
      </c>
      <c r="C183" s="145">
        <f>SUMIFS(Table2[NewPointsAway],Table2[GameDate], "&lt;=" &amp; $A183, Table2[AwayTeam], C$1)+SUMIFS(Table2[NewPointsHome],Table2[GameDate], "&lt;=" &amp; $A183, Table2[HomeTeam], C$1)</f>
        <v>34</v>
      </c>
      <c r="D183" s="145">
        <f>SUMIFS(Table2[NewPointsAway],Table2[GameDate], "&lt;=" &amp; $A183, Table2[AwayTeam], D$1)+SUMIFS(Table2[NewPointsHome],Table2[GameDate], "&lt;=" &amp; $A183, Table2[HomeTeam], D$1)</f>
        <v>26</v>
      </c>
      <c r="E183" s="145">
        <f>SUMIFS(Table2[NewPointsAway],Table2[GameDate], "&lt;=" &amp; $A183, Table2[AwayTeam], E$1)+SUMIFS(Table2[NewPointsHome],Table2[GameDate], "&lt;=" &amp; $A183, Table2[HomeTeam], E$1)</f>
        <v>36</v>
      </c>
      <c r="F183" s="145">
        <f>SUMIFS(Table2[NewPointsAway],Table2[GameDate], "&lt;=" &amp; $A183, Table2[AwayTeam], F$1)+SUMIFS(Table2[NewPointsHome],Table2[GameDate], "&lt;=" &amp; $A183, Table2[HomeTeam], F$1)</f>
        <v>32</v>
      </c>
      <c r="G183" s="145">
        <f>SUMIFS(Table2[NewPointsAway],Table2[GameDate], "&lt;=" &amp; $A183, Table2[AwayTeam], G$1)+SUMIFS(Table2[NewPointsHome],Table2[GameDate], "&lt;=" &amp; $A183, Table2[HomeTeam], G$1)</f>
        <v>28</v>
      </c>
      <c r="H183" s="145">
        <f>SUMIFS(Table2[NewPointsAway],Table2[GameDate], "&lt;=" &amp; $A183, Table2[AwayTeam], H$1)+SUMIFS(Table2[NewPointsHome],Table2[GameDate], "&lt;=" &amp; $A183, Table2[HomeTeam], H$1)</f>
        <v>30</v>
      </c>
      <c r="I183" s="145">
        <f>SUMIFS(Table2[NewPointsAway],Table2[GameDate], "&lt;=" &amp; $A183, Table2[AwayTeam], I$1)+SUMIFS(Table2[NewPointsHome],Table2[GameDate], "&lt;=" &amp; $A183, Table2[HomeTeam], I$1)</f>
        <v>48</v>
      </c>
      <c r="J183" s="145">
        <f>SUMIFS(Table2[NewPointsAway],Table2[GameDate], "&lt;=" &amp; $A183, Table2[AwayTeam], J$1)+SUMIFS(Table2[NewPointsHome],Table2[GameDate], "&lt;=" &amp; $A183, Table2[HomeTeam], J$1)</f>
        <v>45</v>
      </c>
      <c r="K183" s="145">
        <f>SUMIFS(Table2[NewPointsAway],Table2[GameDate], "&lt;=" &amp; $A183, Table2[AwayTeam], K$1)+SUMIFS(Table2[NewPointsHome],Table2[GameDate], "&lt;=" &amp; $A183, Table2[HomeTeam], K$1)</f>
        <v>35</v>
      </c>
      <c r="L183" s="145">
        <f>SUMIFS(Table2[NewPointsAway],Table2[GameDate], "&lt;=" &amp; $A183, Table2[AwayTeam], L$1)+SUMIFS(Table2[NewPointsHome],Table2[GameDate], "&lt;=" &amp; $A183, Table2[HomeTeam], L$1)</f>
        <v>31</v>
      </c>
      <c r="M183" s="145">
        <f>SUMIFS(Table2[NewPointsAway],Table2[GameDate], "&lt;=" &amp; $A183, Table2[AwayTeam], M$1)+SUMIFS(Table2[NewPointsHome],Table2[GameDate], "&lt;=" &amp; $A183, Table2[HomeTeam], M$1)</f>
        <v>30</v>
      </c>
      <c r="N183" s="145">
        <f>SUMIFS(Table2[NewPointsAway],Table2[GameDate], "&lt;=" &amp; $A183, Table2[AwayTeam], N$1)+SUMIFS(Table2[NewPointsHome],Table2[GameDate], "&lt;=" &amp; $A183, Table2[HomeTeam], N$1)</f>
        <v>35</v>
      </c>
      <c r="O183" s="145">
        <f>SUMIFS(Table2[NewPointsAway],Table2[GameDate], "&lt;=" &amp; $A183, Table2[AwayTeam], O$1)+SUMIFS(Table2[NewPointsHome],Table2[GameDate], "&lt;=" &amp; $A183, Table2[HomeTeam], O$1)</f>
        <v>37</v>
      </c>
      <c r="P183" s="145">
        <f>SUMIFS(Table2[NewPointsAway],Table2[GameDate], "&lt;=" &amp; $A183, Table2[AwayTeam], P$1)+SUMIFS(Table2[NewPointsHome],Table2[GameDate], "&lt;=" &amp; $A183, Table2[HomeTeam], P$1)</f>
        <v>33</v>
      </c>
      <c r="Q183" s="145">
        <f>SUMIFS(Table2[NewPointsAway],Table2[GameDate], "&lt;=" &amp; $A183, Table2[AwayTeam], Q$1)+SUMIFS(Table2[NewPointsHome],Table2[GameDate], "&lt;=" &amp; $A183, Table2[HomeTeam], Q$1)</f>
        <v>33</v>
      </c>
      <c r="R183" s="145">
        <f>SUMIFS(Table2[NewPointsAway],Table2[GameDate], "&lt;=" &amp; $A183, Table2[AwayTeam], R$1)+SUMIFS(Table2[NewPointsHome],Table2[GameDate], "&lt;=" &amp; $A183, Table2[HomeTeam], R$1)</f>
        <v>24</v>
      </c>
      <c r="S183" s="145">
        <f>SUMIFS(Table2[NewPointsAway],Table2[GameDate], "&lt;=" &amp; $A183, Table2[AwayTeam], S$1)+SUMIFS(Table2[NewPointsHome],Table2[GameDate], "&lt;=" &amp; $A183, Table2[HomeTeam], S$1)</f>
        <v>35</v>
      </c>
      <c r="T183" s="145">
        <f>SUMIFS(Table2[NewPointsAway],Table2[GameDate], "&lt;=" &amp; $A183, Table2[AwayTeam], T$1)+SUMIFS(Table2[NewPointsHome],Table2[GameDate], "&lt;=" &amp; $A183, Table2[HomeTeam], T$1)</f>
        <v>34</v>
      </c>
      <c r="U183" s="145">
        <f>SUMIFS(Table2[NewPointsAway],Table2[GameDate], "&lt;=" &amp; $A183, Table2[AwayTeam], U$1)+SUMIFS(Table2[NewPointsHome],Table2[GameDate], "&lt;=" &amp; $A183, Table2[HomeTeam], U$1)</f>
        <v>30</v>
      </c>
      <c r="V183" s="145">
        <f>SUMIFS(Table2[NewPointsAway],Table2[GameDate], "&lt;=" &amp; $A183, Table2[AwayTeam], V$1)+SUMIFS(Table2[NewPointsHome],Table2[GameDate], "&lt;=" &amp; $A183, Table2[HomeTeam], V$1)</f>
        <v>32</v>
      </c>
      <c r="W183" s="145">
        <f>SUMIFS(Table2[NewPointsAway],Table2[GameDate], "&lt;=" &amp; $A183, Table2[AwayTeam], W$1)+SUMIFS(Table2[NewPointsHome],Table2[GameDate], "&lt;=" &amp; $A183, Table2[HomeTeam], W$1)</f>
        <v>34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31</v>
      </c>
      <c r="Z183" s="145">
        <f>SUMIFS(Table2[NewPointsAway],Table2[GameDate], "&lt;=" &amp; $A183, Table2[AwayTeam], Z$1)+SUMIFS(Table2[NewPointsHome],Table2[GameDate], "&lt;=" &amp; $A183, Table2[HomeTeam], Z$1)</f>
        <v>30</v>
      </c>
      <c r="AA183" s="145">
        <f>SUMIFS(Table2[NewPointsAway],Table2[GameDate], "&lt;=" &amp; $A183, Table2[AwayTeam], AA$1)+SUMIFS(Table2[NewPointsHome],Table2[GameDate], "&lt;=" &amp; $A183, Table2[HomeTeam], AA$1)</f>
        <v>34</v>
      </c>
      <c r="AB183" s="145">
        <f>SUMIFS(Table2[NewPointsAway],Table2[GameDate], "&lt;=" &amp; $A183, Table2[AwayTeam], AB$1)+SUMIFS(Table2[NewPointsHome],Table2[GameDate], "&lt;=" &amp; $A183, Table2[HomeTeam], AB$1)</f>
        <v>32</v>
      </c>
      <c r="AC183" s="145">
        <f>SUMIFS(Table2[NewPointsAway],Table2[GameDate], "&lt;=" &amp; $A183, Table2[AwayTeam], AC$1)+SUMIFS(Table2[NewPointsHome],Table2[GameDate], "&lt;=" &amp; $A183, Table2[HomeTeam], AC$1)</f>
        <v>31</v>
      </c>
      <c r="AD183" s="145">
        <f>SUMIFS(Table2[NewPointsAway],Table2[GameDate], "&lt;=" &amp; $A183, Table2[AwayTeam], AD$1)+SUMIFS(Table2[NewPointsHome],Table2[GameDate], "&lt;=" &amp; $A183, Table2[HomeTeam], AD$1)</f>
        <v>25</v>
      </c>
      <c r="AE183" s="145">
        <f>SUMIFS(Table2[NewPointsAway],Table2[GameDate], "&lt;=" &amp; $A183, Table2[AwayTeam], AE$1)+SUMIFS(Table2[NewPointsHome],Table2[GameDate], "&lt;=" &amp; $A183, Table2[HomeTeam], AE$1)</f>
        <v>36</v>
      </c>
      <c r="AF183" s="145">
        <f>SUMIFS(Table2[NewPointsAway],Table2[GameDate], "&lt;=" &amp; $A183, Table2[AwayTeam], AF$1)+SUMIFS(Table2[NewPointsHome],Table2[GameDate], "&lt;=" &amp; $A183, Table2[HomeTeam], AF$1)</f>
        <v>29</v>
      </c>
      <c r="AG183" s="145">
        <f>SUMIFS(Table2[NewPointsAway],Table2[GameDate], "&lt;=" &amp; $A183, Table2[AwayTeam], AG$1)+SUMIFS(Table2[NewPointsHome],Table2[GameDate], "&lt;=" &amp; $A183, Table2[HomeTeam], AG$1)</f>
        <v>39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37</v>
      </c>
      <c r="C184" s="145">
        <f>SUMIFS(Table2[NewPointsAway],Table2[GameDate], "&lt;=" &amp; $A184, Table2[AwayTeam], C$1)+SUMIFS(Table2[NewPointsHome],Table2[GameDate], "&lt;=" &amp; $A184, Table2[HomeTeam], C$1)</f>
        <v>34</v>
      </c>
      <c r="D184" s="145">
        <f>SUMIFS(Table2[NewPointsAway],Table2[GameDate], "&lt;=" &amp; $A184, Table2[AwayTeam], D$1)+SUMIFS(Table2[NewPointsHome],Table2[GameDate], "&lt;=" &amp; $A184, Table2[HomeTeam], D$1)</f>
        <v>26</v>
      </c>
      <c r="E184" s="145">
        <f>SUMIFS(Table2[NewPointsAway],Table2[GameDate], "&lt;=" &amp; $A184, Table2[AwayTeam], E$1)+SUMIFS(Table2[NewPointsHome],Table2[GameDate], "&lt;=" &amp; $A184, Table2[HomeTeam], E$1)</f>
        <v>36</v>
      </c>
      <c r="F184" s="145">
        <f>SUMIFS(Table2[NewPointsAway],Table2[GameDate], "&lt;=" &amp; $A184, Table2[AwayTeam], F$1)+SUMIFS(Table2[NewPointsHome],Table2[GameDate], "&lt;=" &amp; $A184, Table2[HomeTeam], F$1)</f>
        <v>32</v>
      </c>
      <c r="G184" s="145">
        <f>SUMIFS(Table2[NewPointsAway],Table2[GameDate], "&lt;=" &amp; $A184, Table2[AwayTeam], G$1)+SUMIFS(Table2[NewPointsHome],Table2[GameDate], "&lt;=" &amp; $A184, Table2[HomeTeam], G$1)</f>
        <v>28</v>
      </c>
      <c r="H184" s="145">
        <f>SUMIFS(Table2[NewPointsAway],Table2[GameDate], "&lt;=" &amp; $A184, Table2[AwayTeam], H$1)+SUMIFS(Table2[NewPointsHome],Table2[GameDate], "&lt;=" &amp; $A184, Table2[HomeTeam], H$1)</f>
        <v>30</v>
      </c>
      <c r="I184" s="145">
        <f>SUMIFS(Table2[NewPointsAway],Table2[GameDate], "&lt;=" &amp; $A184, Table2[AwayTeam], I$1)+SUMIFS(Table2[NewPointsHome],Table2[GameDate], "&lt;=" &amp; $A184, Table2[HomeTeam], I$1)</f>
        <v>48</v>
      </c>
      <c r="J184" s="145">
        <f>SUMIFS(Table2[NewPointsAway],Table2[GameDate], "&lt;=" &amp; $A184, Table2[AwayTeam], J$1)+SUMIFS(Table2[NewPointsHome],Table2[GameDate], "&lt;=" &amp; $A184, Table2[HomeTeam], J$1)</f>
        <v>45</v>
      </c>
      <c r="K184" s="145">
        <f>SUMIFS(Table2[NewPointsAway],Table2[GameDate], "&lt;=" &amp; $A184, Table2[AwayTeam], K$1)+SUMIFS(Table2[NewPointsHome],Table2[GameDate], "&lt;=" &amp; $A184, Table2[HomeTeam], K$1)</f>
        <v>35</v>
      </c>
      <c r="L184" s="145">
        <f>SUMIFS(Table2[NewPointsAway],Table2[GameDate], "&lt;=" &amp; $A184, Table2[AwayTeam], L$1)+SUMIFS(Table2[NewPointsHome],Table2[GameDate], "&lt;=" &amp; $A184, Table2[HomeTeam], L$1)</f>
        <v>31</v>
      </c>
      <c r="M184" s="145">
        <f>SUMIFS(Table2[NewPointsAway],Table2[GameDate], "&lt;=" &amp; $A184, Table2[AwayTeam], M$1)+SUMIFS(Table2[NewPointsHome],Table2[GameDate], "&lt;=" &amp; $A184, Table2[HomeTeam], M$1)</f>
        <v>30</v>
      </c>
      <c r="N184" s="145">
        <f>SUMIFS(Table2[NewPointsAway],Table2[GameDate], "&lt;=" &amp; $A184, Table2[AwayTeam], N$1)+SUMIFS(Table2[NewPointsHome],Table2[GameDate], "&lt;=" &amp; $A184, Table2[HomeTeam], N$1)</f>
        <v>35</v>
      </c>
      <c r="O184" s="145">
        <f>SUMIFS(Table2[NewPointsAway],Table2[GameDate], "&lt;=" &amp; $A184, Table2[AwayTeam], O$1)+SUMIFS(Table2[NewPointsHome],Table2[GameDate], "&lt;=" &amp; $A184, Table2[HomeTeam], O$1)</f>
        <v>37</v>
      </c>
      <c r="P184" s="145">
        <f>SUMIFS(Table2[NewPointsAway],Table2[GameDate], "&lt;=" &amp; $A184, Table2[AwayTeam], P$1)+SUMIFS(Table2[NewPointsHome],Table2[GameDate], "&lt;=" &amp; $A184, Table2[HomeTeam], P$1)</f>
        <v>33</v>
      </c>
      <c r="Q184" s="145">
        <f>SUMIFS(Table2[NewPointsAway],Table2[GameDate], "&lt;=" &amp; $A184, Table2[AwayTeam], Q$1)+SUMIFS(Table2[NewPointsHome],Table2[GameDate], "&lt;=" &amp; $A184, Table2[HomeTeam], Q$1)</f>
        <v>33</v>
      </c>
      <c r="R184" s="145">
        <f>SUMIFS(Table2[NewPointsAway],Table2[GameDate], "&lt;=" &amp; $A184, Table2[AwayTeam], R$1)+SUMIFS(Table2[NewPointsHome],Table2[GameDate], "&lt;=" &amp; $A184, Table2[HomeTeam], R$1)</f>
        <v>24</v>
      </c>
      <c r="S184" s="145">
        <f>SUMIFS(Table2[NewPointsAway],Table2[GameDate], "&lt;=" &amp; $A184, Table2[AwayTeam], S$1)+SUMIFS(Table2[NewPointsHome],Table2[GameDate], "&lt;=" &amp; $A184, Table2[HomeTeam], S$1)</f>
        <v>35</v>
      </c>
      <c r="T184" s="145">
        <f>SUMIFS(Table2[NewPointsAway],Table2[GameDate], "&lt;=" &amp; $A184, Table2[AwayTeam], T$1)+SUMIFS(Table2[NewPointsHome],Table2[GameDate], "&lt;=" &amp; $A184, Table2[HomeTeam], T$1)</f>
        <v>34</v>
      </c>
      <c r="U184" s="145">
        <f>SUMIFS(Table2[NewPointsAway],Table2[GameDate], "&lt;=" &amp; $A184, Table2[AwayTeam], U$1)+SUMIFS(Table2[NewPointsHome],Table2[GameDate], "&lt;=" &amp; $A184, Table2[HomeTeam], U$1)</f>
        <v>30</v>
      </c>
      <c r="V184" s="145">
        <f>SUMIFS(Table2[NewPointsAway],Table2[GameDate], "&lt;=" &amp; $A184, Table2[AwayTeam], V$1)+SUMIFS(Table2[NewPointsHome],Table2[GameDate], "&lt;=" &amp; $A184, Table2[HomeTeam], V$1)</f>
        <v>32</v>
      </c>
      <c r="W184" s="145">
        <f>SUMIFS(Table2[NewPointsAway],Table2[GameDate], "&lt;=" &amp; $A184, Table2[AwayTeam], W$1)+SUMIFS(Table2[NewPointsHome],Table2[GameDate], "&lt;=" &amp; $A184, Table2[HomeTeam], W$1)</f>
        <v>34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31</v>
      </c>
      <c r="Z184" s="145">
        <f>SUMIFS(Table2[NewPointsAway],Table2[GameDate], "&lt;=" &amp; $A184, Table2[AwayTeam], Z$1)+SUMIFS(Table2[NewPointsHome],Table2[GameDate], "&lt;=" &amp; $A184, Table2[HomeTeam], Z$1)</f>
        <v>30</v>
      </c>
      <c r="AA184" s="145">
        <f>SUMIFS(Table2[NewPointsAway],Table2[GameDate], "&lt;=" &amp; $A184, Table2[AwayTeam], AA$1)+SUMIFS(Table2[NewPointsHome],Table2[GameDate], "&lt;=" &amp; $A184, Table2[HomeTeam], AA$1)</f>
        <v>34</v>
      </c>
      <c r="AB184" s="145">
        <f>SUMIFS(Table2[NewPointsAway],Table2[GameDate], "&lt;=" &amp; $A184, Table2[AwayTeam], AB$1)+SUMIFS(Table2[NewPointsHome],Table2[GameDate], "&lt;=" &amp; $A184, Table2[HomeTeam], AB$1)</f>
        <v>32</v>
      </c>
      <c r="AC184" s="145">
        <f>SUMIFS(Table2[NewPointsAway],Table2[GameDate], "&lt;=" &amp; $A184, Table2[AwayTeam], AC$1)+SUMIFS(Table2[NewPointsHome],Table2[GameDate], "&lt;=" &amp; $A184, Table2[HomeTeam], AC$1)</f>
        <v>31</v>
      </c>
      <c r="AD184" s="145">
        <f>SUMIFS(Table2[NewPointsAway],Table2[GameDate], "&lt;=" &amp; $A184, Table2[AwayTeam], AD$1)+SUMIFS(Table2[NewPointsHome],Table2[GameDate], "&lt;=" &amp; $A184, Table2[HomeTeam], AD$1)</f>
        <v>25</v>
      </c>
      <c r="AE184" s="145">
        <f>SUMIFS(Table2[NewPointsAway],Table2[GameDate], "&lt;=" &amp; $A184, Table2[AwayTeam], AE$1)+SUMIFS(Table2[NewPointsHome],Table2[GameDate], "&lt;=" &amp; $A184, Table2[HomeTeam], AE$1)</f>
        <v>36</v>
      </c>
      <c r="AF184" s="145">
        <f>SUMIFS(Table2[NewPointsAway],Table2[GameDate], "&lt;=" &amp; $A184, Table2[AwayTeam], AF$1)+SUMIFS(Table2[NewPointsHome],Table2[GameDate], "&lt;=" &amp; $A184, Table2[HomeTeam], AF$1)</f>
        <v>29</v>
      </c>
      <c r="AG184" s="145">
        <f>SUMIFS(Table2[NewPointsAway],Table2[GameDate], "&lt;=" &amp; $A184, Table2[AwayTeam], AG$1)+SUMIFS(Table2[NewPointsHome],Table2[GameDate], "&lt;=" &amp; $A184, Table2[HomeTeam], AG$1)</f>
        <v>39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37</v>
      </c>
      <c r="C185" s="145">
        <f>SUMIFS(Table2[NewPointsAway],Table2[GameDate], "&lt;=" &amp; $A185, Table2[AwayTeam], C$1)+SUMIFS(Table2[NewPointsHome],Table2[GameDate], "&lt;=" &amp; $A185, Table2[HomeTeam], C$1)</f>
        <v>34</v>
      </c>
      <c r="D185" s="145">
        <f>SUMIFS(Table2[NewPointsAway],Table2[GameDate], "&lt;=" &amp; $A185, Table2[AwayTeam], D$1)+SUMIFS(Table2[NewPointsHome],Table2[GameDate], "&lt;=" &amp; $A185, Table2[HomeTeam], D$1)</f>
        <v>26</v>
      </c>
      <c r="E185" s="145">
        <f>SUMIFS(Table2[NewPointsAway],Table2[GameDate], "&lt;=" &amp; $A185, Table2[AwayTeam], E$1)+SUMIFS(Table2[NewPointsHome],Table2[GameDate], "&lt;=" &amp; $A185, Table2[HomeTeam], E$1)</f>
        <v>36</v>
      </c>
      <c r="F185" s="145">
        <f>SUMIFS(Table2[NewPointsAway],Table2[GameDate], "&lt;=" &amp; $A185, Table2[AwayTeam], F$1)+SUMIFS(Table2[NewPointsHome],Table2[GameDate], "&lt;=" &amp; $A185, Table2[HomeTeam], F$1)</f>
        <v>32</v>
      </c>
      <c r="G185" s="145">
        <f>SUMIFS(Table2[NewPointsAway],Table2[GameDate], "&lt;=" &amp; $A185, Table2[AwayTeam], G$1)+SUMIFS(Table2[NewPointsHome],Table2[GameDate], "&lt;=" &amp; $A185, Table2[HomeTeam], G$1)</f>
        <v>28</v>
      </c>
      <c r="H185" s="145">
        <f>SUMIFS(Table2[NewPointsAway],Table2[GameDate], "&lt;=" &amp; $A185, Table2[AwayTeam], H$1)+SUMIFS(Table2[NewPointsHome],Table2[GameDate], "&lt;=" &amp; $A185, Table2[HomeTeam], H$1)</f>
        <v>30</v>
      </c>
      <c r="I185" s="145">
        <f>SUMIFS(Table2[NewPointsAway],Table2[GameDate], "&lt;=" &amp; $A185, Table2[AwayTeam], I$1)+SUMIFS(Table2[NewPointsHome],Table2[GameDate], "&lt;=" &amp; $A185, Table2[HomeTeam], I$1)</f>
        <v>48</v>
      </c>
      <c r="J185" s="145">
        <f>SUMIFS(Table2[NewPointsAway],Table2[GameDate], "&lt;=" &amp; $A185, Table2[AwayTeam], J$1)+SUMIFS(Table2[NewPointsHome],Table2[GameDate], "&lt;=" &amp; $A185, Table2[HomeTeam], J$1)</f>
        <v>45</v>
      </c>
      <c r="K185" s="145">
        <f>SUMIFS(Table2[NewPointsAway],Table2[GameDate], "&lt;=" &amp; $A185, Table2[AwayTeam], K$1)+SUMIFS(Table2[NewPointsHome],Table2[GameDate], "&lt;=" &amp; $A185, Table2[HomeTeam], K$1)</f>
        <v>35</v>
      </c>
      <c r="L185" s="145">
        <f>SUMIFS(Table2[NewPointsAway],Table2[GameDate], "&lt;=" &amp; $A185, Table2[AwayTeam], L$1)+SUMIFS(Table2[NewPointsHome],Table2[GameDate], "&lt;=" &amp; $A185, Table2[HomeTeam], L$1)</f>
        <v>31</v>
      </c>
      <c r="M185" s="145">
        <f>SUMIFS(Table2[NewPointsAway],Table2[GameDate], "&lt;=" &amp; $A185, Table2[AwayTeam], M$1)+SUMIFS(Table2[NewPointsHome],Table2[GameDate], "&lt;=" &amp; $A185, Table2[HomeTeam], M$1)</f>
        <v>30</v>
      </c>
      <c r="N185" s="145">
        <f>SUMIFS(Table2[NewPointsAway],Table2[GameDate], "&lt;=" &amp; $A185, Table2[AwayTeam], N$1)+SUMIFS(Table2[NewPointsHome],Table2[GameDate], "&lt;=" &amp; $A185, Table2[HomeTeam], N$1)</f>
        <v>35</v>
      </c>
      <c r="O185" s="145">
        <f>SUMIFS(Table2[NewPointsAway],Table2[GameDate], "&lt;=" &amp; $A185, Table2[AwayTeam], O$1)+SUMIFS(Table2[NewPointsHome],Table2[GameDate], "&lt;=" &amp; $A185, Table2[HomeTeam], O$1)</f>
        <v>37</v>
      </c>
      <c r="P185" s="145">
        <f>SUMIFS(Table2[NewPointsAway],Table2[GameDate], "&lt;=" &amp; $A185, Table2[AwayTeam], P$1)+SUMIFS(Table2[NewPointsHome],Table2[GameDate], "&lt;=" &amp; $A185, Table2[HomeTeam], P$1)</f>
        <v>33</v>
      </c>
      <c r="Q185" s="145">
        <f>SUMIFS(Table2[NewPointsAway],Table2[GameDate], "&lt;=" &amp; $A185, Table2[AwayTeam], Q$1)+SUMIFS(Table2[NewPointsHome],Table2[GameDate], "&lt;=" &amp; $A185, Table2[HomeTeam], Q$1)</f>
        <v>33</v>
      </c>
      <c r="R185" s="145">
        <f>SUMIFS(Table2[NewPointsAway],Table2[GameDate], "&lt;=" &amp; $A185, Table2[AwayTeam], R$1)+SUMIFS(Table2[NewPointsHome],Table2[GameDate], "&lt;=" &amp; $A185, Table2[HomeTeam], R$1)</f>
        <v>24</v>
      </c>
      <c r="S185" s="145">
        <f>SUMIFS(Table2[NewPointsAway],Table2[GameDate], "&lt;=" &amp; $A185, Table2[AwayTeam], S$1)+SUMIFS(Table2[NewPointsHome],Table2[GameDate], "&lt;=" &amp; $A185, Table2[HomeTeam], S$1)</f>
        <v>35</v>
      </c>
      <c r="T185" s="145">
        <f>SUMIFS(Table2[NewPointsAway],Table2[GameDate], "&lt;=" &amp; $A185, Table2[AwayTeam], T$1)+SUMIFS(Table2[NewPointsHome],Table2[GameDate], "&lt;=" &amp; $A185, Table2[HomeTeam], T$1)</f>
        <v>34</v>
      </c>
      <c r="U185" s="145">
        <f>SUMIFS(Table2[NewPointsAway],Table2[GameDate], "&lt;=" &amp; $A185, Table2[AwayTeam], U$1)+SUMIFS(Table2[NewPointsHome],Table2[GameDate], "&lt;=" &amp; $A185, Table2[HomeTeam], U$1)</f>
        <v>30</v>
      </c>
      <c r="V185" s="145">
        <f>SUMIFS(Table2[NewPointsAway],Table2[GameDate], "&lt;=" &amp; $A185, Table2[AwayTeam], V$1)+SUMIFS(Table2[NewPointsHome],Table2[GameDate], "&lt;=" &amp; $A185, Table2[HomeTeam], V$1)</f>
        <v>32</v>
      </c>
      <c r="W185" s="145">
        <f>SUMIFS(Table2[NewPointsAway],Table2[GameDate], "&lt;=" &amp; $A185, Table2[AwayTeam], W$1)+SUMIFS(Table2[NewPointsHome],Table2[GameDate], "&lt;=" &amp; $A185, Table2[HomeTeam], W$1)</f>
        <v>34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31</v>
      </c>
      <c r="Z185" s="145">
        <f>SUMIFS(Table2[NewPointsAway],Table2[GameDate], "&lt;=" &amp; $A185, Table2[AwayTeam], Z$1)+SUMIFS(Table2[NewPointsHome],Table2[GameDate], "&lt;=" &amp; $A185, Table2[HomeTeam], Z$1)</f>
        <v>30</v>
      </c>
      <c r="AA185" s="145">
        <f>SUMIFS(Table2[NewPointsAway],Table2[GameDate], "&lt;=" &amp; $A185, Table2[AwayTeam], AA$1)+SUMIFS(Table2[NewPointsHome],Table2[GameDate], "&lt;=" &amp; $A185, Table2[HomeTeam], AA$1)</f>
        <v>34</v>
      </c>
      <c r="AB185" s="145">
        <f>SUMIFS(Table2[NewPointsAway],Table2[GameDate], "&lt;=" &amp; $A185, Table2[AwayTeam], AB$1)+SUMIFS(Table2[NewPointsHome],Table2[GameDate], "&lt;=" &amp; $A185, Table2[HomeTeam], AB$1)</f>
        <v>32</v>
      </c>
      <c r="AC185" s="145">
        <f>SUMIFS(Table2[NewPointsAway],Table2[GameDate], "&lt;=" &amp; $A185, Table2[AwayTeam], AC$1)+SUMIFS(Table2[NewPointsHome],Table2[GameDate], "&lt;=" &amp; $A185, Table2[HomeTeam], AC$1)</f>
        <v>31</v>
      </c>
      <c r="AD185" s="145">
        <f>SUMIFS(Table2[NewPointsAway],Table2[GameDate], "&lt;=" &amp; $A185, Table2[AwayTeam], AD$1)+SUMIFS(Table2[NewPointsHome],Table2[GameDate], "&lt;=" &amp; $A185, Table2[HomeTeam], AD$1)</f>
        <v>25</v>
      </c>
      <c r="AE185" s="145">
        <f>SUMIFS(Table2[NewPointsAway],Table2[GameDate], "&lt;=" &amp; $A185, Table2[AwayTeam], AE$1)+SUMIFS(Table2[NewPointsHome],Table2[GameDate], "&lt;=" &amp; $A185, Table2[HomeTeam], AE$1)</f>
        <v>36</v>
      </c>
      <c r="AF185" s="145">
        <f>SUMIFS(Table2[NewPointsAway],Table2[GameDate], "&lt;=" &amp; $A185, Table2[AwayTeam], AF$1)+SUMIFS(Table2[NewPointsHome],Table2[GameDate], "&lt;=" &amp; $A185, Table2[HomeTeam], AF$1)</f>
        <v>29</v>
      </c>
      <c r="AG185" s="145">
        <f>SUMIFS(Table2[NewPointsAway],Table2[GameDate], "&lt;=" &amp; $A185, Table2[AwayTeam], AG$1)+SUMIFS(Table2[NewPointsHome],Table2[GameDate], "&lt;=" &amp; $A185, Table2[HomeTeam], AG$1)</f>
        <v>39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37</v>
      </c>
      <c r="C186" s="145">
        <f>SUMIFS(Table2[NewPointsAway],Table2[GameDate], "&lt;=" &amp; $A186, Table2[AwayTeam], C$1)+SUMIFS(Table2[NewPointsHome],Table2[GameDate], "&lt;=" &amp; $A186, Table2[HomeTeam], C$1)</f>
        <v>34</v>
      </c>
      <c r="D186" s="145">
        <f>SUMIFS(Table2[NewPointsAway],Table2[GameDate], "&lt;=" &amp; $A186, Table2[AwayTeam], D$1)+SUMIFS(Table2[NewPointsHome],Table2[GameDate], "&lt;=" &amp; $A186, Table2[HomeTeam], D$1)</f>
        <v>26</v>
      </c>
      <c r="E186" s="145">
        <f>SUMIFS(Table2[NewPointsAway],Table2[GameDate], "&lt;=" &amp; $A186, Table2[AwayTeam], E$1)+SUMIFS(Table2[NewPointsHome],Table2[GameDate], "&lt;=" &amp; $A186, Table2[HomeTeam], E$1)</f>
        <v>36</v>
      </c>
      <c r="F186" s="145">
        <f>SUMIFS(Table2[NewPointsAway],Table2[GameDate], "&lt;=" &amp; $A186, Table2[AwayTeam], F$1)+SUMIFS(Table2[NewPointsHome],Table2[GameDate], "&lt;=" &amp; $A186, Table2[HomeTeam], F$1)</f>
        <v>32</v>
      </c>
      <c r="G186" s="145">
        <f>SUMIFS(Table2[NewPointsAway],Table2[GameDate], "&lt;=" &amp; $A186, Table2[AwayTeam], G$1)+SUMIFS(Table2[NewPointsHome],Table2[GameDate], "&lt;=" &amp; $A186, Table2[HomeTeam], G$1)</f>
        <v>28</v>
      </c>
      <c r="H186" s="145">
        <f>SUMIFS(Table2[NewPointsAway],Table2[GameDate], "&lt;=" &amp; $A186, Table2[AwayTeam], H$1)+SUMIFS(Table2[NewPointsHome],Table2[GameDate], "&lt;=" &amp; $A186, Table2[HomeTeam], H$1)</f>
        <v>30</v>
      </c>
      <c r="I186" s="145">
        <f>SUMIFS(Table2[NewPointsAway],Table2[GameDate], "&lt;=" &amp; $A186, Table2[AwayTeam], I$1)+SUMIFS(Table2[NewPointsHome],Table2[GameDate], "&lt;=" &amp; $A186, Table2[HomeTeam], I$1)</f>
        <v>48</v>
      </c>
      <c r="J186" s="145">
        <f>SUMIFS(Table2[NewPointsAway],Table2[GameDate], "&lt;=" &amp; $A186, Table2[AwayTeam], J$1)+SUMIFS(Table2[NewPointsHome],Table2[GameDate], "&lt;=" &amp; $A186, Table2[HomeTeam], J$1)</f>
        <v>45</v>
      </c>
      <c r="K186" s="145">
        <f>SUMIFS(Table2[NewPointsAway],Table2[GameDate], "&lt;=" &amp; $A186, Table2[AwayTeam], K$1)+SUMIFS(Table2[NewPointsHome],Table2[GameDate], "&lt;=" &amp; $A186, Table2[HomeTeam], K$1)</f>
        <v>35</v>
      </c>
      <c r="L186" s="145">
        <f>SUMIFS(Table2[NewPointsAway],Table2[GameDate], "&lt;=" &amp; $A186, Table2[AwayTeam], L$1)+SUMIFS(Table2[NewPointsHome],Table2[GameDate], "&lt;=" &amp; $A186, Table2[HomeTeam], L$1)</f>
        <v>31</v>
      </c>
      <c r="M186" s="145">
        <f>SUMIFS(Table2[NewPointsAway],Table2[GameDate], "&lt;=" &amp; $A186, Table2[AwayTeam], M$1)+SUMIFS(Table2[NewPointsHome],Table2[GameDate], "&lt;=" &amp; $A186, Table2[HomeTeam], M$1)</f>
        <v>30</v>
      </c>
      <c r="N186" s="145">
        <f>SUMIFS(Table2[NewPointsAway],Table2[GameDate], "&lt;=" &amp; $A186, Table2[AwayTeam], N$1)+SUMIFS(Table2[NewPointsHome],Table2[GameDate], "&lt;=" &amp; $A186, Table2[HomeTeam], N$1)</f>
        <v>35</v>
      </c>
      <c r="O186" s="145">
        <f>SUMIFS(Table2[NewPointsAway],Table2[GameDate], "&lt;=" &amp; $A186, Table2[AwayTeam], O$1)+SUMIFS(Table2[NewPointsHome],Table2[GameDate], "&lt;=" &amp; $A186, Table2[HomeTeam], O$1)</f>
        <v>37</v>
      </c>
      <c r="P186" s="145">
        <f>SUMIFS(Table2[NewPointsAway],Table2[GameDate], "&lt;=" &amp; $A186, Table2[AwayTeam], P$1)+SUMIFS(Table2[NewPointsHome],Table2[GameDate], "&lt;=" &amp; $A186, Table2[HomeTeam], P$1)</f>
        <v>33</v>
      </c>
      <c r="Q186" s="145">
        <f>SUMIFS(Table2[NewPointsAway],Table2[GameDate], "&lt;=" &amp; $A186, Table2[AwayTeam], Q$1)+SUMIFS(Table2[NewPointsHome],Table2[GameDate], "&lt;=" &amp; $A186, Table2[HomeTeam], Q$1)</f>
        <v>33</v>
      </c>
      <c r="R186" s="145">
        <f>SUMIFS(Table2[NewPointsAway],Table2[GameDate], "&lt;=" &amp; $A186, Table2[AwayTeam], R$1)+SUMIFS(Table2[NewPointsHome],Table2[GameDate], "&lt;=" &amp; $A186, Table2[HomeTeam], R$1)</f>
        <v>24</v>
      </c>
      <c r="S186" s="145">
        <f>SUMIFS(Table2[NewPointsAway],Table2[GameDate], "&lt;=" &amp; $A186, Table2[AwayTeam], S$1)+SUMIFS(Table2[NewPointsHome],Table2[GameDate], "&lt;=" &amp; $A186, Table2[HomeTeam], S$1)</f>
        <v>35</v>
      </c>
      <c r="T186" s="145">
        <f>SUMIFS(Table2[NewPointsAway],Table2[GameDate], "&lt;=" &amp; $A186, Table2[AwayTeam], T$1)+SUMIFS(Table2[NewPointsHome],Table2[GameDate], "&lt;=" &amp; $A186, Table2[HomeTeam], T$1)</f>
        <v>34</v>
      </c>
      <c r="U186" s="145">
        <f>SUMIFS(Table2[NewPointsAway],Table2[GameDate], "&lt;=" &amp; $A186, Table2[AwayTeam], U$1)+SUMIFS(Table2[NewPointsHome],Table2[GameDate], "&lt;=" &amp; $A186, Table2[HomeTeam], U$1)</f>
        <v>30</v>
      </c>
      <c r="V186" s="145">
        <f>SUMIFS(Table2[NewPointsAway],Table2[GameDate], "&lt;=" &amp; $A186, Table2[AwayTeam], V$1)+SUMIFS(Table2[NewPointsHome],Table2[GameDate], "&lt;=" &amp; $A186, Table2[HomeTeam], V$1)</f>
        <v>32</v>
      </c>
      <c r="W186" s="145">
        <f>SUMIFS(Table2[NewPointsAway],Table2[GameDate], "&lt;=" &amp; $A186, Table2[AwayTeam], W$1)+SUMIFS(Table2[NewPointsHome],Table2[GameDate], "&lt;=" &amp; $A186, Table2[HomeTeam], W$1)</f>
        <v>34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31</v>
      </c>
      <c r="Z186" s="145">
        <f>SUMIFS(Table2[NewPointsAway],Table2[GameDate], "&lt;=" &amp; $A186, Table2[AwayTeam], Z$1)+SUMIFS(Table2[NewPointsHome],Table2[GameDate], "&lt;=" &amp; $A186, Table2[HomeTeam], Z$1)</f>
        <v>30</v>
      </c>
      <c r="AA186" s="145">
        <f>SUMIFS(Table2[NewPointsAway],Table2[GameDate], "&lt;=" &amp; $A186, Table2[AwayTeam], AA$1)+SUMIFS(Table2[NewPointsHome],Table2[GameDate], "&lt;=" &amp; $A186, Table2[HomeTeam], AA$1)</f>
        <v>34</v>
      </c>
      <c r="AB186" s="145">
        <f>SUMIFS(Table2[NewPointsAway],Table2[GameDate], "&lt;=" &amp; $A186, Table2[AwayTeam], AB$1)+SUMIFS(Table2[NewPointsHome],Table2[GameDate], "&lt;=" &amp; $A186, Table2[HomeTeam], AB$1)</f>
        <v>32</v>
      </c>
      <c r="AC186" s="145">
        <f>SUMIFS(Table2[NewPointsAway],Table2[GameDate], "&lt;=" &amp; $A186, Table2[AwayTeam], AC$1)+SUMIFS(Table2[NewPointsHome],Table2[GameDate], "&lt;=" &amp; $A186, Table2[HomeTeam], AC$1)</f>
        <v>31</v>
      </c>
      <c r="AD186" s="145">
        <f>SUMIFS(Table2[NewPointsAway],Table2[GameDate], "&lt;=" &amp; $A186, Table2[AwayTeam], AD$1)+SUMIFS(Table2[NewPointsHome],Table2[GameDate], "&lt;=" &amp; $A186, Table2[HomeTeam], AD$1)</f>
        <v>25</v>
      </c>
      <c r="AE186" s="145">
        <f>SUMIFS(Table2[NewPointsAway],Table2[GameDate], "&lt;=" &amp; $A186, Table2[AwayTeam], AE$1)+SUMIFS(Table2[NewPointsHome],Table2[GameDate], "&lt;=" &amp; $A186, Table2[HomeTeam], AE$1)</f>
        <v>36</v>
      </c>
      <c r="AF186" s="145">
        <f>SUMIFS(Table2[NewPointsAway],Table2[GameDate], "&lt;=" &amp; $A186, Table2[AwayTeam], AF$1)+SUMIFS(Table2[NewPointsHome],Table2[GameDate], "&lt;=" &amp; $A186, Table2[HomeTeam], AF$1)</f>
        <v>29</v>
      </c>
      <c r="AG186" s="145">
        <f>SUMIFS(Table2[NewPointsAway],Table2[GameDate], "&lt;=" &amp; $A186, Table2[AwayTeam], AG$1)+SUMIFS(Table2[NewPointsHome],Table2[GameDate], "&lt;=" &amp; $A186, Table2[HomeTeam], AG$1)</f>
        <v>39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37</v>
      </c>
      <c r="C187" s="145">
        <f>SUMIFS(Table2[NewPointsAway],Table2[GameDate], "&lt;=" &amp; $A187, Table2[AwayTeam], C$1)+SUMIFS(Table2[NewPointsHome],Table2[GameDate], "&lt;=" &amp; $A187, Table2[HomeTeam], C$1)</f>
        <v>34</v>
      </c>
      <c r="D187" s="145">
        <f>SUMIFS(Table2[NewPointsAway],Table2[GameDate], "&lt;=" &amp; $A187, Table2[AwayTeam], D$1)+SUMIFS(Table2[NewPointsHome],Table2[GameDate], "&lt;=" &amp; $A187, Table2[HomeTeam], D$1)</f>
        <v>26</v>
      </c>
      <c r="E187" s="145">
        <f>SUMIFS(Table2[NewPointsAway],Table2[GameDate], "&lt;=" &amp; $A187, Table2[AwayTeam], E$1)+SUMIFS(Table2[NewPointsHome],Table2[GameDate], "&lt;=" &amp; $A187, Table2[HomeTeam], E$1)</f>
        <v>36</v>
      </c>
      <c r="F187" s="145">
        <f>SUMIFS(Table2[NewPointsAway],Table2[GameDate], "&lt;=" &amp; $A187, Table2[AwayTeam], F$1)+SUMIFS(Table2[NewPointsHome],Table2[GameDate], "&lt;=" &amp; $A187, Table2[HomeTeam], F$1)</f>
        <v>32</v>
      </c>
      <c r="G187" s="145">
        <f>SUMIFS(Table2[NewPointsAway],Table2[GameDate], "&lt;=" &amp; $A187, Table2[AwayTeam], G$1)+SUMIFS(Table2[NewPointsHome],Table2[GameDate], "&lt;=" &amp; $A187, Table2[HomeTeam], G$1)</f>
        <v>28</v>
      </c>
      <c r="H187" s="145">
        <f>SUMIFS(Table2[NewPointsAway],Table2[GameDate], "&lt;=" &amp; $A187, Table2[AwayTeam], H$1)+SUMIFS(Table2[NewPointsHome],Table2[GameDate], "&lt;=" &amp; $A187, Table2[HomeTeam], H$1)</f>
        <v>30</v>
      </c>
      <c r="I187" s="145">
        <f>SUMIFS(Table2[NewPointsAway],Table2[GameDate], "&lt;=" &amp; $A187, Table2[AwayTeam], I$1)+SUMIFS(Table2[NewPointsHome],Table2[GameDate], "&lt;=" &amp; $A187, Table2[HomeTeam], I$1)</f>
        <v>48</v>
      </c>
      <c r="J187" s="145">
        <f>SUMIFS(Table2[NewPointsAway],Table2[GameDate], "&lt;=" &amp; $A187, Table2[AwayTeam], J$1)+SUMIFS(Table2[NewPointsHome],Table2[GameDate], "&lt;=" &amp; $A187, Table2[HomeTeam], J$1)</f>
        <v>45</v>
      </c>
      <c r="K187" s="145">
        <f>SUMIFS(Table2[NewPointsAway],Table2[GameDate], "&lt;=" &amp; $A187, Table2[AwayTeam], K$1)+SUMIFS(Table2[NewPointsHome],Table2[GameDate], "&lt;=" &amp; $A187, Table2[HomeTeam], K$1)</f>
        <v>35</v>
      </c>
      <c r="L187" s="145">
        <f>SUMIFS(Table2[NewPointsAway],Table2[GameDate], "&lt;=" &amp; $A187, Table2[AwayTeam], L$1)+SUMIFS(Table2[NewPointsHome],Table2[GameDate], "&lt;=" &amp; $A187, Table2[HomeTeam], L$1)</f>
        <v>31</v>
      </c>
      <c r="M187" s="145">
        <f>SUMIFS(Table2[NewPointsAway],Table2[GameDate], "&lt;=" &amp; $A187, Table2[AwayTeam], M$1)+SUMIFS(Table2[NewPointsHome],Table2[GameDate], "&lt;=" &amp; $A187, Table2[HomeTeam], M$1)</f>
        <v>30</v>
      </c>
      <c r="N187" s="145">
        <f>SUMIFS(Table2[NewPointsAway],Table2[GameDate], "&lt;=" &amp; $A187, Table2[AwayTeam], N$1)+SUMIFS(Table2[NewPointsHome],Table2[GameDate], "&lt;=" &amp; $A187, Table2[HomeTeam], N$1)</f>
        <v>35</v>
      </c>
      <c r="O187" s="145">
        <f>SUMIFS(Table2[NewPointsAway],Table2[GameDate], "&lt;=" &amp; $A187, Table2[AwayTeam], O$1)+SUMIFS(Table2[NewPointsHome],Table2[GameDate], "&lt;=" &amp; $A187, Table2[HomeTeam], O$1)</f>
        <v>37</v>
      </c>
      <c r="P187" s="145">
        <f>SUMIFS(Table2[NewPointsAway],Table2[GameDate], "&lt;=" &amp; $A187, Table2[AwayTeam], P$1)+SUMIFS(Table2[NewPointsHome],Table2[GameDate], "&lt;=" &amp; $A187, Table2[HomeTeam], P$1)</f>
        <v>33</v>
      </c>
      <c r="Q187" s="145">
        <f>SUMIFS(Table2[NewPointsAway],Table2[GameDate], "&lt;=" &amp; $A187, Table2[AwayTeam], Q$1)+SUMIFS(Table2[NewPointsHome],Table2[GameDate], "&lt;=" &amp; $A187, Table2[HomeTeam], Q$1)</f>
        <v>33</v>
      </c>
      <c r="R187" s="145">
        <f>SUMIFS(Table2[NewPointsAway],Table2[GameDate], "&lt;=" &amp; $A187, Table2[AwayTeam], R$1)+SUMIFS(Table2[NewPointsHome],Table2[GameDate], "&lt;=" &amp; $A187, Table2[HomeTeam], R$1)</f>
        <v>24</v>
      </c>
      <c r="S187" s="145">
        <f>SUMIFS(Table2[NewPointsAway],Table2[GameDate], "&lt;=" &amp; $A187, Table2[AwayTeam], S$1)+SUMIFS(Table2[NewPointsHome],Table2[GameDate], "&lt;=" &amp; $A187, Table2[HomeTeam], S$1)</f>
        <v>35</v>
      </c>
      <c r="T187" s="145">
        <f>SUMIFS(Table2[NewPointsAway],Table2[GameDate], "&lt;=" &amp; $A187, Table2[AwayTeam], T$1)+SUMIFS(Table2[NewPointsHome],Table2[GameDate], "&lt;=" &amp; $A187, Table2[HomeTeam], T$1)</f>
        <v>34</v>
      </c>
      <c r="U187" s="145">
        <f>SUMIFS(Table2[NewPointsAway],Table2[GameDate], "&lt;=" &amp; $A187, Table2[AwayTeam], U$1)+SUMIFS(Table2[NewPointsHome],Table2[GameDate], "&lt;=" &amp; $A187, Table2[HomeTeam], U$1)</f>
        <v>30</v>
      </c>
      <c r="V187" s="145">
        <f>SUMIFS(Table2[NewPointsAway],Table2[GameDate], "&lt;=" &amp; $A187, Table2[AwayTeam], V$1)+SUMIFS(Table2[NewPointsHome],Table2[GameDate], "&lt;=" &amp; $A187, Table2[HomeTeam], V$1)</f>
        <v>32</v>
      </c>
      <c r="W187" s="145">
        <f>SUMIFS(Table2[NewPointsAway],Table2[GameDate], "&lt;=" &amp; $A187, Table2[AwayTeam], W$1)+SUMIFS(Table2[NewPointsHome],Table2[GameDate], "&lt;=" &amp; $A187, Table2[HomeTeam], W$1)</f>
        <v>34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31</v>
      </c>
      <c r="Z187" s="145">
        <f>SUMIFS(Table2[NewPointsAway],Table2[GameDate], "&lt;=" &amp; $A187, Table2[AwayTeam], Z$1)+SUMIFS(Table2[NewPointsHome],Table2[GameDate], "&lt;=" &amp; $A187, Table2[HomeTeam], Z$1)</f>
        <v>30</v>
      </c>
      <c r="AA187" s="145">
        <f>SUMIFS(Table2[NewPointsAway],Table2[GameDate], "&lt;=" &amp; $A187, Table2[AwayTeam], AA$1)+SUMIFS(Table2[NewPointsHome],Table2[GameDate], "&lt;=" &amp; $A187, Table2[HomeTeam], AA$1)</f>
        <v>34</v>
      </c>
      <c r="AB187" s="145">
        <f>SUMIFS(Table2[NewPointsAway],Table2[GameDate], "&lt;=" &amp; $A187, Table2[AwayTeam], AB$1)+SUMIFS(Table2[NewPointsHome],Table2[GameDate], "&lt;=" &amp; $A187, Table2[HomeTeam], AB$1)</f>
        <v>32</v>
      </c>
      <c r="AC187" s="145">
        <f>SUMIFS(Table2[NewPointsAway],Table2[GameDate], "&lt;=" &amp; $A187, Table2[AwayTeam], AC$1)+SUMIFS(Table2[NewPointsHome],Table2[GameDate], "&lt;=" &amp; $A187, Table2[HomeTeam], AC$1)</f>
        <v>31</v>
      </c>
      <c r="AD187" s="145">
        <f>SUMIFS(Table2[NewPointsAway],Table2[GameDate], "&lt;=" &amp; $A187, Table2[AwayTeam], AD$1)+SUMIFS(Table2[NewPointsHome],Table2[GameDate], "&lt;=" &amp; $A187, Table2[HomeTeam], AD$1)</f>
        <v>25</v>
      </c>
      <c r="AE187" s="145">
        <f>SUMIFS(Table2[NewPointsAway],Table2[GameDate], "&lt;=" &amp; $A187, Table2[AwayTeam], AE$1)+SUMIFS(Table2[NewPointsHome],Table2[GameDate], "&lt;=" &amp; $A187, Table2[HomeTeam], AE$1)</f>
        <v>36</v>
      </c>
      <c r="AF187" s="145">
        <f>SUMIFS(Table2[NewPointsAway],Table2[GameDate], "&lt;=" &amp; $A187, Table2[AwayTeam], AF$1)+SUMIFS(Table2[NewPointsHome],Table2[GameDate], "&lt;=" &amp; $A187, Table2[HomeTeam], AF$1)</f>
        <v>29</v>
      </c>
      <c r="AG187" s="145">
        <f>SUMIFS(Table2[NewPointsAway],Table2[GameDate], "&lt;=" &amp; $A187, Table2[AwayTeam], AG$1)+SUMIFS(Table2[NewPointsHome],Table2[GameDate], "&lt;=" &amp; $A187, Table2[HomeTeam], AG$1)</f>
        <v>39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37</v>
      </c>
      <c r="C188" s="145">
        <f>SUMIFS(Table2[NewPointsAway],Table2[GameDate], "&lt;=" &amp; $A188, Table2[AwayTeam], C$1)+SUMIFS(Table2[NewPointsHome],Table2[GameDate], "&lt;=" &amp; $A188, Table2[HomeTeam], C$1)</f>
        <v>34</v>
      </c>
      <c r="D188" s="145">
        <f>SUMIFS(Table2[NewPointsAway],Table2[GameDate], "&lt;=" &amp; $A188, Table2[AwayTeam], D$1)+SUMIFS(Table2[NewPointsHome],Table2[GameDate], "&lt;=" &amp; $A188, Table2[HomeTeam], D$1)</f>
        <v>26</v>
      </c>
      <c r="E188" s="145">
        <f>SUMIFS(Table2[NewPointsAway],Table2[GameDate], "&lt;=" &amp; $A188, Table2[AwayTeam], E$1)+SUMIFS(Table2[NewPointsHome],Table2[GameDate], "&lt;=" &amp; $A188, Table2[HomeTeam], E$1)</f>
        <v>36</v>
      </c>
      <c r="F188" s="145">
        <f>SUMIFS(Table2[NewPointsAway],Table2[GameDate], "&lt;=" &amp; $A188, Table2[AwayTeam], F$1)+SUMIFS(Table2[NewPointsHome],Table2[GameDate], "&lt;=" &amp; $A188, Table2[HomeTeam], F$1)</f>
        <v>32</v>
      </c>
      <c r="G188" s="145">
        <f>SUMIFS(Table2[NewPointsAway],Table2[GameDate], "&lt;=" &amp; $A188, Table2[AwayTeam], G$1)+SUMIFS(Table2[NewPointsHome],Table2[GameDate], "&lt;=" &amp; $A188, Table2[HomeTeam], G$1)</f>
        <v>28</v>
      </c>
      <c r="H188" s="145">
        <f>SUMIFS(Table2[NewPointsAway],Table2[GameDate], "&lt;=" &amp; $A188, Table2[AwayTeam], H$1)+SUMIFS(Table2[NewPointsHome],Table2[GameDate], "&lt;=" &amp; $A188, Table2[HomeTeam], H$1)</f>
        <v>30</v>
      </c>
      <c r="I188" s="145">
        <f>SUMIFS(Table2[NewPointsAway],Table2[GameDate], "&lt;=" &amp; $A188, Table2[AwayTeam], I$1)+SUMIFS(Table2[NewPointsHome],Table2[GameDate], "&lt;=" &amp; $A188, Table2[HomeTeam], I$1)</f>
        <v>48</v>
      </c>
      <c r="J188" s="145">
        <f>SUMIFS(Table2[NewPointsAway],Table2[GameDate], "&lt;=" &amp; $A188, Table2[AwayTeam], J$1)+SUMIFS(Table2[NewPointsHome],Table2[GameDate], "&lt;=" &amp; $A188, Table2[HomeTeam], J$1)</f>
        <v>45</v>
      </c>
      <c r="K188" s="145">
        <f>SUMIFS(Table2[NewPointsAway],Table2[GameDate], "&lt;=" &amp; $A188, Table2[AwayTeam], K$1)+SUMIFS(Table2[NewPointsHome],Table2[GameDate], "&lt;=" &amp; $A188, Table2[HomeTeam], K$1)</f>
        <v>35</v>
      </c>
      <c r="L188" s="145">
        <f>SUMIFS(Table2[NewPointsAway],Table2[GameDate], "&lt;=" &amp; $A188, Table2[AwayTeam], L$1)+SUMIFS(Table2[NewPointsHome],Table2[GameDate], "&lt;=" &amp; $A188, Table2[HomeTeam], L$1)</f>
        <v>31</v>
      </c>
      <c r="M188" s="145">
        <f>SUMIFS(Table2[NewPointsAway],Table2[GameDate], "&lt;=" &amp; $A188, Table2[AwayTeam], M$1)+SUMIFS(Table2[NewPointsHome],Table2[GameDate], "&lt;=" &amp; $A188, Table2[HomeTeam], M$1)</f>
        <v>30</v>
      </c>
      <c r="N188" s="145">
        <f>SUMIFS(Table2[NewPointsAway],Table2[GameDate], "&lt;=" &amp; $A188, Table2[AwayTeam], N$1)+SUMIFS(Table2[NewPointsHome],Table2[GameDate], "&lt;=" &amp; $A188, Table2[HomeTeam], N$1)</f>
        <v>35</v>
      </c>
      <c r="O188" s="145">
        <f>SUMIFS(Table2[NewPointsAway],Table2[GameDate], "&lt;=" &amp; $A188, Table2[AwayTeam], O$1)+SUMIFS(Table2[NewPointsHome],Table2[GameDate], "&lt;=" &amp; $A188, Table2[HomeTeam], O$1)</f>
        <v>37</v>
      </c>
      <c r="P188" s="145">
        <f>SUMIFS(Table2[NewPointsAway],Table2[GameDate], "&lt;=" &amp; $A188, Table2[AwayTeam], P$1)+SUMIFS(Table2[NewPointsHome],Table2[GameDate], "&lt;=" &amp; $A188, Table2[HomeTeam], P$1)</f>
        <v>33</v>
      </c>
      <c r="Q188" s="145">
        <f>SUMIFS(Table2[NewPointsAway],Table2[GameDate], "&lt;=" &amp; $A188, Table2[AwayTeam], Q$1)+SUMIFS(Table2[NewPointsHome],Table2[GameDate], "&lt;=" &amp; $A188, Table2[HomeTeam], Q$1)</f>
        <v>33</v>
      </c>
      <c r="R188" s="145">
        <f>SUMIFS(Table2[NewPointsAway],Table2[GameDate], "&lt;=" &amp; $A188, Table2[AwayTeam], R$1)+SUMIFS(Table2[NewPointsHome],Table2[GameDate], "&lt;=" &amp; $A188, Table2[HomeTeam], R$1)</f>
        <v>24</v>
      </c>
      <c r="S188" s="145">
        <f>SUMIFS(Table2[NewPointsAway],Table2[GameDate], "&lt;=" &amp; $A188, Table2[AwayTeam], S$1)+SUMIFS(Table2[NewPointsHome],Table2[GameDate], "&lt;=" &amp; $A188, Table2[HomeTeam], S$1)</f>
        <v>35</v>
      </c>
      <c r="T188" s="145">
        <f>SUMIFS(Table2[NewPointsAway],Table2[GameDate], "&lt;=" &amp; $A188, Table2[AwayTeam], T$1)+SUMIFS(Table2[NewPointsHome],Table2[GameDate], "&lt;=" &amp; $A188, Table2[HomeTeam], T$1)</f>
        <v>34</v>
      </c>
      <c r="U188" s="145">
        <f>SUMIFS(Table2[NewPointsAway],Table2[GameDate], "&lt;=" &amp; $A188, Table2[AwayTeam], U$1)+SUMIFS(Table2[NewPointsHome],Table2[GameDate], "&lt;=" &amp; $A188, Table2[HomeTeam], U$1)</f>
        <v>30</v>
      </c>
      <c r="V188" s="145">
        <f>SUMIFS(Table2[NewPointsAway],Table2[GameDate], "&lt;=" &amp; $A188, Table2[AwayTeam], V$1)+SUMIFS(Table2[NewPointsHome],Table2[GameDate], "&lt;=" &amp; $A188, Table2[HomeTeam], V$1)</f>
        <v>32</v>
      </c>
      <c r="W188" s="145">
        <f>SUMIFS(Table2[NewPointsAway],Table2[GameDate], "&lt;=" &amp; $A188, Table2[AwayTeam], W$1)+SUMIFS(Table2[NewPointsHome],Table2[GameDate], "&lt;=" &amp; $A188, Table2[HomeTeam], W$1)</f>
        <v>34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31</v>
      </c>
      <c r="Z188" s="145">
        <f>SUMIFS(Table2[NewPointsAway],Table2[GameDate], "&lt;=" &amp; $A188, Table2[AwayTeam], Z$1)+SUMIFS(Table2[NewPointsHome],Table2[GameDate], "&lt;=" &amp; $A188, Table2[HomeTeam], Z$1)</f>
        <v>30</v>
      </c>
      <c r="AA188" s="145">
        <f>SUMIFS(Table2[NewPointsAway],Table2[GameDate], "&lt;=" &amp; $A188, Table2[AwayTeam], AA$1)+SUMIFS(Table2[NewPointsHome],Table2[GameDate], "&lt;=" &amp; $A188, Table2[HomeTeam], AA$1)</f>
        <v>34</v>
      </c>
      <c r="AB188" s="145">
        <f>SUMIFS(Table2[NewPointsAway],Table2[GameDate], "&lt;=" &amp; $A188, Table2[AwayTeam], AB$1)+SUMIFS(Table2[NewPointsHome],Table2[GameDate], "&lt;=" &amp; $A188, Table2[HomeTeam], AB$1)</f>
        <v>32</v>
      </c>
      <c r="AC188" s="145">
        <f>SUMIFS(Table2[NewPointsAway],Table2[GameDate], "&lt;=" &amp; $A188, Table2[AwayTeam], AC$1)+SUMIFS(Table2[NewPointsHome],Table2[GameDate], "&lt;=" &amp; $A188, Table2[HomeTeam], AC$1)</f>
        <v>31</v>
      </c>
      <c r="AD188" s="145">
        <f>SUMIFS(Table2[NewPointsAway],Table2[GameDate], "&lt;=" &amp; $A188, Table2[AwayTeam], AD$1)+SUMIFS(Table2[NewPointsHome],Table2[GameDate], "&lt;=" &amp; $A188, Table2[HomeTeam], AD$1)</f>
        <v>25</v>
      </c>
      <c r="AE188" s="145">
        <f>SUMIFS(Table2[NewPointsAway],Table2[GameDate], "&lt;=" &amp; $A188, Table2[AwayTeam], AE$1)+SUMIFS(Table2[NewPointsHome],Table2[GameDate], "&lt;=" &amp; $A188, Table2[HomeTeam], AE$1)</f>
        <v>36</v>
      </c>
      <c r="AF188" s="145">
        <f>SUMIFS(Table2[NewPointsAway],Table2[GameDate], "&lt;=" &amp; $A188, Table2[AwayTeam], AF$1)+SUMIFS(Table2[NewPointsHome],Table2[GameDate], "&lt;=" &amp; $A188, Table2[HomeTeam], AF$1)</f>
        <v>29</v>
      </c>
      <c r="AG188" s="145">
        <f>SUMIFS(Table2[NewPointsAway],Table2[GameDate], "&lt;=" &amp; $A188, Table2[AwayTeam], AG$1)+SUMIFS(Table2[NewPointsHome],Table2[GameDate], "&lt;=" &amp; $A188, Table2[HomeTeam], AG$1)</f>
        <v>39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37</v>
      </c>
      <c r="C189" s="145">
        <f>SUMIFS(Table2[NewPointsAway],Table2[GameDate], "&lt;=" &amp; $A189, Table2[AwayTeam], C$1)+SUMIFS(Table2[NewPointsHome],Table2[GameDate], "&lt;=" &amp; $A189, Table2[HomeTeam], C$1)</f>
        <v>34</v>
      </c>
      <c r="D189" s="145">
        <f>SUMIFS(Table2[NewPointsAway],Table2[GameDate], "&lt;=" &amp; $A189, Table2[AwayTeam], D$1)+SUMIFS(Table2[NewPointsHome],Table2[GameDate], "&lt;=" &amp; $A189, Table2[HomeTeam], D$1)</f>
        <v>26</v>
      </c>
      <c r="E189" s="145">
        <f>SUMIFS(Table2[NewPointsAway],Table2[GameDate], "&lt;=" &amp; $A189, Table2[AwayTeam], E$1)+SUMIFS(Table2[NewPointsHome],Table2[GameDate], "&lt;=" &amp; $A189, Table2[HomeTeam], E$1)</f>
        <v>36</v>
      </c>
      <c r="F189" s="145">
        <f>SUMIFS(Table2[NewPointsAway],Table2[GameDate], "&lt;=" &amp; $A189, Table2[AwayTeam], F$1)+SUMIFS(Table2[NewPointsHome],Table2[GameDate], "&lt;=" &amp; $A189, Table2[HomeTeam], F$1)</f>
        <v>32</v>
      </c>
      <c r="G189" s="145">
        <f>SUMIFS(Table2[NewPointsAway],Table2[GameDate], "&lt;=" &amp; $A189, Table2[AwayTeam], G$1)+SUMIFS(Table2[NewPointsHome],Table2[GameDate], "&lt;=" &amp; $A189, Table2[HomeTeam], G$1)</f>
        <v>28</v>
      </c>
      <c r="H189" s="145">
        <f>SUMIFS(Table2[NewPointsAway],Table2[GameDate], "&lt;=" &amp; $A189, Table2[AwayTeam], H$1)+SUMIFS(Table2[NewPointsHome],Table2[GameDate], "&lt;=" &amp; $A189, Table2[HomeTeam], H$1)</f>
        <v>30</v>
      </c>
      <c r="I189" s="145">
        <f>SUMIFS(Table2[NewPointsAway],Table2[GameDate], "&lt;=" &amp; $A189, Table2[AwayTeam], I$1)+SUMIFS(Table2[NewPointsHome],Table2[GameDate], "&lt;=" &amp; $A189, Table2[HomeTeam], I$1)</f>
        <v>48</v>
      </c>
      <c r="J189" s="145">
        <f>SUMIFS(Table2[NewPointsAway],Table2[GameDate], "&lt;=" &amp; $A189, Table2[AwayTeam], J$1)+SUMIFS(Table2[NewPointsHome],Table2[GameDate], "&lt;=" &amp; $A189, Table2[HomeTeam], J$1)</f>
        <v>45</v>
      </c>
      <c r="K189" s="145">
        <f>SUMIFS(Table2[NewPointsAway],Table2[GameDate], "&lt;=" &amp; $A189, Table2[AwayTeam], K$1)+SUMIFS(Table2[NewPointsHome],Table2[GameDate], "&lt;=" &amp; $A189, Table2[HomeTeam], K$1)</f>
        <v>35</v>
      </c>
      <c r="L189" s="145">
        <f>SUMIFS(Table2[NewPointsAway],Table2[GameDate], "&lt;=" &amp; $A189, Table2[AwayTeam], L$1)+SUMIFS(Table2[NewPointsHome],Table2[GameDate], "&lt;=" &amp; $A189, Table2[HomeTeam], L$1)</f>
        <v>31</v>
      </c>
      <c r="M189" s="145">
        <f>SUMIFS(Table2[NewPointsAway],Table2[GameDate], "&lt;=" &amp; $A189, Table2[AwayTeam], M$1)+SUMIFS(Table2[NewPointsHome],Table2[GameDate], "&lt;=" &amp; $A189, Table2[HomeTeam], M$1)</f>
        <v>30</v>
      </c>
      <c r="N189" s="145">
        <f>SUMIFS(Table2[NewPointsAway],Table2[GameDate], "&lt;=" &amp; $A189, Table2[AwayTeam], N$1)+SUMIFS(Table2[NewPointsHome],Table2[GameDate], "&lt;=" &amp; $A189, Table2[HomeTeam], N$1)</f>
        <v>35</v>
      </c>
      <c r="O189" s="145">
        <f>SUMIFS(Table2[NewPointsAway],Table2[GameDate], "&lt;=" &amp; $A189, Table2[AwayTeam], O$1)+SUMIFS(Table2[NewPointsHome],Table2[GameDate], "&lt;=" &amp; $A189, Table2[HomeTeam], O$1)</f>
        <v>37</v>
      </c>
      <c r="P189" s="145">
        <f>SUMIFS(Table2[NewPointsAway],Table2[GameDate], "&lt;=" &amp; $A189, Table2[AwayTeam], P$1)+SUMIFS(Table2[NewPointsHome],Table2[GameDate], "&lt;=" &amp; $A189, Table2[HomeTeam], P$1)</f>
        <v>33</v>
      </c>
      <c r="Q189" s="145">
        <f>SUMIFS(Table2[NewPointsAway],Table2[GameDate], "&lt;=" &amp; $A189, Table2[AwayTeam], Q$1)+SUMIFS(Table2[NewPointsHome],Table2[GameDate], "&lt;=" &amp; $A189, Table2[HomeTeam], Q$1)</f>
        <v>33</v>
      </c>
      <c r="R189" s="145">
        <f>SUMIFS(Table2[NewPointsAway],Table2[GameDate], "&lt;=" &amp; $A189, Table2[AwayTeam], R$1)+SUMIFS(Table2[NewPointsHome],Table2[GameDate], "&lt;=" &amp; $A189, Table2[HomeTeam], R$1)</f>
        <v>24</v>
      </c>
      <c r="S189" s="145">
        <f>SUMIFS(Table2[NewPointsAway],Table2[GameDate], "&lt;=" &amp; $A189, Table2[AwayTeam], S$1)+SUMIFS(Table2[NewPointsHome],Table2[GameDate], "&lt;=" &amp; $A189, Table2[HomeTeam], S$1)</f>
        <v>35</v>
      </c>
      <c r="T189" s="145">
        <f>SUMIFS(Table2[NewPointsAway],Table2[GameDate], "&lt;=" &amp; $A189, Table2[AwayTeam], T$1)+SUMIFS(Table2[NewPointsHome],Table2[GameDate], "&lt;=" &amp; $A189, Table2[HomeTeam], T$1)</f>
        <v>34</v>
      </c>
      <c r="U189" s="145">
        <f>SUMIFS(Table2[NewPointsAway],Table2[GameDate], "&lt;=" &amp; $A189, Table2[AwayTeam], U$1)+SUMIFS(Table2[NewPointsHome],Table2[GameDate], "&lt;=" &amp; $A189, Table2[HomeTeam], U$1)</f>
        <v>30</v>
      </c>
      <c r="V189" s="145">
        <f>SUMIFS(Table2[NewPointsAway],Table2[GameDate], "&lt;=" &amp; $A189, Table2[AwayTeam], V$1)+SUMIFS(Table2[NewPointsHome],Table2[GameDate], "&lt;=" &amp; $A189, Table2[HomeTeam], V$1)</f>
        <v>32</v>
      </c>
      <c r="W189" s="145">
        <f>SUMIFS(Table2[NewPointsAway],Table2[GameDate], "&lt;=" &amp; $A189, Table2[AwayTeam], W$1)+SUMIFS(Table2[NewPointsHome],Table2[GameDate], "&lt;=" &amp; $A189, Table2[HomeTeam], W$1)</f>
        <v>34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31</v>
      </c>
      <c r="Z189" s="145">
        <f>SUMIFS(Table2[NewPointsAway],Table2[GameDate], "&lt;=" &amp; $A189, Table2[AwayTeam], Z$1)+SUMIFS(Table2[NewPointsHome],Table2[GameDate], "&lt;=" &amp; $A189, Table2[HomeTeam], Z$1)</f>
        <v>30</v>
      </c>
      <c r="AA189" s="145">
        <f>SUMIFS(Table2[NewPointsAway],Table2[GameDate], "&lt;=" &amp; $A189, Table2[AwayTeam], AA$1)+SUMIFS(Table2[NewPointsHome],Table2[GameDate], "&lt;=" &amp; $A189, Table2[HomeTeam], AA$1)</f>
        <v>34</v>
      </c>
      <c r="AB189" s="145">
        <f>SUMIFS(Table2[NewPointsAway],Table2[GameDate], "&lt;=" &amp; $A189, Table2[AwayTeam], AB$1)+SUMIFS(Table2[NewPointsHome],Table2[GameDate], "&lt;=" &amp; $A189, Table2[HomeTeam], AB$1)</f>
        <v>32</v>
      </c>
      <c r="AC189" s="145">
        <f>SUMIFS(Table2[NewPointsAway],Table2[GameDate], "&lt;=" &amp; $A189, Table2[AwayTeam], AC$1)+SUMIFS(Table2[NewPointsHome],Table2[GameDate], "&lt;=" &amp; $A189, Table2[HomeTeam], AC$1)</f>
        <v>31</v>
      </c>
      <c r="AD189" s="145">
        <f>SUMIFS(Table2[NewPointsAway],Table2[GameDate], "&lt;=" &amp; $A189, Table2[AwayTeam], AD$1)+SUMIFS(Table2[NewPointsHome],Table2[GameDate], "&lt;=" &amp; $A189, Table2[HomeTeam], AD$1)</f>
        <v>25</v>
      </c>
      <c r="AE189" s="145">
        <f>SUMIFS(Table2[NewPointsAway],Table2[GameDate], "&lt;=" &amp; $A189, Table2[AwayTeam], AE$1)+SUMIFS(Table2[NewPointsHome],Table2[GameDate], "&lt;=" &amp; $A189, Table2[HomeTeam], AE$1)</f>
        <v>36</v>
      </c>
      <c r="AF189" s="145">
        <f>SUMIFS(Table2[NewPointsAway],Table2[GameDate], "&lt;=" &amp; $A189, Table2[AwayTeam], AF$1)+SUMIFS(Table2[NewPointsHome],Table2[GameDate], "&lt;=" &amp; $A189, Table2[HomeTeam], AF$1)</f>
        <v>29</v>
      </c>
      <c r="AG189" s="145">
        <f>SUMIFS(Table2[NewPointsAway],Table2[GameDate], "&lt;=" &amp; $A189, Table2[AwayTeam], AG$1)+SUMIFS(Table2[NewPointsHome],Table2[GameDate], "&lt;=" &amp; $A189, Table2[HomeTeam], AG$1)</f>
        <v>39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37</v>
      </c>
      <c r="C190" s="145">
        <f>SUMIFS(Table2[NewPointsAway],Table2[GameDate], "&lt;=" &amp; $A190, Table2[AwayTeam], C$1)+SUMIFS(Table2[NewPointsHome],Table2[GameDate], "&lt;=" &amp; $A190, Table2[HomeTeam], C$1)</f>
        <v>34</v>
      </c>
      <c r="D190" s="145">
        <f>SUMIFS(Table2[NewPointsAway],Table2[GameDate], "&lt;=" &amp; $A190, Table2[AwayTeam], D$1)+SUMIFS(Table2[NewPointsHome],Table2[GameDate], "&lt;=" &amp; $A190, Table2[HomeTeam], D$1)</f>
        <v>26</v>
      </c>
      <c r="E190" s="145">
        <f>SUMIFS(Table2[NewPointsAway],Table2[GameDate], "&lt;=" &amp; $A190, Table2[AwayTeam], E$1)+SUMIFS(Table2[NewPointsHome],Table2[GameDate], "&lt;=" &amp; $A190, Table2[HomeTeam], E$1)</f>
        <v>36</v>
      </c>
      <c r="F190" s="145">
        <f>SUMIFS(Table2[NewPointsAway],Table2[GameDate], "&lt;=" &amp; $A190, Table2[AwayTeam], F$1)+SUMIFS(Table2[NewPointsHome],Table2[GameDate], "&lt;=" &amp; $A190, Table2[HomeTeam], F$1)</f>
        <v>32</v>
      </c>
      <c r="G190" s="145">
        <f>SUMIFS(Table2[NewPointsAway],Table2[GameDate], "&lt;=" &amp; $A190, Table2[AwayTeam], G$1)+SUMIFS(Table2[NewPointsHome],Table2[GameDate], "&lt;=" &amp; $A190, Table2[HomeTeam], G$1)</f>
        <v>28</v>
      </c>
      <c r="H190" s="145">
        <f>SUMIFS(Table2[NewPointsAway],Table2[GameDate], "&lt;=" &amp; $A190, Table2[AwayTeam], H$1)+SUMIFS(Table2[NewPointsHome],Table2[GameDate], "&lt;=" &amp; $A190, Table2[HomeTeam], H$1)</f>
        <v>30</v>
      </c>
      <c r="I190" s="145">
        <f>SUMIFS(Table2[NewPointsAway],Table2[GameDate], "&lt;=" &amp; $A190, Table2[AwayTeam], I$1)+SUMIFS(Table2[NewPointsHome],Table2[GameDate], "&lt;=" &amp; $A190, Table2[HomeTeam], I$1)</f>
        <v>48</v>
      </c>
      <c r="J190" s="145">
        <f>SUMIFS(Table2[NewPointsAway],Table2[GameDate], "&lt;=" &amp; $A190, Table2[AwayTeam], J$1)+SUMIFS(Table2[NewPointsHome],Table2[GameDate], "&lt;=" &amp; $A190, Table2[HomeTeam], J$1)</f>
        <v>45</v>
      </c>
      <c r="K190" s="145">
        <f>SUMIFS(Table2[NewPointsAway],Table2[GameDate], "&lt;=" &amp; $A190, Table2[AwayTeam], K$1)+SUMIFS(Table2[NewPointsHome],Table2[GameDate], "&lt;=" &amp; $A190, Table2[HomeTeam], K$1)</f>
        <v>35</v>
      </c>
      <c r="L190" s="145">
        <f>SUMIFS(Table2[NewPointsAway],Table2[GameDate], "&lt;=" &amp; $A190, Table2[AwayTeam], L$1)+SUMIFS(Table2[NewPointsHome],Table2[GameDate], "&lt;=" &amp; $A190, Table2[HomeTeam], L$1)</f>
        <v>31</v>
      </c>
      <c r="M190" s="145">
        <f>SUMIFS(Table2[NewPointsAway],Table2[GameDate], "&lt;=" &amp; $A190, Table2[AwayTeam], M$1)+SUMIFS(Table2[NewPointsHome],Table2[GameDate], "&lt;=" &amp; $A190, Table2[HomeTeam], M$1)</f>
        <v>30</v>
      </c>
      <c r="N190" s="145">
        <f>SUMIFS(Table2[NewPointsAway],Table2[GameDate], "&lt;=" &amp; $A190, Table2[AwayTeam], N$1)+SUMIFS(Table2[NewPointsHome],Table2[GameDate], "&lt;=" &amp; $A190, Table2[HomeTeam], N$1)</f>
        <v>35</v>
      </c>
      <c r="O190" s="145">
        <f>SUMIFS(Table2[NewPointsAway],Table2[GameDate], "&lt;=" &amp; $A190, Table2[AwayTeam], O$1)+SUMIFS(Table2[NewPointsHome],Table2[GameDate], "&lt;=" &amp; $A190, Table2[HomeTeam], O$1)</f>
        <v>37</v>
      </c>
      <c r="P190" s="145">
        <f>SUMIFS(Table2[NewPointsAway],Table2[GameDate], "&lt;=" &amp; $A190, Table2[AwayTeam], P$1)+SUMIFS(Table2[NewPointsHome],Table2[GameDate], "&lt;=" &amp; $A190, Table2[HomeTeam], P$1)</f>
        <v>33</v>
      </c>
      <c r="Q190" s="145">
        <f>SUMIFS(Table2[NewPointsAway],Table2[GameDate], "&lt;=" &amp; $A190, Table2[AwayTeam], Q$1)+SUMIFS(Table2[NewPointsHome],Table2[GameDate], "&lt;=" &amp; $A190, Table2[HomeTeam], Q$1)</f>
        <v>33</v>
      </c>
      <c r="R190" s="145">
        <f>SUMIFS(Table2[NewPointsAway],Table2[GameDate], "&lt;=" &amp; $A190, Table2[AwayTeam], R$1)+SUMIFS(Table2[NewPointsHome],Table2[GameDate], "&lt;=" &amp; $A190, Table2[HomeTeam], R$1)</f>
        <v>24</v>
      </c>
      <c r="S190" s="145">
        <f>SUMIFS(Table2[NewPointsAway],Table2[GameDate], "&lt;=" &amp; $A190, Table2[AwayTeam], S$1)+SUMIFS(Table2[NewPointsHome],Table2[GameDate], "&lt;=" &amp; $A190, Table2[HomeTeam], S$1)</f>
        <v>35</v>
      </c>
      <c r="T190" s="145">
        <f>SUMIFS(Table2[NewPointsAway],Table2[GameDate], "&lt;=" &amp; $A190, Table2[AwayTeam], T$1)+SUMIFS(Table2[NewPointsHome],Table2[GameDate], "&lt;=" &amp; $A190, Table2[HomeTeam], T$1)</f>
        <v>34</v>
      </c>
      <c r="U190" s="145">
        <f>SUMIFS(Table2[NewPointsAway],Table2[GameDate], "&lt;=" &amp; $A190, Table2[AwayTeam], U$1)+SUMIFS(Table2[NewPointsHome],Table2[GameDate], "&lt;=" &amp; $A190, Table2[HomeTeam], U$1)</f>
        <v>30</v>
      </c>
      <c r="V190" s="145">
        <f>SUMIFS(Table2[NewPointsAway],Table2[GameDate], "&lt;=" &amp; $A190, Table2[AwayTeam], V$1)+SUMIFS(Table2[NewPointsHome],Table2[GameDate], "&lt;=" &amp; $A190, Table2[HomeTeam], V$1)</f>
        <v>32</v>
      </c>
      <c r="W190" s="145">
        <f>SUMIFS(Table2[NewPointsAway],Table2[GameDate], "&lt;=" &amp; $A190, Table2[AwayTeam], W$1)+SUMIFS(Table2[NewPointsHome],Table2[GameDate], "&lt;=" &amp; $A190, Table2[HomeTeam], W$1)</f>
        <v>34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31</v>
      </c>
      <c r="Z190" s="145">
        <f>SUMIFS(Table2[NewPointsAway],Table2[GameDate], "&lt;=" &amp; $A190, Table2[AwayTeam], Z$1)+SUMIFS(Table2[NewPointsHome],Table2[GameDate], "&lt;=" &amp; $A190, Table2[HomeTeam], Z$1)</f>
        <v>30</v>
      </c>
      <c r="AA190" s="145">
        <f>SUMIFS(Table2[NewPointsAway],Table2[GameDate], "&lt;=" &amp; $A190, Table2[AwayTeam], AA$1)+SUMIFS(Table2[NewPointsHome],Table2[GameDate], "&lt;=" &amp; $A190, Table2[HomeTeam], AA$1)</f>
        <v>34</v>
      </c>
      <c r="AB190" s="145">
        <f>SUMIFS(Table2[NewPointsAway],Table2[GameDate], "&lt;=" &amp; $A190, Table2[AwayTeam], AB$1)+SUMIFS(Table2[NewPointsHome],Table2[GameDate], "&lt;=" &amp; $A190, Table2[HomeTeam], AB$1)</f>
        <v>32</v>
      </c>
      <c r="AC190" s="145">
        <f>SUMIFS(Table2[NewPointsAway],Table2[GameDate], "&lt;=" &amp; $A190, Table2[AwayTeam], AC$1)+SUMIFS(Table2[NewPointsHome],Table2[GameDate], "&lt;=" &amp; $A190, Table2[HomeTeam], AC$1)</f>
        <v>31</v>
      </c>
      <c r="AD190" s="145">
        <f>SUMIFS(Table2[NewPointsAway],Table2[GameDate], "&lt;=" &amp; $A190, Table2[AwayTeam], AD$1)+SUMIFS(Table2[NewPointsHome],Table2[GameDate], "&lt;=" &amp; $A190, Table2[HomeTeam], AD$1)</f>
        <v>25</v>
      </c>
      <c r="AE190" s="145">
        <f>SUMIFS(Table2[NewPointsAway],Table2[GameDate], "&lt;=" &amp; $A190, Table2[AwayTeam], AE$1)+SUMIFS(Table2[NewPointsHome],Table2[GameDate], "&lt;=" &amp; $A190, Table2[HomeTeam], AE$1)</f>
        <v>36</v>
      </c>
      <c r="AF190" s="145">
        <f>SUMIFS(Table2[NewPointsAway],Table2[GameDate], "&lt;=" &amp; $A190, Table2[AwayTeam], AF$1)+SUMIFS(Table2[NewPointsHome],Table2[GameDate], "&lt;=" &amp; $A190, Table2[HomeTeam], AF$1)</f>
        <v>29</v>
      </c>
      <c r="AG190" s="145">
        <f>SUMIFS(Table2[NewPointsAway],Table2[GameDate], "&lt;=" &amp; $A190, Table2[AwayTeam], AG$1)+SUMIFS(Table2[NewPointsHome],Table2[GameDate], "&lt;=" &amp; $A190, Table2[HomeTeam], AG$1)</f>
        <v>39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37</v>
      </c>
      <c r="C191" s="145">
        <f>SUMIFS(Table2[NewPointsAway],Table2[GameDate], "&lt;=" &amp; $A191, Table2[AwayTeam], C$1)+SUMIFS(Table2[NewPointsHome],Table2[GameDate], "&lt;=" &amp; $A191, Table2[HomeTeam], C$1)</f>
        <v>34</v>
      </c>
      <c r="D191" s="145">
        <f>SUMIFS(Table2[NewPointsAway],Table2[GameDate], "&lt;=" &amp; $A191, Table2[AwayTeam], D$1)+SUMIFS(Table2[NewPointsHome],Table2[GameDate], "&lt;=" &amp; $A191, Table2[HomeTeam], D$1)</f>
        <v>26</v>
      </c>
      <c r="E191" s="145">
        <f>SUMIFS(Table2[NewPointsAway],Table2[GameDate], "&lt;=" &amp; $A191, Table2[AwayTeam], E$1)+SUMIFS(Table2[NewPointsHome],Table2[GameDate], "&lt;=" &amp; $A191, Table2[HomeTeam], E$1)</f>
        <v>36</v>
      </c>
      <c r="F191" s="145">
        <f>SUMIFS(Table2[NewPointsAway],Table2[GameDate], "&lt;=" &amp; $A191, Table2[AwayTeam], F$1)+SUMIFS(Table2[NewPointsHome],Table2[GameDate], "&lt;=" &amp; $A191, Table2[HomeTeam], F$1)</f>
        <v>32</v>
      </c>
      <c r="G191" s="145">
        <f>SUMIFS(Table2[NewPointsAway],Table2[GameDate], "&lt;=" &amp; $A191, Table2[AwayTeam], G$1)+SUMIFS(Table2[NewPointsHome],Table2[GameDate], "&lt;=" &amp; $A191, Table2[HomeTeam], G$1)</f>
        <v>28</v>
      </c>
      <c r="H191" s="145">
        <f>SUMIFS(Table2[NewPointsAway],Table2[GameDate], "&lt;=" &amp; $A191, Table2[AwayTeam], H$1)+SUMIFS(Table2[NewPointsHome],Table2[GameDate], "&lt;=" &amp; $A191, Table2[HomeTeam], H$1)</f>
        <v>30</v>
      </c>
      <c r="I191" s="145">
        <f>SUMIFS(Table2[NewPointsAway],Table2[GameDate], "&lt;=" &amp; $A191, Table2[AwayTeam], I$1)+SUMIFS(Table2[NewPointsHome],Table2[GameDate], "&lt;=" &amp; $A191, Table2[HomeTeam], I$1)</f>
        <v>48</v>
      </c>
      <c r="J191" s="145">
        <f>SUMIFS(Table2[NewPointsAway],Table2[GameDate], "&lt;=" &amp; $A191, Table2[AwayTeam], J$1)+SUMIFS(Table2[NewPointsHome],Table2[GameDate], "&lt;=" &amp; $A191, Table2[HomeTeam], J$1)</f>
        <v>45</v>
      </c>
      <c r="K191" s="145">
        <f>SUMIFS(Table2[NewPointsAway],Table2[GameDate], "&lt;=" &amp; $A191, Table2[AwayTeam], K$1)+SUMIFS(Table2[NewPointsHome],Table2[GameDate], "&lt;=" &amp; $A191, Table2[HomeTeam], K$1)</f>
        <v>35</v>
      </c>
      <c r="L191" s="145">
        <f>SUMIFS(Table2[NewPointsAway],Table2[GameDate], "&lt;=" &amp; $A191, Table2[AwayTeam], L$1)+SUMIFS(Table2[NewPointsHome],Table2[GameDate], "&lt;=" &amp; $A191, Table2[HomeTeam], L$1)</f>
        <v>31</v>
      </c>
      <c r="M191" s="145">
        <f>SUMIFS(Table2[NewPointsAway],Table2[GameDate], "&lt;=" &amp; $A191, Table2[AwayTeam], M$1)+SUMIFS(Table2[NewPointsHome],Table2[GameDate], "&lt;=" &amp; $A191, Table2[HomeTeam], M$1)</f>
        <v>30</v>
      </c>
      <c r="N191" s="145">
        <f>SUMIFS(Table2[NewPointsAway],Table2[GameDate], "&lt;=" &amp; $A191, Table2[AwayTeam], N$1)+SUMIFS(Table2[NewPointsHome],Table2[GameDate], "&lt;=" &amp; $A191, Table2[HomeTeam], N$1)</f>
        <v>35</v>
      </c>
      <c r="O191" s="145">
        <f>SUMIFS(Table2[NewPointsAway],Table2[GameDate], "&lt;=" &amp; $A191, Table2[AwayTeam], O$1)+SUMIFS(Table2[NewPointsHome],Table2[GameDate], "&lt;=" &amp; $A191, Table2[HomeTeam], O$1)</f>
        <v>37</v>
      </c>
      <c r="P191" s="145">
        <f>SUMIFS(Table2[NewPointsAway],Table2[GameDate], "&lt;=" &amp; $A191, Table2[AwayTeam], P$1)+SUMIFS(Table2[NewPointsHome],Table2[GameDate], "&lt;=" &amp; $A191, Table2[HomeTeam], P$1)</f>
        <v>33</v>
      </c>
      <c r="Q191" s="145">
        <f>SUMIFS(Table2[NewPointsAway],Table2[GameDate], "&lt;=" &amp; $A191, Table2[AwayTeam], Q$1)+SUMIFS(Table2[NewPointsHome],Table2[GameDate], "&lt;=" &amp; $A191, Table2[HomeTeam], Q$1)</f>
        <v>33</v>
      </c>
      <c r="R191" s="145">
        <f>SUMIFS(Table2[NewPointsAway],Table2[GameDate], "&lt;=" &amp; $A191, Table2[AwayTeam], R$1)+SUMIFS(Table2[NewPointsHome],Table2[GameDate], "&lt;=" &amp; $A191, Table2[HomeTeam], R$1)</f>
        <v>24</v>
      </c>
      <c r="S191" s="145">
        <f>SUMIFS(Table2[NewPointsAway],Table2[GameDate], "&lt;=" &amp; $A191, Table2[AwayTeam], S$1)+SUMIFS(Table2[NewPointsHome],Table2[GameDate], "&lt;=" &amp; $A191, Table2[HomeTeam], S$1)</f>
        <v>35</v>
      </c>
      <c r="T191" s="145">
        <f>SUMIFS(Table2[NewPointsAway],Table2[GameDate], "&lt;=" &amp; $A191, Table2[AwayTeam], T$1)+SUMIFS(Table2[NewPointsHome],Table2[GameDate], "&lt;=" &amp; $A191, Table2[HomeTeam], T$1)</f>
        <v>34</v>
      </c>
      <c r="U191" s="145">
        <f>SUMIFS(Table2[NewPointsAway],Table2[GameDate], "&lt;=" &amp; $A191, Table2[AwayTeam], U$1)+SUMIFS(Table2[NewPointsHome],Table2[GameDate], "&lt;=" &amp; $A191, Table2[HomeTeam], U$1)</f>
        <v>30</v>
      </c>
      <c r="V191" s="145">
        <f>SUMIFS(Table2[NewPointsAway],Table2[GameDate], "&lt;=" &amp; $A191, Table2[AwayTeam], V$1)+SUMIFS(Table2[NewPointsHome],Table2[GameDate], "&lt;=" &amp; $A191, Table2[HomeTeam], V$1)</f>
        <v>32</v>
      </c>
      <c r="W191" s="145">
        <f>SUMIFS(Table2[NewPointsAway],Table2[GameDate], "&lt;=" &amp; $A191, Table2[AwayTeam], W$1)+SUMIFS(Table2[NewPointsHome],Table2[GameDate], "&lt;=" &amp; $A191, Table2[HomeTeam], W$1)</f>
        <v>34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31</v>
      </c>
      <c r="Z191" s="145">
        <f>SUMIFS(Table2[NewPointsAway],Table2[GameDate], "&lt;=" &amp; $A191, Table2[AwayTeam], Z$1)+SUMIFS(Table2[NewPointsHome],Table2[GameDate], "&lt;=" &amp; $A191, Table2[HomeTeam], Z$1)</f>
        <v>30</v>
      </c>
      <c r="AA191" s="145">
        <f>SUMIFS(Table2[NewPointsAway],Table2[GameDate], "&lt;=" &amp; $A191, Table2[AwayTeam], AA$1)+SUMIFS(Table2[NewPointsHome],Table2[GameDate], "&lt;=" &amp; $A191, Table2[HomeTeam], AA$1)</f>
        <v>34</v>
      </c>
      <c r="AB191" s="145">
        <f>SUMIFS(Table2[NewPointsAway],Table2[GameDate], "&lt;=" &amp; $A191, Table2[AwayTeam], AB$1)+SUMIFS(Table2[NewPointsHome],Table2[GameDate], "&lt;=" &amp; $A191, Table2[HomeTeam], AB$1)</f>
        <v>32</v>
      </c>
      <c r="AC191" s="145">
        <f>SUMIFS(Table2[NewPointsAway],Table2[GameDate], "&lt;=" &amp; $A191, Table2[AwayTeam], AC$1)+SUMIFS(Table2[NewPointsHome],Table2[GameDate], "&lt;=" &amp; $A191, Table2[HomeTeam], AC$1)</f>
        <v>31</v>
      </c>
      <c r="AD191" s="145">
        <f>SUMIFS(Table2[NewPointsAway],Table2[GameDate], "&lt;=" &amp; $A191, Table2[AwayTeam], AD$1)+SUMIFS(Table2[NewPointsHome],Table2[GameDate], "&lt;=" &amp; $A191, Table2[HomeTeam], AD$1)</f>
        <v>25</v>
      </c>
      <c r="AE191" s="145">
        <f>SUMIFS(Table2[NewPointsAway],Table2[GameDate], "&lt;=" &amp; $A191, Table2[AwayTeam], AE$1)+SUMIFS(Table2[NewPointsHome],Table2[GameDate], "&lt;=" &amp; $A191, Table2[HomeTeam], AE$1)</f>
        <v>36</v>
      </c>
      <c r="AF191" s="145">
        <f>SUMIFS(Table2[NewPointsAway],Table2[GameDate], "&lt;=" &amp; $A191, Table2[AwayTeam], AF$1)+SUMIFS(Table2[NewPointsHome],Table2[GameDate], "&lt;=" &amp; $A191, Table2[HomeTeam], AF$1)</f>
        <v>29</v>
      </c>
      <c r="AG191" s="145">
        <f>SUMIFS(Table2[NewPointsAway],Table2[GameDate], "&lt;=" &amp; $A191, Table2[AwayTeam], AG$1)+SUMIFS(Table2[NewPointsHome],Table2[GameDate], "&lt;=" &amp; $A191, Table2[HomeTeam], AG$1)</f>
        <v>39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37</v>
      </c>
      <c r="C192" s="145">
        <f>SUMIFS(Table2[NewPointsAway],Table2[GameDate], "&lt;=" &amp; $A192, Table2[AwayTeam], C$1)+SUMIFS(Table2[NewPointsHome],Table2[GameDate], "&lt;=" &amp; $A192, Table2[HomeTeam], C$1)</f>
        <v>34</v>
      </c>
      <c r="D192" s="145">
        <f>SUMIFS(Table2[NewPointsAway],Table2[GameDate], "&lt;=" &amp; $A192, Table2[AwayTeam], D$1)+SUMIFS(Table2[NewPointsHome],Table2[GameDate], "&lt;=" &amp; $A192, Table2[HomeTeam], D$1)</f>
        <v>26</v>
      </c>
      <c r="E192" s="145">
        <f>SUMIFS(Table2[NewPointsAway],Table2[GameDate], "&lt;=" &amp; $A192, Table2[AwayTeam], E$1)+SUMIFS(Table2[NewPointsHome],Table2[GameDate], "&lt;=" &amp; $A192, Table2[HomeTeam], E$1)</f>
        <v>36</v>
      </c>
      <c r="F192" s="145">
        <f>SUMIFS(Table2[NewPointsAway],Table2[GameDate], "&lt;=" &amp; $A192, Table2[AwayTeam], F$1)+SUMIFS(Table2[NewPointsHome],Table2[GameDate], "&lt;=" &amp; $A192, Table2[HomeTeam], F$1)</f>
        <v>32</v>
      </c>
      <c r="G192" s="145">
        <f>SUMIFS(Table2[NewPointsAway],Table2[GameDate], "&lt;=" &amp; $A192, Table2[AwayTeam], G$1)+SUMIFS(Table2[NewPointsHome],Table2[GameDate], "&lt;=" &amp; $A192, Table2[HomeTeam], G$1)</f>
        <v>28</v>
      </c>
      <c r="H192" s="145">
        <f>SUMIFS(Table2[NewPointsAway],Table2[GameDate], "&lt;=" &amp; $A192, Table2[AwayTeam], H$1)+SUMIFS(Table2[NewPointsHome],Table2[GameDate], "&lt;=" &amp; $A192, Table2[HomeTeam], H$1)</f>
        <v>30</v>
      </c>
      <c r="I192" s="145">
        <f>SUMIFS(Table2[NewPointsAway],Table2[GameDate], "&lt;=" &amp; $A192, Table2[AwayTeam], I$1)+SUMIFS(Table2[NewPointsHome],Table2[GameDate], "&lt;=" &amp; $A192, Table2[HomeTeam], I$1)</f>
        <v>48</v>
      </c>
      <c r="J192" s="145">
        <f>SUMIFS(Table2[NewPointsAway],Table2[GameDate], "&lt;=" &amp; $A192, Table2[AwayTeam], J$1)+SUMIFS(Table2[NewPointsHome],Table2[GameDate], "&lt;=" &amp; $A192, Table2[HomeTeam], J$1)</f>
        <v>45</v>
      </c>
      <c r="K192" s="145">
        <f>SUMIFS(Table2[NewPointsAway],Table2[GameDate], "&lt;=" &amp; $A192, Table2[AwayTeam], K$1)+SUMIFS(Table2[NewPointsHome],Table2[GameDate], "&lt;=" &amp; $A192, Table2[HomeTeam], K$1)</f>
        <v>35</v>
      </c>
      <c r="L192" s="145">
        <f>SUMIFS(Table2[NewPointsAway],Table2[GameDate], "&lt;=" &amp; $A192, Table2[AwayTeam], L$1)+SUMIFS(Table2[NewPointsHome],Table2[GameDate], "&lt;=" &amp; $A192, Table2[HomeTeam], L$1)</f>
        <v>31</v>
      </c>
      <c r="M192" s="145">
        <f>SUMIFS(Table2[NewPointsAway],Table2[GameDate], "&lt;=" &amp; $A192, Table2[AwayTeam], M$1)+SUMIFS(Table2[NewPointsHome],Table2[GameDate], "&lt;=" &amp; $A192, Table2[HomeTeam], M$1)</f>
        <v>30</v>
      </c>
      <c r="N192" s="145">
        <f>SUMIFS(Table2[NewPointsAway],Table2[GameDate], "&lt;=" &amp; $A192, Table2[AwayTeam], N$1)+SUMIFS(Table2[NewPointsHome],Table2[GameDate], "&lt;=" &amp; $A192, Table2[HomeTeam], N$1)</f>
        <v>35</v>
      </c>
      <c r="O192" s="145">
        <f>SUMIFS(Table2[NewPointsAway],Table2[GameDate], "&lt;=" &amp; $A192, Table2[AwayTeam], O$1)+SUMIFS(Table2[NewPointsHome],Table2[GameDate], "&lt;=" &amp; $A192, Table2[HomeTeam], O$1)</f>
        <v>37</v>
      </c>
      <c r="P192" s="145">
        <f>SUMIFS(Table2[NewPointsAway],Table2[GameDate], "&lt;=" &amp; $A192, Table2[AwayTeam], P$1)+SUMIFS(Table2[NewPointsHome],Table2[GameDate], "&lt;=" &amp; $A192, Table2[HomeTeam], P$1)</f>
        <v>33</v>
      </c>
      <c r="Q192" s="145">
        <f>SUMIFS(Table2[NewPointsAway],Table2[GameDate], "&lt;=" &amp; $A192, Table2[AwayTeam], Q$1)+SUMIFS(Table2[NewPointsHome],Table2[GameDate], "&lt;=" &amp; $A192, Table2[HomeTeam], Q$1)</f>
        <v>33</v>
      </c>
      <c r="R192" s="145">
        <f>SUMIFS(Table2[NewPointsAway],Table2[GameDate], "&lt;=" &amp; $A192, Table2[AwayTeam], R$1)+SUMIFS(Table2[NewPointsHome],Table2[GameDate], "&lt;=" &amp; $A192, Table2[HomeTeam], R$1)</f>
        <v>24</v>
      </c>
      <c r="S192" s="145">
        <f>SUMIFS(Table2[NewPointsAway],Table2[GameDate], "&lt;=" &amp; $A192, Table2[AwayTeam], S$1)+SUMIFS(Table2[NewPointsHome],Table2[GameDate], "&lt;=" &amp; $A192, Table2[HomeTeam], S$1)</f>
        <v>35</v>
      </c>
      <c r="T192" s="145">
        <f>SUMIFS(Table2[NewPointsAway],Table2[GameDate], "&lt;=" &amp; $A192, Table2[AwayTeam], T$1)+SUMIFS(Table2[NewPointsHome],Table2[GameDate], "&lt;=" &amp; $A192, Table2[HomeTeam], T$1)</f>
        <v>34</v>
      </c>
      <c r="U192" s="145">
        <f>SUMIFS(Table2[NewPointsAway],Table2[GameDate], "&lt;=" &amp; $A192, Table2[AwayTeam], U$1)+SUMIFS(Table2[NewPointsHome],Table2[GameDate], "&lt;=" &amp; $A192, Table2[HomeTeam], U$1)</f>
        <v>30</v>
      </c>
      <c r="V192" s="145">
        <f>SUMIFS(Table2[NewPointsAway],Table2[GameDate], "&lt;=" &amp; $A192, Table2[AwayTeam], V$1)+SUMIFS(Table2[NewPointsHome],Table2[GameDate], "&lt;=" &amp; $A192, Table2[HomeTeam], V$1)</f>
        <v>32</v>
      </c>
      <c r="W192" s="145">
        <f>SUMIFS(Table2[NewPointsAway],Table2[GameDate], "&lt;=" &amp; $A192, Table2[AwayTeam], W$1)+SUMIFS(Table2[NewPointsHome],Table2[GameDate], "&lt;=" &amp; $A192, Table2[HomeTeam], W$1)</f>
        <v>34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31</v>
      </c>
      <c r="Z192" s="145">
        <f>SUMIFS(Table2[NewPointsAway],Table2[GameDate], "&lt;=" &amp; $A192, Table2[AwayTeam], Z$1)+SUMIFS(Table2[NewPointsHome],Table2[GameDate], "&lt;=" &amp; $A192, Table2[HomeTeam], Z$1)</f>
        <v>30</v>
      </c>
      <c r="AA192" s="145">
        <f>SUMIFS(Table2[NewPointsAway],Table2[GameDate], "&lt;=" &amp; $A192, Table2[AwayTeam], AA$1)+SUMIFS(Table2[NewPointsHome],Table2[GameDate], "&lt;=" &amp; $A192, Table2[HomeTeam], AA$1)</f>
        <v>34</v>
      </c>
      <c r="AB192" s="145">
        <f>SUMIFS(Table2[NewPointsAway],Table2[GameDate], "&lt;=" &amp; $A192, Table2[AwayTeam], AB$1)+SUMIFS(Table2[NewPointsHome],Table2[GameDate], "&lt;=" &amp; $A192, Table2[HomeTeam], AB$1)</f>
        <v>32</v>
      </c>
      <c r="AC192" s="145">
        <f>SUMIFS(Table2[NewPointsAway],Table2[GameDate], "&lt;=" &amp; $A192, Table2[AwayTeam], AC$1)+SUMIFS(Table2[NewPointsHome],Table2[GameDate], "&lt;=" &amp; $A192, Table2[HomeTeam], AC$1)</f>
        <v>31</v>
      </c>
      <c r="AD192" s="145">
        <f>SUMIFS(Table2[NewPointsAway],Table2[GameDate], "&lt;=" &amp; $A192, Table2[AwayTeam], AD$1)+SUMIFS(Table2[NewPointsHome],Table2[GameDate], "&lt;=" &amp; $A192, Table2[HomeTeam], AD$1)</f>
        <v>25</v>
      </c>
      <c r="AE192" s="145">
        <f>SUMIFS(Table2[NewPointsAway],Table2[GameDate], "&lt;=" &amp; $A192, Table2[AwayTeam], AE$1)+SUMIFS(Table2[NewPointsHome],Table2[GameDate], "&lt;=" &amp; $A192, Table2[HomeTeam], AE$1)</f>
        <v>36</v>
      </c>
      <c r="AF192" s="145">
        <f>SUMIFS(Table2[NewPointsAway],Table2[GameDate], "&lt;=" &amp; $A192, Table2[AwayTeam], AF$1)+SUMIFS(Table2[NewPointsHome],Table2[GameDate], "&lt;=" &amp; $A192, Table2[HomeTeam], AF$1)</f>
        <v>29</v>
      </c>
      <c r="AG192" s="145">
        <f>SUMIFS(Table2[NewPointsAway],Table2[GameDate], "&lt;=" &amp; $A192, Table2[AwayTeam], AG$1)+SUMIFS(Table2[NewPointsHome],Table2[GameDate], "&lt;=" &amp; $A192, Table2[HomeTeam], AG$1)</f>
        <v>39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37</v>
      </c>
      <c r="C193" s="145">
        <f>SUMIFS(Table2[NewPointsAway],Table2[GameDate], "&lt;=" &amp; $A193, Table2[AwayTeam], C$1)+SUMIFS(Table2[NewPointsHome],Table2[GameDate], "&lt;=" &amp; $A193, Table2[HomeTeam], C$1)</f>
        <v>34</v>
      </c>
      <c r="D193" s="145">
        <f>SUMIFS(Table2[NewPointsAway],Table2[GameDate], "&lt;=" &amp; $A193, Table2[AwayTeam], D$1)+SUMIFS(Table2[NewPointsHome],Table2[GameDate], "&lt;=" &amp; $A193, Table2[HomeTeam], D$1)</f>
        <v>26</v>
      </c>
      <c r="E193" s="145">
        <f>SUMIFS(Table2[NewPointsAway],Table2[GameDate], "&lt;=" &amp; $A193, Table2[AwayTeam], E$1)+SUMIFS(Table2[NewPointsHome],Table2[GameDate], "&lt;=" &amp; $A193, Table2[HomeTeam], E$1)</f>
        <v>36</v>
      </c>
      <c r="F193" s="145">
        <f>SUMIFS(Table2[NewPointsAway],Table2[GameDate], "&lt;=" &amp; $A193, Table2[AwayTeam], F$1)+SUMIFS(Table2[NewPointsHome],Table2[GameDate], "&lt;=" &amp; $A193, Table2[HomeTeam], F$1)</f>
        <v>32</v>
      </c>
      <c r="G193" s="145">
        <f>SUMIFS(Table2[NewPointsAway],Table2[GameDate], "&lt;=" &amp; $A193, Table2[AwayTeam], G$1)+SUMIFS(Table2[NewPointsHome],Table2[GameDate], "&lt;=" &amp; $A193, Table2[HomeTeam], G$1)</f>
        <v>28</v>
      </c>
      <c r="H193" s="145">
        <f>SUMIFS(Table2[NewPointsAway],Table2[GameDate], "&lt;=" &amp; $A193, Table2[AwayTeam], H$1)+SUMIFS(Table2[NewPointsHome],Table2[GameDate], "&lt;=" &amp; $A193, Table2[HomeTeam], H$1)</f>
        <v>30</v>
      </c>
      <c r="I193" s="145">
        <f>SUMIFS(Table2[NewPointsAway],Table2[GameDate], "&lt;=" &amp; $A193, Table2[AwayTeam], I$1)+SUMIFS(Table2[NewPointsHome],Table2[GameDate], "&lt;=" &amp; $A193, Table2[HomeTeam], I$1)</f>
        <v>48</v>
      </c>
      <c r="J193" s="145">
        <f>SUMIFS(Table2[NewPointsAway],Table2[GameDate], "&lt;=" &amp; $A193, Table2[AwayTeam], J$1)+SUMIFS(Table2[NewPointsHome],Table2[GameDate], "&lt;=" &amp; $A193, Table2[HomeTeam], J$1)</f>
        <v>45</v>
      </c>
      <c r="K193" s="145">
        <f>SUMIFS(Table2[NewPointsAway],Table2[GameDate], "&lt;=" &amp; $A193, Table2[AwayTeam], K$1)+SUMIFS(Table2[NewPointsHome],Table2[GameDate], "&lt;=" &amp; $A193, Table2[HomeTeam], K$1)</f>
        <v>35</v>
      </c>
      <c r="L193" s="145">
        <f>SUMIFS(Table2[NewPointsAway],Table2[GameDate], "&lt;=" &amp; $A193, Table2[AwayTeam], L$1)+SUMIFS(Table2[NewPointsHome],Table2[GameDate], "&lt;=" &amp; $A193, Table2[HomeTeam], L$1)</f>
        <v>31</v>
      </c>
      <c r="M193" s="145">
        <f>SUMIFS(Table2[NewPointsAway],Table2[GameDate], "&lt;=" &amp; $A193, Table2[AwayTeam], M$1)+SUMIFS(Table2[NewPointsHome],Table2[GameDate], "&lt;=" &amp; $A193, Table2[HomeTeam], M$1)</f>
        <v>30</v>
      </c>
      <c r="N193" s="145">
        <f>SUMIFS(Table2[NewPointsAway],Table2[GameDate], "&lt;=" &amp; $A193, Table2[AwayTeam], N$1)+SUMIFS(Table2[NewPointsHome],Table2[GameDate], "&lt;=" &amp; $A193, Table2[HomeTeam], N$1)</f>
        <v>35</v>
      </c>
      <c r="O193" s="145">
        <f>SUMIFS(Table2[NewPointsAway],Table2[GameDate], "&lt;=" &amp; $A193, Table2[AwayTeam], O$1)+SUMIFS(Table2[NewPointsHome],Table2[GameDate], "&lt;=" &amp; $A193, Table2[HomeTeam], O$1)</f>
        <v>37</v>
      </c>
      <c r="P193" s="145">
        <f>SUMIFS(Table2[NewPointsAway],Table2[GameDate], "&lt;=" &amp; $A193, Table2[AwayTeam], P$1)+SUMIFS(Table2[NewPointsHome],Table2[GameDate], "&lt;=" &amp; $A193, Table2[HomeTeam], P$1)</f>
        <v>33</v>
      </c>
      <c r="Q193" s="145">
        <f>SUMIFS(Table2[NewPointsAway],Table2[GameDate], "&lt;=" &amp; $A193, Table2[AwayTeam], Q$1)+SUMIFS(Table2[NewPointsHome],Table2[GameDate], "&lt;=" &amp; $A193, Table2[HomeTeam], Q$1)</f>
        <v>33</v>
      </c>
      <c r="R193" s="145">
        <f>SUMIFS(Table2[NewPointsAway],Table2[GameDate], "&lt;=" &amp; $A193, Table2[AwayTeam], R$1)+SUMIFS(Table2[NewPointsHome],Table2[GameDate], "&lt;=" &amp; $A193, Table2[HomeTeam], R$1)</f>
        <v>24</v>
      </c>
      <c r="S193" s="145">
        <f>SUMIFS(Table2[NewPointsAway],Table2[GameDate], "&lt;=" &amp; $A193, Table2[AwayTeam], S$1)+SUMIFS(Table2[NewPointsHome],Table2[GameDate], "&lt;=" &amp; $A193, Table2[HomeTeam], S$1)</f>
        <v>35</v>
      </c>
      <c r="T193" s="145">
        <f>SUMIFS(Table2[NewPointsAway],Table2[GameDate], "&lt;=" &amp; $A193, Table2[AwayTeam], T$1)+SUMIFS(Table2[NewPointsHome],Table2[GameDate], "&lt;=" &amp; $A193, Table2[HomeTeam], T$1)</f>
        <v>34</v>
      </c>
      <c r="U193" s="145">
        <f>SUMIFS(Table2[NewPointsAway],Table2[GameDate], "&lt;=" &amp; $A193, Table2[AwayTeam], U$1)+SUMIFS(Table2[NewPointsHome],Table2[GameDate], "&lt;=" &amp; $A193, Table2[HomeTeam], U$1)</f>
        <v>30</v>
      </c>
      <c r="V193" s="145">
        <f>SUMIFS(Table2[NewPointsAway],Table2[GameDate], "&lt;=" &amp; $A193, Table2[AwayTeam], V$1)+SUMIFS(Table2[NewPointsHome],Table2[GameDate], "&lt;=" &amp; $A193, Table2[HomeTeam], V$1)</f>
        <v>32</v>
      </c>
      <c r="W193" s="145">
        <f>SUMIFS(Table2[NewPointsAway],Table2[GameDate], "&lt;=" &amp; $A193, Table2[AwayTeam], W$1)+SUMIFS(Table2[NewPointsHome],Table2[GameDate], "&lt;=" &amp; $A193, Table2[HomeTeam], W$1)</f>
        <v>34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31</v>
      </c>
      <c r="Z193" s="145">
        <f>SUMIFS(Table2[NewPointsAway],Table2[GameDate], "&lt;=" &amp; $A193, Table2[AwayTeam], Z$1)+SUMIFS(Table2[NewPointsHome],Table2[GameDate], "&lt;=" &amp; $A193, Table2[HomeTeam], Z$1)</f>
        <v>30</v>
      </c>
      <c r="AA193" s="145">
        <f>SUMIFS(Table2[NewPointsAway],Table2[GameDate], "&lt;=" &amp; $A193, Table2[AwayTeam], AA$1)+SUMIFS(Table2[NewPointsHome],Table2[GameDate], "&lt;=" &amp; $A193, Table2[HomeTeam], AA$1)</f>
        <v>34</v>
      </c>
      <c r="AB193" s="145">
        <f>SUMIFS(Table2[NewPointsAway],Table2[GameDate], "&lt;=" &amp; $A193, Table2[AwayTeam], AB$1)+SUMIFS(Table2[NewPointsHome],Table2[GameDate], "&lt;=" &amp; $A193, Table2[HomeTeam], AB$1)</f>
        <v>32</v>
      </c>
      <c r="AC193" s="145">
        <f>SUMIFS(Table2[NewPointsAway],Table2[GameDate], "&lt;=" &amp; $A193, Table2[AwayTeam], AC$1)+SUMIFS(Table2[NewPointsHome],Table2[GameDate], "&lt;=" &amp; $A193, Table2[HomeTeam], AC$1)</f>
        <v>31</v>
      </c>
      <c r="AD193" s="145">
        <f>SUMIFS(Table2[NewPointsAway],Table2[GameDate], "&lt;=" &amp; $A193, Table2[AwayTeam], AD$1)+SUMIFS(Table2[NewPointsHome],Table2[GameDate], "&lt;=" &amp; $A193, Table2[HomeTeam], AD$1)</f>
        <v>25</v>
      </c>
      <c r="AE193" s="145">
        <f>SUMIFS(Table2[NewPointsAway],Table2[GameDate], "&lt;=" &amp; $A193, Table2[AwayTeam], AE$1)+SUMIFS(Table2[NewPointsHome],Table2[GameDate], "&lt;=" &amp; $A193, Table2[HomeTeam], AE$1)</f>
        <v>36</v>
      </c>
      <c r="AF193" s="145">
        <f>SUMIFS(Table2[NewPointsAway],Table2[GameDate], "&lt;=" &amp; $A193, Table2[AwayTeam], AF$1)+SUMIFS(Table2[NewPointsHome],Table2[GameDate], "&lt;=" &amp; $A193, Table2[HomeTeam], AF$1)</f>
        <v>29</v>
      </c>
      <c r="AG193" s="145">
        <f>SUMIFS(Table2[NewPointsAway],Table2[GameDate], "&lt;=" &amp; $A193, Table2[AwayTeam], AG$1)+SUMIFS(Table2[NewPointsHome],Table2[GameDate], "&lt;=" &amp; $A193, Table2[HomeTeam], AG$1)</f>
        <v>39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37</v>
      </c>
      <c r="C194" s="145">
        <f>SUMIFS(Table2[NewPointsAway],Table2[GameDate], "&lt;=" &amp; $A194, Table2[AwayTeam], C$1)+SUMIFS(Table2[NewPointsHome],Table2[GameDate], "&lt;=" &amp; $A194, Table2[HomeTeam], C$1)</f>
        <v>34</v>
      </c>
      <c r="D194" s="145">
        <f>SUMIFS(Table2[NewPointsAway],Table2[GameDate], "&lt;=" &amp; $A194, Table2[AwayTeam], D$1)+SUMIFS(Table2[NewPointsHome],Table2[GameDate], "&lt;=" &amp; $A194, Table2[HomeTeam], D$1)</f>
        <v>26</v>
      </c>
      <c r="E194" s="145">
        <f>SUMIFS(Table2[NewPointsAway],Table2[GameDate], "&lt;=" &amp; $A194, Table2[AwayTeam], E$1)+SUMIFS(Table2[NewPointsHome],Table2[GameDate], "&lt;=" &amp; $A194, Table2[HomeTeam], E$1)</f>
        <v>36</v>
      </c>
      <c r="F194" s="145">
        <f>SUMIFS(Table2[NewPointsAway],Table2[GameDate], "&lt;=" &amp; $A194, Table2[AwayTeam], F$1)+SUMIFS(Table2[NewPointsHome],Table2[GameDate], "&lt;=" &amp; $A194, Table2[HomeTeam], F$1)</f>
        <v>32</v>
      </c>
      <c r="G194" s="145">
        <f>SUMIFS(Table2[NewPointsAway],Table2[GameDate], "&lt;=" &amp; $A194, Table2[AwayTeam], G$1)+SUMIFS(Table2[NewPointsHome],Table2[GameDate], "&lt;=" &amp; $A194, Table2[HomeTeam], G$1)</f>
        <v>28</v>
      </c>
      <c r="H194" s="145">
        <f>SUMIFS(Table2[NewPointsAway],Table2[GameDate], "&lt;=" &amp; $A194, Table2[AwayTeam], H$1)+SUMIFS(Table2[NewPointsHome],Table2[GameDate], "&lt;=" &amp; $A194, Table2[HomeTeam], H$1)</f>
        <v>30</v>
      </c>
      <c r="I194" s="145">
        <f>SUMIFS(Table2[NewPointsAway],Table2[GameDate], "&lt;=" &amp; $A194, Table2[AwayTeam], I$1)+SUMIFS(Table2[NewPointsHome],Table2[GameDate], "&lt;=" &amp; $A194, Table2[HomeTeam], I$1)</f>
        <v>48</v>
      </c>
      <c r="J194" s="145">
        <f>SUMIFS(Table2[NewPointsAway],Table2[GameDate], "&lt;=" &amp; $A194, Table2[AwayTeam], J$1)+SUMIFS(Table2[NewPointsHome],Table2[GameDate], "&lt;=" &amp; $A194, Table2[HomeTeam], J$1)</f>
        <v>45</v>
      </c>
      <c r="K194" s="145">
        <f>SUMIFS(Table2[NewPointsAway],Table2[GameDate], "&lt;=" &amp; $A194, Table2[AwayTeam], K$1)+SUMIFS(Table2[NewPointsHome],Table2[GameDate], "&lt;=" &amp; $A194, Table2[HomeTeam], K$1)</f>
        <v>35</v>
      </c>
      <c r="L194" s="145">
        <f>SUMIFS(Table2[NewPointsAway],Table2[GameDate], "&lt;=" &amp; $A194, Table2[AwayTeam], L$1)+SUMIFS(Table2[NewPointsHome],Table2[GameDate], "&lt;=" &amp; $A194, Table2[HomeTeam], L$1)</f>
        <v>31</v>
      </c>
      <c r="M194" s="145">
        <f>SUMIFS(Table2[NewPointsAway],Table2[GameDate], "&lt;=" &amp; $A194, Table2[AwayTeam], M$1)+SUMIFS(Table2[NewPointsHome],Table2[GameDate], "&lt;=" &amp; $A194, Table2[HomeTeam], M$1)</f>
        <v>30</v>
      </c>
      <c r="N194" s="145">
        <f>SUMIFS(Table2[NewPointsAway],Table2[GameDate], "&lt;=" &amp; $A194, Table2[AwayTeam], N$1)+SUMIFS(Table2[NewPointsHome],Table2[GameDate], "&lt;=" &amp; $A194, Table2[HomeTeam], N$1)</f>
        <v>35</v>
      </c>
      <c r="O194" s="145">
        <f>SUMIFS(Table2[NewPointsAway],Table2[GameDate], "&lt;=" &amp; $A194, Table2[AwayTeam], O$1)+SUMIFS(Table2[NewPointsHome],Table2[GameDate], "&lt;=" &amp; $A194, Table2[HomeTeam], O$1)</f>
        <v>37</v>
      </c>
      <c r="P194" s="145">
        <f>SUMIFS(Table2[NewPointsAway],Table2[GameDate], "&lt;=" &amp; $A194, Table2[AwayTeam], P$1)+SUMIFS(Table2[NewPointsHome],Table2[GameDate], "&lt;=" &amp; $A194, Table2[HomeTeam], P$1)</f>
        <v>33</v>
      </c>
      <c r="Q194" s="145">
        <f>SUMIFS(Table2[NewPointsAway],Table2[GameDate], "&lt;=" &amp; $A194, Table2[AwayTeam], Q$1)+SUMIFS(Table2[NewPointsHome],Table2[GameDate], "&lt;=" &amp; $A194, Table2[HomeTeam], Q$1)</f>
        <v>33</v>
      </c>
      <c r="R194" s="145">
        <f>SUMIFS(Table2[NewPointsAway],Table2[GameDate], "&lt;=" &amp; $A194, Table2[AwayTeam], R$1)+SUMIFS(Table2[NewPointsHome],Table2[GameDate], "&lt;=" &amp; $A194, Table2[HomeTeam], R$1)</f>
        <v>24</v>
      </c>
      <c r="S194" s="145">
        <f>SUMIFS(Table2[NewPointsAway],Table2[GameDate], "&lt;=" &amp; $A194, Table2[AwayTeam], S$1)+SUMIFS(Table2[NewPointsHome],Table2[GameDate], "&lt;=" &amp; $A194, Table2[HomeTeam], S$1)</f>
        <v>35</v>
      </c>
      <c r="T194" s="145">
        <f>SUMIFS(Table2[NewPointsAway],Table2[GameDate], "&lt;=" &amp; $A194, Table2[AwayTeam], T$1)+SUMIFS(Table2[NewPointsHome],Table2[GameDate], "&lt;=" &amp; $A194, Table2[HomeTeam], T$1)</f>
        <v>34</v>
      </c>
      <c r="U194" s="145">
        <f>SUMIFS(Table2[NewPointsAway],Table2[GameDate], "&lt;=" &amp; $A194, Table2[AwayTeam], U$1)+SUMIFS(Table2[NewPointsHome],Table2[GameDate], "&lt;=" &amp; $A194, Table2[HomeTeam], U$1)</f>
        <v>30</v>
      </c>
      <c r="V194" s="145">
        <f>SUMIFS(Table2[NewPointsAway],Table2[GameDate], "&lt;=" &amp; $A194, Table2[AwayTeam], V$1)+SUMIFS(Table2[NewPointsHome],Table2[GameDate], "&lt;=" &amp; $A194, Table2[HomeTeam], V$1)</f>
        <v>32</v>
      </c>
      <c r="W194" s="145">
        <f>SUMIFS(Table2[NewPointsAway],Table2[GameDate], "&lt;=" &amp; $A194, Table2[AwayTeam], W$1)+SUMIFS(Table2[NewPointsHome],Table2[GameDate], "&lt;=" &amp; $A194, Table2[HomeTeam], W$1)</f>
        <v>34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31</v>
      </c>
      <c r="Z194" s="145">
        <f>SUMIFS(Table2[NewPointsAway],Table2[GameDate], "&lt;=" &amp; $A194, Table2[AwayTeam], Z$1)+SUMIFS(Table2[NewPointsHome],Table2[GameDate], "&lt;=" &amp; $A194, Table2[HomeTeam], Z$1)</f>
        <v>30</v>
      </c>
      <c r="AA194" s="145">
        <f>SUMIFS(Table2[NewPointsAway],Table2[GameDate], "&lt;=" &amp; $A194, Table2[AwayTeam], AA$1)+SUMIFS(Table2[NewPointsHome],Table2[GameDate], "&lt;=" &amp; $A194, Table2[HomeTeam], AA$1)</f>
        <v>34</v>
      </c>
      <c r="AB194" s="145">
        <f>SUMIFS(Table2[NewPointsAway],Table2[GameDate], "&lt;=" &amp; $A194, Table2[AwayTeam], AB$1)+SUMIFS(Table2[NewPointsHome],Table2[GameDate], "&lt;=" &amp; $A194, Table2[HomeTeam], AB$1)</f>
        <v>32</v>
      </c>
      <c r="AC194" s="145">
        <f>SUMIFS(Table2[NewPointsAway],Table2[GameDate], "&lt;=" &amp; $A194, Table2[AwayTeam], AC$1)+SUMIFS(Table2[NewPointsHome],Table2[GameDate], "&lt;=" &amp; $A194, Table2[HomeTeam], AC$1)</f>
        <v>31</v>
      </c>
      <c r="AD194" s="145">
        <f>SUMIFS(Table2[NewPointsAway],Table2[GameDate], "&lt;=" &amp; $A194, Table2[AwayTeam], AD$1)+SUMIFS(Table2[NewPointsHome],Table2[GameDate], "&lt;=" &amp; $A194, Table2[HomeTeam], AD$1)</f>
        <v>25</v>
      </c>
      <c r="AE194" s="145">
        <f>SUMIFS(Table2[NewPointsAway],Table2[GameDate], "&lt;=" &amp; $A194, Table2[AwayTeam], AE$1)+SUMIFS(Table2[NewPointsHome],Table2[GameDate], "&lt;=" &amp; $A194, Table2[HomeTeam], AE$1)</f>
        <v>36</v>
      </c>
      <c r="AF194" s="145">
        <f>SUMIFS(Table2[NewPointsAway],Table2[GameDate], "&lt;=" &amp; $A194, Table2[AwayTeam], AF$1)+SUMIFS(Table2[NewPointsHome],Table2[GameDate], "&lt;=" &amp; $A194, Table2[HomeTeam], AF$1)</f>
        <v>29</v>
      </c>
      <c r="AG194" s="145">
        <f>SUMIFS(Table2[NewPointsAway],Table2[GameDate], "&lt;=" &amp; $A194, Table2[AwayTeam], AG$1)+SUMIFS(Table2[NewPointsHome],Table2[GameDate], "&lt;=" &amp; $A194, Table2[HomeTeam], AG$1)</f>
        <v>39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37</v>
      </c>
      <c r="C195" s="145">
        <f>SUMIFS(Table2[NewPointsAway],Table2[GameDate], "&lt;=" &amp; $A195, Table2[AwayTeam], C$1)+SUMIFS(Table2[NewPointsHome],Table2[GameDate], "&lt;=" &amp; $A195, Table2[HomeTeam], C$1)</f>
        <v>34</v>
      </c>
      <c r="D195" s="145">
        <f>SUMIFS(Table2[NewPointsAway],Table2[GameDate], "&lt;=" &amp; $A195, Table2[AwayTeam], D$1)+SUMIFS(Table2[NewPointsHome],Table2[GameDate], "&lt;=" &amp; $A195, Table2[HomeTeam], D$1)</f>
        <v>26</v>
      </c>
      <c r="E195" s="145">
        <f>SUMIFS(Table2[NewPointsAway],Table2[GameDate], "&lt;=" &amp; $A195, Table2[AwayTeam], E$1)+SUMIFS(Table2[NewPointsHome],Table2[GameDate], "&lt;=" &amp; $A195, Table2[HomeTeam], E$1)</f>
        <v>36</v>
      </c>
      <c r="F195" s="145">
        <f>SUMIFS(Table2[NewPointsAway],Table2[GameDate], "&lt;=" &amp; $A195, Table2[AwayTeam], F$1)+SUMIFS(Table2[NewPointsHome],Table2[GameDate], "&lt;=" &amp; $A195, Table2[HomeTeam], F$1)</f>
        <v>32</v>
      </c>
      <c r="G195" s="145">
        <f>SUMIFS(Table2[NewPointsAway],Table2[GameDate], "&lt;=" &amp; $A195, Table2[AwayTeam], G$1)+SUMIFS(Table2[NewPointsHome],Table2[GameDate], "&lt;=" &amp; $A195, Table2[HomeTeam], G$1)</f>
        <v>28</v>
      </c>
      <c r="H195" s="145">
        <f>SUMIFS(Table2[NewPointsAway],Table2[GameDate], "&lt;=" &amp; $A195, Table2[AwayTeam], H$1)+SUMIFS(Table2[NewPointsHome],Table2[GameDate], "&lt;=" &amp; $A195, Table2[HomeTeam], H$1)</f>
        <v>30</v>
      </c>
      <c r="I195" s="145">
        <f>SUMIFS(Table2[NewPointsAway],Table2[GameDate], "&lt;=" &amp; $A195, Table2[AwayTeam], I$1)+SUMIFS(Table2[NewPointsHome],Table2[GameDate], "&lt;=" &amp; $A195, Table2[HomeTeam], I$1)</f>
        <v>48</v>
      </c>
      <c r="J195" s="145">
        <f>SUMIFS(Table2[NewPointsAway],Table2[GameDate], "&lt;=" &amp; $A195, Table2[AwayTeam], J$1)+SUMIFS(Table2[NewPointsHome],Table2[GameDate], "&lt;=" &amp; $A195, Table2[HomeTeam], J$1)</f>
        <v>45</v>
      </c>
      <c r="K195" s="145">
        <f>SUMIFS(Table2[NewPointsAway],Table2[GameDate], "&lt;=" &amp; $A195, Table2[AwayTeam], K$1)+SUMIFS(Table2[NewPointsHome],Table2[GameDate], "&lt;=" &amp; $A195, Table2[HomeTeam], K$1)</f>
        <v>35</v>
      </c>
      <c r="L195" s="145">
        <f>SUMIFS(Table2[NewPointsAway],Table2[GameDate], "&lt;=" &amp; $A195, Table2[AwayTeam], L$1)+SUMIFS(Table2[NewPointsHome],Table2[GameDate], "&lt;=" &amp; $A195, Table2[HomeTeam], L$1)</f>
        <v>31</v>
      </c>
      <c r="M195" s="145">
        <f>SUMIFS(Table2[NewPointsAway],Table2[GameDate], "&lt;=" &amp; $A195, Table2[AwayTeam], M$1)+SUMIFS(Table2[NewPointsHome],Table2[GameDate], "&lt;=" &amp; $A195, Table2[HomeTeam], M$1)</f>
        <v>30</v>
      </c>
      <c r="N195" s="145">
        <f>SUMIFS(Table2[NewPointsAway],Table2[GameDate], "&lt;=" &amp; $A195, Table2[AwayTeam], N$1)+SUMIFS(Table2[NewPointsHome],Table2[GameDate], "&lt;=" &amp; $A195, Table2[HomeTeam], N$1)</f>
        <v>35</v>
      </c>
      <c r="O195" s="145">
        <f>SUMIFS(Table2[NewPointsAway],Table2[GameDate], "&lt;=" &amp; $A195, Table2[AwayTeam], O$1)+SUMIFS(Table2[NewPointsHome],Table2[GameDate], "&lt;=" &amp; $A195, Table2[HomeTeam], O$1)</f>
        <v>37</v>
      </c>
      <c r="P195" s="145">
        <f>SUMIFS(Table2[NewPointsAway],Table2[GameDate], "&lt;=" &amp; $A195, Table2[AwayTeam], P$1)+SUMIFS(Table2[NewPointsHome],Table2[GameDate], "&lt;=" &amp; $A195, Table2[HomeTeam], P$1)</f>
        <v>33</v>
      </c>
      <c r="Q195" s="145">
        <f>SUMIFS(Table2[NewPointsAway],Table2[GameDate], "&lt;=" &amp; $A195, Table2[AwayTeam], Q$1)+SUMIFS(Table2[NewPointsHome],Table2[GameDate], "&lt;=" &amp; $A195, Table2[HomeTeam], Q$1)</f>
        <v>33</v>
      </c>
      <c r="R195" s="145">
        <f>SUMIFS(Table2[NewPointsAway],Table2[GameDate], "&lt;=" &amp; $A195, Table2[AwayTeam], R$1)+SUMIFS(Table2[NewPointsHome],Table2[GameDate], "&lt;=" &amp; $A195, Table2[HomeTeam], R$1)</f>
        <v>24</v>
      </c>
      <c r="S195" s="145">
        <f>SUMIFS(Table2[NewPointsAway],Table2[GameDate], "&lt;=" &amp; $A195, Table2[AwayTeam], S$1)+SUMIFS(Table2[NewPointsHome],Table2[GameDate], "&lt;=" &amp; $A195, Table2[HomeTeam], S$1)</f>
        <v>35</v>
      </c>
      <c r="T195" s="145">
        <f>SUMIFS(Table2[NewPointsAway],Table2[GameDate], "&lt;=" &amp; $A195, Table2[AwayTeam], T$1)+SUMIFS(Table2[NewPointsHome],Table2[GameDate], "&lt;=" &amp; $A195, Table2[HomeTeam], T$1)</f>
        <v>34</v>
      </c>
      <c r="U195" s="145">
        <f>SUMIFS(Table2[NewPointsAway],Table2[GameDate], "&lt;=" &amp; $A195, Table2[AwayTeam], U$1)+SUMIFS(Table2[NewPointsHome],Table2[GameDate], "&lt;=" &amp; $A195, Table2[HomeTeam], U$1)</f>
        <v>30</v>
      </c>
      <c r="V195" s="145">
        <f>SUMIFS(Table2[NewPointsAway],Table2[GameDate], "&lt;=" &amp; $A195, Table2[AwayTeam], V$1)+SUMIFS(Table2[NewPointsHome],Table2[GameDate], "&lt;=" &amp; $A195, Table2[HomeTeam], V$1)</f>
        <v>32</v>
      </c>
      <c r="W195" s="145">
        <f>SUMIFS(Table2[NewPointsAway],Table2[GameDate], "&lt;=" &amp; $A195, Table2[AwayTeam], W$1)+SUMIFS(Table2[NewPointsHome],Table2[GameDate], "&lt;=" &amp; $A195, Table2[HomeTeam], W$1)</f>
        <v>34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31</v>
      </c>
      <c r="Z195" s="145">
        <f>SUMIFS(Table2[NewPointsAway],Table2[GameDate], "&lt;=" &amp; $A195, Table2[AwayTeam], Z$1)+SUMIFS(Table2[NewPointsHome],Table2[GameDate], "&lt;=" &amp; $A195, Table2[HomeTeam], Z$1)</f>
        <v>30</v>
      </c>
      <c r="AA195" s="145">
        <f>SUMIFS(Table2[NewPointsAway],Table2[GameDate], "&lt;=" &amp; $A195, Table2[AwayTeam], AA$1)+SUMIFS(Table2[NewPointsHome],Table2[GameDate], "&lt;=" &amp; $A195, Table2[HomeTeam], AA$1)</f>
        <v>34</v>
      </c>
      <c r="AB195" s="145">
        <f>SUMIFS(Table2[NewPointsAway],Table2[GameDate], "&lt;=" &amp; $A195, Table2[AwayTeam], AB$1)+SUMIFS(Table2[NewPointsHome],Table2[GameDate], "&lt;=" &amp; $A195, Table2[HomeTeam], AB$1)</f>
        <v>32</v>
      </c>
      <c r="AC195" s="145">
        <f>SUMIFS(Table2[NewPointsAway],Table2[GameDate], "&lt;=" &amp; $A195, Table2[AwayTeam], AC$1)+SUMIFS(Table2[NewPointsHome],Table2[GameDate], "&lt;=" &amp; $A195, Table2[HomeTeam], AC$1)</f>
        <v>31</v>
      </c>
      <c r="AD195" s="145">
        <f>SUMIFS(Table2[NewPointsAway],Table2[GameDate], "&lt;=" &amp; $A195, Table2[AwayTeam], AD$1)+SUMIFS(Table2[NewPointsHome],Table2[GameDate], "&lt;=" &amp; $A195, Table2[HomeTeam], AD$1)</f>
        <v>25</v>
      </c>
      <c r="AE195" s="145">
        <f>SUMIFS(Table2[NewPointsAway],Table2[GameDate], "&lt;=" &amp; $A195, Table2[AwayTeam], AE$1)+SUMIFS(Table2[NewPointsHome],Table2[GameDate], "&lt;=" &amp; $A195, Table2[HomeTeam], AE$1)</f>
        <v>36</v>
      </c>
      <c r="AF195" s="145">
        <f>SUMIFS(Table2[NewPointsAway],Table2[GameDate], "&lt;=" &amp; $A195, Table2[AwayTeam], AF$1)+SUMIFS(Table2[NewPointsHome],Table2[GameDate], "&lt;=" &amp; $A195, Table2[HomeTeam], AF$1)</f>
        <v>29</v>
      </c>
      <c r="AG195" s="145">
        <f>SUMIFS(Table2[NewPointsAway],Table2[GameDate], "&lt;=" &amp; $A195, Table2[AwayTeam], AG$1)+SUMIFS(Table2[NewPointsHome],Table2[GameDate], "&lt;=" &amp; $A195, Table2[HomeTeam], AG$1)</f>
        <v>39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37</v>
      </c>
      <c r="C196" s="145">
        <f>SUMIFS(Table2[NewPointsAway],Table2[GameDate], "&lt;=" &amp; $A196, Table2[AwayTeam], C$1)+SUMIFS(Table2[NewPointsHome],Table2[GameDate], "&lt;=" &amp; $A196, Table2[HomeTeam], C$1)</f>
        <v>34</v>
      </c>
      <c r="D196" s="145">
        <f>SUMIFS(Table2[NewPointsAway],Table2[GameDate], "&lt;=" &amp; $A196, Table2[AwayTeam], D$1)+SUMIFS(Table2[NewPointsHome],Table2[GameDate], "&lt;=" &amp; $A196, Table2[HomeTeam], D$1)</f>
        <v>26</v>
      </c>
      <c r="E196" s="145">
        <f>SUMIFS(Table2[NewPointsAway],Table2[GameDate], "&lt;=" &amp; $A196, Table2[AwayTeam], E$1)+SUMIFS(Table2[NewPointsHome],Table2[GameDate], "&lt;=" &amp; $A196, Table2[HomeTeam], E$1)</f>
        <v>36</v>
      </c>
      <c r="F196" s="145">
        <f>SUMIFS(Table2[NewPointsAway],Table2[GameDate], "&lt;=" &amp; $A196, Table2[AwayTeam], F$1)+SUMIFS(Table2[NewPointsHome],Table2[GameDate], "&lt;=" &amp; $A196, Table2[HomeTeam], F$1)</f>
        <v>32</v>
      </c>
      <c r="G196" s="145">
        <f>SUMIFS(Table2[NewPointsAway],Table2[GameDate], "&lt;=" &amp; $A196, Table2[AwayTeam], G$1)+SUMIFS(Table2[NewPointsHome],Table2[GameDate], "&lt;=" &amp; $A196, Table2[HomeTeam], G$1)</f>
        <v>28</v>
      </c>
      <c r="H196" s="145">
        <f>SUMIFS(Table2[NewPointsAway],Table2[GameDate], "&lt;=" &amp; $A196, Table2[AwayTeam], H$1)+SUMIFS(Table2[NewPointsHome],Table2[GameDate], "&lt;=" &amp; $A196, Table2[HomeTeam], H$1)</f>
        <v>30</v>
      </c>
      <c r="I196" s="145">
        <f>SUMIFS(Table2[NewPointsAway],Table2[GameDate], "&lt;=" &amp; $A196, Table2[AwayTeam], I$1)+SUMIFS(Table2[NewPointsHome],Table2[GameDate], "&lt;=" &amp; $A196, Table2[HomeTeam], I$1)</f>
        <v>48</v>
      </c>
      <c r="J196" s="145">
        <f>SUMIFS(Table2[NewPointsAway],Table2[GameDate], "&lt;=" &amp; $A196, Table2[AwayTeam], J$1)+SUMIFS(Table2[NewPointsHome],Table2[GameDate], "&lt;=" &amp; $A196, Table2[HomeTeam], J$1)</f>
        <v>45</v>
      </c>
      <c r="K196" s="145">
        <f>SUMIFS(Table2[NewPointsAway],Table2[GameDate], "&lt;=" &amp; $A196, Table2[AwayTeam], K$1)+SUMIFS(Table2[NewPointsHome],Table2[GameDate], "&lt;=" &amp; $A196, Table2[HomeTeam], K$1)</f>
        <v>35</v>
      </c>
      <c r="L196" s="145">
        <f>SUMIFS(Table2[NewPointsAway],Table2[GameDate], "&lt;=" &amp; $A196, Table2[AwayTeam], L$1)+SUMIFS(Table2[NewPointsHome],Table2[GameDate], "&lt;=" &amp; $A196, Table2[HomeTeam], L$1)</f>
        <v>31</v>
      </c>
      <c r="M196" s="145">
        <f>SUMIFS(Table2[NewPointsAway],Table2[GameDate], "&lt;=" &amp; $A196, Table2[AwayTeam], M$1)+SUMIFS(Table2[NewPointsHome],Table2[GameDate], "&lt;=" &amp; $A196, Table2[HomeTeam], M$1)</f>
        <v>30</v>
      </c>
      <c r="N196" s="145">
        <f>SUMIFS(Table2[NewPointsAway],Table2[GameDate], "&lt;=" &amp; $A196, Table2[AwayTeam], N$1)+SUMIFS(Table2[NewPointsHome],Table2[GameDate], "&lt;=" &amp; $A196, Table2[HomeTeam], N$1)</f>
        <v>35</v>
      </c>
      <c r="O196" s="145">
        <f>SUMIFS(Table2[NewPointsAway],Table2[GameDate], "&lt;=" &amp; $A196, Table2[AwayTeam], O$1)+SUMIFS(Table2[NewPointsHome],Table2[GameDate], "&lt;=" &amp; $A196, Table2[HomeTeam], O$1)</f>
        <v>37</v>
      </c>
      <c r="P196" s="145">
        <f>SUMIFS(Table2[NewPointsAway],Table2[GameDate], "&lt;=" &amp; $A196, Table2[AwayTeam], P$1)+SUMIFS(Table2[NewPointsHome],Table2[GameDate], "&lt;=" &amp; $A196, Table2[HomeTeam], P$1)</f>
        <v>33</v>
      </c>
      <c r="Q196" s="145">
        <f>SUMIFS(Table2[NewPointsAway],Table2[GameDate], "&lt;=" &amp; $A196, Table2[AwayTeam], Q$1)+SUMIFS(Table2[NewPointsHome],Table2[GameDate], "&lt;=" &amp; $A196, Table2[HomeTeam], Q$1)</f>
        <v>33</v>
      </c>
      <c r="R196" s="145">
        <f>SUMIFS(Table2[NewPointsAway],Table2[GameDate], "&lt;=" &amp; $A196, Table2[AwayTeam], R$1)+SUMIFS(Table2[NewPointsHome],Table2[GameDate], "&lt;=" &amp; $A196, Table2[HomeTeam], R$1)</f>
        <v>24</v>
      </c>
      <c r="S196" s="145">
        <f>SUMIFS(Table2[NewPointsAway],Table2[GameDate], "&lt;=" &amp; $A196, Table2[AwayTeam], S$1)+SUMIFS(Table2[NewPointsHome],Table2[GameDate], "&lt;=" &amp; $A196, Table2[HomeTeam], S$1)</f>
        <v>35</v>
      </c>
      <c r="T196" s="145">
        <f>SUMIFS(Table2[NewPointsAway],Table2[GameDate], "&lt;=" &amp; $A196, Table2[AwayTeam], T$1)+SUMIFS(Table2[NewPointsHome],Table2[GameDate], "&lt;=" &amp; $A196, Table2[HomeTeam], T$1)</f>
        <v>34</v>
      </c>
      <c r="U196" s="145">
        <f>SUMIFS(Table2[NewPointsAway],Table2[GameDate], "&lt;=" &amp; $A196, Table2[AwayTeam], U$1)+SUMIFS(Table2[NewPointsHome],Table2[GameDate], "&lt;=" &amp; $A196, Table2[HomeTeam], U$1)</f>
        <v>30</v>
      </c>
      <c r="V196" s="145">
        <f>SUMIFS(Table2[NewPointsAway],Table2[GameDate], "&lt;=" &amp; $A196, Table2[AwayTeam], V$1)+SUMIFS(Table2[NewPointsHome],Table2[GameDate], "&lt;=" &amp; $A196, Table2[HomeTeam], V$1)</f>
        <v>32</v>
      </c>
      <c r="W196" s="145">
        <f>SUMIFS(Table2[NewPointsAway],Table2[GameDate], "&lt;=" &amp; $A196, Table2[AwayTeam], W$1)+SUMIFS(Table2[NewPointsHome],Table2[GameDate], "&lt;=" &amp; $A196, Table2[HomeTeam], W$1)</f>
        <v>34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31</v>
      </c>
      <c r="Z196" s="145">
        <f>SUMIFS(Table2[NewPointsAway],Table2[GameDate], "&lt;=" &amp; $A196, Table2[AwayTeam], Z$1)+SUMIFS(Table2[NewPointsHome],Table2[GameDate], "&lt;=" &amp; $A196, Table2[HomeTeam], Z$1)</f>
        <v>30</v>
      </c>
      <c r="AA196" s="145">
        <f>SUMIFS(Table2[NewPointsAway],Table2[GameDate], "&lt;=" &amp; $A196, Table2[AwayTeam], AA$1)+SUMIFS(Table2[NewPointsHome],Table2[GameDate], "&lt;=" &amp; $A196, Table2[HomeTeam], AA$1)</f>
        <v>34</v>
      </c>
      <c r="AB196" s="145">
        <f>SUMIFS(Table2[NewPointsAway],Table2[GameDate], "&lt;=" &amp; $A196, Table2[AwayTeam], AB$1)+SUMIFS(Table2[NewPointsHome],Table2[GameDate], "&lt;=" &amp; $A196, Table2[HomeTeam], AB$1)</f>
        <v>32</v>
      </c>
      <c r="AC196" s="145">
        <f>SUMIFS(Table2[NewPointsAway],Table2[GameDate], "&lt;=" &amp; $A196, Table2[AwayTeam], AC$1)+SUMIFS(Table2[NewPointsHome],Table2[GameDate], "&lt;=" &amp; $A196, Table2[HomeTeam], AC$1)</f>
        <v>31</v>
      </c>
      <c r="AD196" s="145">
        <f>SUMIFS(Table2[NewPointsAway],Table2[GameDate], "&lt;=" &amp; $A196, Table2[AwayTeam], AD$1)+SUMIFS(Table2[NewPointsHome],Table2[GameDate], "&lt;=" &amp; $A196, Table2[HomeTeam], AD$1)</f>
        <v>25</v>
      </c>
      <c r="AE196" s="145">
        <f>SUMIFS(Table2[NewPointsAway],Table2[GameDate], "&lt;=" &amp; $A196, Table2[AwayTeam], AE$1)+SUMIFS(Table2[NewPointsHome],Table2[GameDate], "&lt;=" &amp; $A196, Table2[HomeTeam], AE$1)</f>
        <v>36</v>
      </c>
      <c r="AF196" s="145">
        <f>SUMIFS(Table2[NewPointsAway],Table2[GameDate], "&lt;=" &amp; $A196, Table2[AwayTeam], AF$1)+SUMIFS(Table2[NewPointsHome],Table2[GameDate], "&lt;=" &amp; $A196, Table2[HomeTeam], AF$1)</f>
        <v>29</v>
      </c>
      <c r="AG196" s="145">
        <f>SUMIFS(Table2[NewPointsAway],Table2[GameDate], "&lt;=" &amp; $A196, Table2[AwayTeam], AG$1)+SUMIFS(Table2[NewPointsHome],Table2[GameDate], "&lt;=" &amp; $A196, Table2[HomeTeam], AG$1)</f>
        <v>39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37</v>
      </c>
      <c r="C197" s="145">
        <f>SUMIFS(Table2[NewPointsAway],Table2[GameDate], "&lt;=" &amp; $A197, Table2[AwayTeam], C$1)+SUMIFS(Table2[NewPointsHome],Table2[GameDate], "&lt;=" &amp; $A197, Table2[HomeTeam], C$1)</f>
        <v>34</v>
      </c>
      <c r="D197" s="145">
        <f>SUMIFS(Table2[NewPointsAway],Table2[GameDate], "&lt;=" &amp; $A197, Table2[AwayTeam], D$1)+SUMIFS(Table2[NewPointsHome],Table2[GameDate], "&lt;=" &amp; $A197, Table2[HomeTeam], D$1)</f>
        <v>26</v>
      </c>
      <c r="E197" s="145">
        <f>SUMIFS(Table2[NewPointsAway],Table2[GameDate], "&lt;=" &amp; $A197, Table2[AwayTeam], E$1)+SUMIFS(Table2[NewPointsHome],Table2[GameDate], "&lt;=" &amp; $A197, Table2[HomeTeam], E$1)</f>
        <v>36</v>
      </c>
      <c r="F197" s="145">
        <f>SUMIFS(Table2[NewPointsAway],Table2[GameDate], "&lt;=" &amp; $A197, Table2[AwayTeam], F$1)+SUMIFS(Table2[NewPointsHome],Table2[GameDate], "&lt;=" &amp; $A197, Table2[HomeTeam], F$1)</f>
        <v>32</v>
      </c>
      <c r="G197" s="145">
        <f>SUMIFS(Table2[NewPointsAway],Table2[GameDate], "&lt;=" &amp; $A197, Table2[AwayTeam], G$1)+SUMIFS(Table2[NewPointsHome],Table2[GameDate], "&lt;=" &amp; $A197, Table2[HomeTeam], G$1)</f>
        <v>28</v>
      </c>
      <c r="H197" s="145">
        <f>SUMIFS(Table2[NewPointsAway],Table2[GameDate], "&lt;=" &amp; $A197, Table2[AwayTeam], H$1)+SUMIFS(Table2[NewPointsHome],Table2[GameDate], "&lt;=" &amp; $A197, Table2[HomeTeam], H$1)</f>
        <v>30</v>
      </c>
      <c r="I197" s="145">
        <f>SUMIFS(Table2[NewPointsAway],Table2[GameDate], "&lt;=" &amp; $A197, Table2[AwayTeam], I$1)+SUMIFS(Table2[NewPointsHome],Table2[GameDate], "&lt;=" &amp; $A197, Table2[HomeTeam], I$1)</f>
        <v>48</v>
      </c>
      <c r="J197" s="145">
        <f>SUMIFS(Table2[NewPointsAway],Table2[GameDate], "&lt;=" &amp; $A197, Table2[AwayTeam], J$1)+SUMIFS(Table2[NewPointsHome],Table2[GameDate], "&lt;=" &amp; $A197, Table2[HomeTeam], J$1)</f>
        <v>45</v>
      </c>
      <c r="K197" s="145">
        <f>SUMIFS(Table2[NewPointsAway],Table2[GameDate], "&lt;=" &amp; $A197, Table2[AwayTeam], K$1)+SUMIFS(Table2[NewPointsHome],Table2[GameDate], "&lt;=" &amp; $A197, Table2[HomeTeam], K$1)</f>
        <v>35</v>
      </c>
      <c r="L197" s="145">
        <f>SUMIFS(Table2[NewPointsAway],Table2[GameDate], "&lt;=" &amp; $A197, Table2[AwayTeam], L$1)+SUMIFS(Table2[NewPointsHome],Table2[GameDate], "&lt;=" &amp; $A197, Table2[HomeTeam], L$1)</f>
        <v>31</v>
      </c>
      <c r="M197" s="145">
        <f>SUMIFS(Table2[NewPointsAway],Table2[GameDate], "&lt;=" &amp; $A197, Table2[AwayTeam], M$1)+SUMIFS(Table2[NewPointsHome],Table2[GameDate], "&lt;=" &amp; $A197, Table2[HomeTeam], M$1)</f>
        <v>30</v>
      </c>
      <c r="N197" s="145">
        <f>SUMIFS(Table2[NewPointsAway],Table2[GameDate], "&lt;=" &amp; $A197, Table2[AwayTeam], N$1)+SUMIFS(Table2[NewPointsHome],Table2[GameDate], "&lt;=" &amp; $A197, Table2[HomeTeam], N$1)</f>
        <v>35</v>
      </c>
      <c r="O197" s="145">
        <f>SUMIFS(Table2[NewPointsAway],Table2[GameDate], "&lt;=" &amp; $A197, Table2[AwayTeam], O$1)+SUMIFS(Table2[NewPointsHome],Table2[GameDate], "&lt;=" &amp; $A197, Table2[HomeTeam], O$1)</f>
        <v>37</v>
      </c>
      <c r="P197" s="145">
        <f>SUMIFS(Table2[NewPointsAway],Table2[GameDate], "&lt;=" &amp; $A197, Table2[AwayTeam], P$1)+SUMIFS(Table2[NewPointsHome],Table2[GameDate], "&lt;=" &amp; $A197, Table2[HomeTeam], P$1)</f>
        <v>33</v>
      </c>
      <c r="Q197" s="145">
        <f>SUMIFS(Table2[NewPointsAway],Table2[GameDate], "&lt;=" &amp; $A197, Table2[AwayTeam], Q$1)+SUMIFS(Table2[NewPointsHome],Table2[GameDate], "&lt;=" &amp; $A197, Table2[HomeTeam], Q$1)</f>
        <v>33</v>
      </c>
      <c r="R197" s="145">
        <f>SUMIFS(Table2[NewPointsAway],Table2[GameDate], "&lt;=" &amp; $A197, Table2[AwayTeam], R$1)+SUMIFS(Table2[NewPointsHome],Table2[GameDate], "&lt;=" &amp; $A197, Table2[HomeTeam], R$1)</f>
        <v>24</v>
      </c>
      <c r="S197" s="145">
        <f>SUMIFS(Table2[NewPointsAway],Table2[GameDate], "&lt;=" &amp; $A197, Table2[AwayTeam], S$1)+SUMIFS(Table2[NewPointsHome],Table2[GameDate], "&lt;=" &amp; $A197, Table2[HomeTeam], S$1)</f>
        <v>35</v>
      </c>
      <c r="T197" s="145">
        <f>SUMIFS(Table2[NewPointsAway],Table2[GameDate], "&lt;=" &amp; $A197, Table2[AwayTeam], T$1)+SUMIFS(Table2[NewPointsHome],Table2[GameDate], "&lt;=" &amp; $A197, Table2[HomeTeam], T$1)</f>
        <v>34</v>
      </c>
      <c r="U197" s="145">
        <f>SUMIFS(Table2[NewPointsAway],Table2[GameDate], "&lt;=" &amp; $A197, Table2[AwayTeam], U$1)+SUMIFS(Table2[NewPointsHome],Table2[GameDate], "&lt;=" &amp; $A197, Table2[HomeTeam], U$1)</f>
        <v>30</v>
      </c>
      <c r="V197" s="145">
        <f>SUMIFS(Table2[NewPointsAway],Table2[GameDate], "&lt;=" &amp; $A197, Table2[AwayTeam], V$1)+SUMIFS(Table2[NewPointsHome],Table2[GameDate], "&lt;=" &amp; $A197, Table2[HomeTeam], V$1)</f>
        <v>32</v>
      </c>
      <c r="W197" s="145">
        <f>SUMIFS(Table2[NewPointsAway],Table2[GameDate], "&lt;=" &amp; $A197, Table2[AwayTeam], W$1)+SUMIFS(Table2[NewPointsHome],Table2[GameDate], "&lt;=" &amp; $A197, Table2[HomeTeam], W$1)</f>
        <v>34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31</v>
      </c>
      <c r="Z197" s="145">
        <f>SUMIFS(Table2[NewPointsAway],Table2[GameDate], "&lt;=" &amp; $A197, Table2[AwayTeam], Z$1)+SUMIFS(Table2[NewPointsHome],Table2[GameDate], "&lt;=" &amp; $A197, Table2[HomeTeam], Z$1)</f>
        <v>30</v>
      </c>
      <c r="AA197" s="145">
        <f>SUMIFS(Table2[NewPointsAway],Table2[GameDate], "&lt;=" &amp; $A197, Table2[AwayTeam], AA$1)+SUMIFS(Table2[NewPointsHome],Table2[GameDate], "&lt;=" &amp; $A197, Table2[HomeTeam], AA$1)</f>
        <v>34</v>
      </c>
      <c r="AB197" s="145">
        <f>SUMIFS(Table2[NewPointsAway],Table2[GameDate], "&lt;=" &amp; $A197, Table2[AwayTeam], AB$1)+SUMIFS(Table2[NewPointsHome],Table2[GameDate], "&lt;=" &amp; $A197, Table2[HomeTeam], AB$1)</f>
        <v>32</v>
      </c>
      <c r="AC197" s="145">
        <f>SUMIFS(Table2[NewPointsAway],Table2[GameDate], "&lt;=" &amp; $A197, Table2[AwayTeam], AC$1)+SUMIFS(Table2[NewPointsHome],Table2[GameDate], "&lt;=" &amp; $A197, Table2[HomeTeam], AC$1)</f>
        <v>31</v>
      </c>
      <c r="AD197" s="145">
        <f>SUMIFS(Table2[NewPointsAway],Table2[GameDate], "&lt;=" &amp; $A197, Table2[AwayTeam], AD$1)+SUMIFS(Table2[NewPointsHome],Table2[GameDate], "&lt;=" &amp; $A197, Table2[HomeTeam], AD$1)</f>
        <v>25</v>
      </c>
      <c r="AE197" s="145">
        <f>SUMIFS(Table2[NewPointsAway],Table2[GameDate], "&lt;=" &amp; $A197, Table2[AwayTeam], AE$1)+SUMIFS(Table2[NewPointsHome],Table2[GameDate], "&lt;=" &amp; $A197, Table2[HomeTeam], AE$1)</f>
        <v>36</v>
      </c>
      <c r="AF197" s="145">
        <f>SUMIFS(Table2[NewPointsAway],Table2[GameDate], "&lt;=" &amp; $A197, Table2[AwayTeam], AF$1)+SUMIFS(Table2[NewPointsHome],Table2[GameDate], "&lt;=" &amp; $A197, Table2[HomeTeam], AF$1)</f>
        <v>29</v>
      </c>
      <c r="AG197" s="145">
        <f>SUMIFS(Table2[NewPointsAway],Table2[GameDate], "&lt;=" &amp; $A197, Table2[AwayTeam], AG$1)+SUMIFS(Table2[NewPointsHome],Table2[GameDate], "&lt;=" &amp; $A197, Table2[HomeTeam], AG$1)</f>
        <v>39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37</v>
      </c>
      <c r="C198" s="145">
        <f>SUMIFS(Table2[NewPointsAway],Table2[GameDate], "&lt;=" &amp; $A198, Table2[AwayTeam], C$1)+SUMIFS(Table2[NewPointsHome],Table2[GameDate], "&lt;=" &amp; $A198, Table2[HomeTeam], C$1)</f>
        <v>34</v>
      </c>
      <c r="D198" s="145">
        <f>SUMIFS(Table2[NewPointsAway],Table2[GameDate], "&lt;=" &amp; $A198, Table2[AwayTeam], D$1)+SUMIFS(Table2[NewPointsHome],Table2[GameDate], "&lt;=" &amp; $A198, Table2[HomeTeam], D$1)</f>
        <v>26</v>
      </c>
      <c r="E198" s="145">
        <f>SUMIFS(Table2[NewPointsAway],Table2[GameDate], "&lt;=" &amp; $A198, Table2[AwayTeam], E$1)+SUMIFS(Table2[NewPointsHome],Table2[GameDate], "&lt;=" &amp; $A198, Table2[HomeTeam], E$1)</f>
        <v>36</v>
      </c>
      <c r="F198" s="145">
        <f>SUMIFS(Table2[NewPointsAway],Table2[GameDate], "&lt;=" &amp; $A198, Table2[AwayTeam], F$1)+SUMIFS(Table2[NewPointsHome],Table2[GameDate], "&lt;=" &amp; $A198, Table2[HomeTeam], F$1)</f>
        <v>32</v>
      </c>
      <c r="G198" s="145">
        <f>SUMIFS(Table2[NewPointsAway],Table2[GameDate], "&lt;=" &amp; $A198, Table2[AwayTeam], G$1)+SUMIFS(Table2[NewPointsHome],Table2[GameDate], "&lt;=" &amp; $A198, Table2[HomeTeam], G$1)</f>
        <v>28</v>
      </c>
      <c r="H198" s="145">
        <f>SUMIFS(Table2[NewPointsAway],Table2[GameDate], "&lt;=" &amp; $A198, Table2[AwayTeam], H$1)+SUMIFS(Table2[NewPointsHome],Table2[GameDate], "&lt;=" &amp; $A198, Table2[HomeTeam], H$1)</f>
        <v>30</v>
      </c>
      <c r="I198" s="145">
        <f>SUMIFS(Table2[NewPointsAway],Table2[GameDate], "&lt;=" &amp; $A198, Table2[AwayTeam], I$1)+SUMIFS(Table2[NewPointsHome],Table2[GameDate], "&lt;=" &amp; $A198, Table2[HomeTeam], I$1)</f>
        <v>48</v>
      </c>
      <c r="J198" s="145">
        <f>SUMIFS(Table2[NewPointsAway],Table2[GameDate], "&lt;=" &amp; $A198, Table2[AwayTeam], J$1)+SUMIFS(Table2[NewPointsHome],Table2[GameDate], "&lt;=" &amp; $A198, Table2[HomeTeam], J$1)</f>
        <v>45</v>
      </c>
      <c r="K198" s="145">
        <f>SUMIFS(Table2[NewPointsAway],Table2[GameDate], "&lt;=" &amp; $A198, Table2[AwayTeam], K$1)+SUMIFS(Table2[NewPointsHome],Table2[GameDate], "&lt;=" &amp; $A198, Table2[HomeTeam], K$1)</f>
        <v>35</v>
      </c>
      <c r="L198" s="145">
        <f>SUMIFS(Table2[NewPointsAway],Table2[GameDate], "&lt;=" &amp; $A198, Table2[AwayTeam], L$1)+SUMIFS(Table2[NewPointsHome],Table2[GameDate], "&lt;=" &amp; $A198, Table2[HomeTeam], L$1)</f>
        <v>31</v>
      </c>
      <c r="M198" s="145">
        <f>SUMIFS(Table2[NewPointsAway],Table2[GameDate], "&lt;=" &amp; $A198, Table2[AwayTeam], M$1)+SUMIFS(Table2[NewPointsHome],Table2[GameDate], "&lt;=" &amp; $A198, Table2[HomeTeam], M$1)</f>
        <v>30</v>
      </c>
      <c r="N198" s="145">
        <f>SUMIFS(Table2[NewPointsAway],Table2[GameDate], "&lt;=" &amp; $A198, Table2[AwayTeam], N$1)+SUMIFS(Table2[NewPointsHome],Table2[GameDate], "&lt;=" &amp; $A198, Table2[HomeTeam], N$1)</f>
        <v>35</v>
      </c>
      <c r="O198" s="145">
        <f>SUMIFS(Table2[NewPointsAway],Table2[GameDate], "&lt;=" &amp; $A198, Table2[AwayTeam], O$1)+SUMIFS(Table2[NewPointsHome],Table2[GameDate], "&lt;=" &amp; $A198, Table2[HomeTeam], O$1)</f>
        <v>37</v>
      </c>
      <c r="P198" s="145">
        <f>SUMIFS(Table2[NewPointsAway],Table2[GameDate], "&lt;=" &amp; $A198, Table2[AwayTeam], P$1)+SUMIFS(Table2[NewPointsHome],Table2[GameDate], "&lt;=" &amp; $A198, Table2[HomeTeam], P$1)</f>
        <v>33</v>
      </c>
      <c r="Q198" s="145">
        <f>SUMIFS(Table2[NewPointsAway],Table2[GameDate], "&lt;=" &amp; $A198, Table2[AwayTeam], Q$1)+SUMIFS(Table2[NewPointsHome],Table2[GameDate], "&lt;=" &amp; $A198, Table2[HomeTeam], Q$1)</f>
        <v>33</v>
      </c>
      <c r="R198" s="145">
        <f>SUMIFS(Table2[NewPointsAway],Table2[GameDate], "&lt;=" &amp; $A198, Table2[AwayTeam], R$1)+SUMIFS(Table2[NewPointsHome],Table2[GameDate], "&lt;=" &amp; $A198, Table2[HomeTeam], R$1)</f>
        <v>24</v>
      </c>
      <c r="S198" s="145">
        <f>SUMIFS(Table2[NewPointsAway],Table2[GameDate], "&lt;=" &amp; $A198, Table2[AwayTeam], S$1)+SUMIFS(Table2[NewPointsHome],Table2[GameDate], "&lt;=" &amp; $A198, Table2[HomeTeam], S$1)</f>
        <v>35</v>
      </c>
      <c r="T198" s="145">
        <f>SUMIFS(Table2[NewPointsAway],Table2[GameDate], "&lt;=" &amp; $A198, Table2[AwayTeam], T$1)+SUMIFS(Table2[NewPointsHome],Table2[GameDate], "&lt;=" &amp; $A198, Table2[HomeTeam], T$1)</f>
        <v>34</v>
      </c>
      <c r="U198" s="145">
        <f>SUMIFS(Table2[NewPointsAway],Table2[GameDate], "&lt;=" &amp; $A198, Table2[AwayTeam], U$1)+SUMIFS(Table2[NewPointsHome],Table2[GameDate], "&lt;=" &amp; $A198, Table2[HomeTeam], U$1)</f>
        <v>30</v>
      </c>
      <c r="V198" s="145">
        <f>SUMIFS(Table2[NewPointsAway],Table2[GameDate], "&lt;=" &amp; $A198, Table2[AwayTeam], V$1)+SUMIFS(Table2[NewPointsHome],Table2[GameDate], "&lt;=" &amp; $A198, Table2[HomeTeam], V$1)</f>
        <v>32</v>
      </c>
      <c r="W198" s="145">
        <f>SUMIFS(Table2[NewPointsAway],Table2[GameDate], "&lt;=" &amp; $A198, Table2[AwayTeam], W$1)+SUMIFS(Table2[NewPointsHome],Table2[GameDate], "&lt;=" &amp; $A198, Table2[HomeTeam], W$1)</f>
        <v>34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31</v>
      </c>
      <c r="Z198" s="145">
        <f>SUMIFS(Table2[NewPointsAway],Table2[GameDate], "&lt;=" &amp; $A198, Table2[AwayTeam], Z$1)+SUMIFS(Table2[NewPointsHome],Table2[GameDate], "&lt;=" &amp; $A198, Table2[HomeTeam], Z$1)</f>
        <v>30</v>
      </c>
      <c r="AA198" s="145">
        <f>SUMIFS(Table2[NewPointsAway],Table2[GameDate], "&lt;=" &amp; $A198, Table2[AwayTeam], AA$1)+SUMIFS(Table2[NewPointsHome],Table2[GameDate], "&lt;=" &amp; $A198, Table2[HomeTeam], AA$1)</f>
        <v>34</v>
      </c>
      <c r="AB198" s="145">
        <f>SUMIFS(Table2[NewPointsAway],Table2[GameDate], "&lt;=" &amp; $A198, Table2[AwayTeam], AB$1)+SUMIFS(Table2[NewPointsHome],Table2[GameDate], "&lt;=" &amp; $A198, Table2[HomeTeam], AB$1)</f>
        <v>32</v>
      </c>
      <c r="AC198" s="145">
        <f>SUMIFS(Table2[NewPointsAway],Table2[GameDate], "&lt;=" &amp; $A198, Table2[AwayTeam], AC$1)+SUMIFS(Table2[NewPointsHome],Table2[GameDate], "&lt;=" &amp; $A198, Table2[HomeTeam], AC$1)</f>
        <v>31</v>
      </c>
      <c r="AD198" s="145">
        <f>SUMIFS(Table2[NewPointsAway],Table2[GameDate], "&lt;=" &amp; $A198, Table2[AwayTeam], AD$1)+SUMIFS(Table2[NewPointsHome],Table2[GameDate], "&lt;=" &amp; $A198, Table2[HomeTeam], AD$1)</f>
        <v>25</v>
      </c>
      <c r="AE198" s="145">
        <f>SUMIFS(Table2[NewPointsAway],Table2[GameDate], "&lt;=" &amp; $A198, Table2[AwayTeam], AE$1)+SUMIFS(Table2[NewPointsHome],Table2[GameDate], "&lt;=" &amp; $A198, Table2[HomeTeam], AE$1)</f>
        <v>36</v>
      </c>
      <c r="AF198" s="145">
        <f>SUMIFS(Table2[NewPointsAway],Table2[GameDate], "&lt;=" &amp; $A198, Table2[AwayTeam], AF$1)+SUMIFS(Table2[NewPointsHome],Table2[GameDate], "&lt;=" &amp; $A198, Table2[HomeTeam], AF$1)</f>
        <v>29</v>
      </c>
      <c r="AG198" s="145">
        <f>SUMIFS(Table2[NewPointsAway],Table2[GameDate], "&lt;=" &amp; $A198, Table2[AwayTeam], AG$1)+SUMIFS(Table2[NewPointsHome],Table2[GameDate], "&lt;=" &amp; $A198, Table2[HomeTeam], AG$1)</f>
        <v>39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37</v>
      </c>
      <c r="C199" s="145">
        <f>SUMIFS(Table2[NewPointsAway],Table2[GameDate], "&lt;=" &amp; $A199, Table2[AwayTeam], C$1)+SUMIFS(Table2[NewPointsHome],Table2[GameDate], "&lt;=" &amp; $A199, Table2[HomeTeam], C$1)</f>
        <v>34</v>
      </c>
      <c r="D199" s="145">
        <f>SUMIFS(Table2[NewPointsAway],Table2[GameDate], "&lt;=" &amp; $A199, Table2[AwayTeam], D$1)+SUMIFS(Table2[NewPointsHome],Table2[GameDate], "&lt;=" &amp; $A199, Table2[HomeTeam], D$1)</f>
        <v>26</v>
      </c>
      <c r="E199" s="145">
        <f>SUMIFS(Table2[NewPointsAway],Table2[GameDate], "&lt;=" &amp; $A199, Table2[AwayTeam], E$1)+SUMIFS(Table2[NewPointsHome],Table2[GameDate], "&lt;=" &amp; $A199, Table2[HomeTeam], E$1)</f>
        <v>36</v>
      </c>
      <c r="F199" s="145">
        <f>SUMIFS(Table2[NewPointsAway],Table2[GameDate], "&lt;=" &amp; $A199, Table2[AwayTeam], F$1)+SUMIFS(Table2[NewPointsHome],Table2[GameDate], "&lt;=" &amp; $A199, Table2[HomeTeam], F$1)</f>
        <v>32</v>
      </c>
      <c r="G199" s="145">
        <f>SUMIFS(Table2[NewPointsAway],Table2[GameDate], "&lt;=" &amp; $A199, Table2[AwayTeam], G$1)+SUMIFS(Table2[NewPointsHome],Table2[GameDate], "&lt;=" &amp; $A199, Table2[HomeTeam], G$1)</f>
        <v>28</v>
      </c>
      <c r="H199" s="145">
        <f>SUMIFS(Table2[NewPointsAway],Table2[GameDate], "&lt;=" &amp; $A199, Table2[AwayTeam], H$1)+SUMIFS(Table2[NewPointsHome],Table2[GameDate], "&lt;=" &amp; $A199, Table2[HomeTeam], H$1)</f>
        <v>30</v>
      </c>
      <c r="I199" s="145">
        <f>SUMIFS(Table2[NewPointsAway],Table2[GameDate], "&lt;=" &amp; $A199, Table2[AwayTeam], I$1)+SUMIFS(Table2[NewPointsHome],Table2[GameDate], "&lt;=" &amp; $A199, Table2[HomeTeam], I$1)</f>
        <v>48</v>
      </c>
      <c r="J199" s="145">
        <f>SUMIFS(Table2[NewPointsAway],Table2[GameDate], "&lt;=" &amp; $A199, Table2[AwayTeam], J$1)+SUMIFS(Table2[NewPointsHome],Table2[GameDate], "&lt;=" &amp; $A199, Table2[HomeTeam], J$1)</f>
        <v>45</v>
      </c>
      <c r="K199" s="145">
        <f>SUMIFS(Table2[NewPointsAway],Table2[GameDate], "&lt;=" &amp; $A199, Table2[AwayTeam], K$1)+SUMIFS(Table2[NewPointsHome],Table2[GameDate], "&lt;=" &amp; $A199, Table2[HomeTeam], K$1)</f>
        <v>35</v>
      </c>
      <c r="L199" s="145">
        <f>SUMIFS(Table2[NewPointsAway],Table2[GameDate], "&lt;=" &amp; $A199, Table2[AwayTeam], L$1)+SUMIFS(Table2[NewPointsHome],Table2[GameDate], "&lt;=" &amp; $A199, Table2[HomeTeam], L$1)</f>
        <v>31</v>
      </c>
      <c r="M199" s="145">
        <f>SUMIFS(Table2[NewPointsAway],Table2[GameDate], "&lt;=" &amp; $A199, Table2[AwayTeam], M$1)+SUMIFS(Table2[NewPointsHome],Table2[GameDate], "&lt;=" &amp; $A199, Table2[HomeTeam], M$1)</f>
        <v>30</v>
      </c>
      <c r="N199" s="145">
        <f>SUMIFS(Table2[NewPointsAway],Table2[GameDate], "&lt;=" &amp; $A199, Table2[AwayTeam], N$1)+SUMIFS(Table2[NewPointsHome],Table2[GameDate], "&lt;=" &amp; $A199, Table2[HomeTeam], N$1)</f>
        <v>35</v>
      </c>
      <c r="O199" s="145">
        <f>SUMIFS(Table2[NewPointsAway],Table2[GameDate], "&lt;=" &amp; $A199, Table2[AwayTeam], O$1)+SUMIFS(Table2[NewPointsHome],Table2[GameDate], "&lt;=" &amp; $A199, Table2[HomeTeam], O$1)</f>
        <v>37</v>
      </c>
      <c r="P199" s="145">
        <f>SUMIFS(Table2[NewPointsAway],Table2[GameDate], "&lt;=" &amp; $A199, Table2[AwayTeam], P$1)+SUMIFS(Table2[NewPointsHome],Table2[GameDate], "&lt;=" &amp; $A199, Table2[HomeTeam], P$1)</f>
        <v>33</v>
      </c>
      <c r="Q199" s="145">
        <f>SUMIFS(Table2[NewPointsAway],Table2[GameDate], "&lt;=" &amp; $A199, Table2[AwayTeam], Q$1)+SUMIFS(Table2[NewPointsHome],Table2[GameDate], "&lt;=" &amp; $A199, Table2[HomeTeam], Q$1)</f>
        <v>33</v>
      </c>
      <c r="R199" s="145">
        <f>SUMIFS(Table2[NewPointsAway],Table2[GameDate], "&lt;=" &amp; $A199, Table2[AwayTeam], R$1)+SUMIFS(Table2[NewPointsHome],Table2[GameDate], "&lt;=" &amp; $A199, Table2[HomeTeam], R$1)</f>
        <v>24</v>
      </c>
      <c r="S199" s="145">
        <f>SUMIFS(Table2[NewPointsAway],Table2[GameDate], "&lt;=" &amp; $A199, Table2[AwayTeam], S$1)+SUMIFS(Table2[NewPointsHome],Table2[GameDate], "&lt;=" &amp; $A199, Table2[HomeTeam], S$1)</f>
        <v>35</v>
      </c>
      <c r="T199" s="145">
        <f>SUMIFS(Table2[NewPointsAway],Table2[GameDate], "&lt;=" &amp; $A199, Table2[AwayTeam], T$1)+SUMIFS(Table2[NewPointsHome],Table2[GameDate], "&lt;=" &amp; $A199, Table2[HomeTeam], T$1)</f>
        <v>34</v>
      </c>
      <c r="U199" s="145">
        <f>SUMIFS(Table2[NewPointsAway],Table2[GameDate], "&lt;=" &amp; $A199, Table2[AwayTeam], U$1)+SUMIFS(Table2[NewPointsHome],Table2[GameDate], "&lt;=" &amp; $A199, Table2[HomeTeam], U$1)</f>
        <v>30</v>
      </c>
      <c r="V199" s="145">
        <f>SUMIFS(Table2[NewPointsAway],Table2[GameDate], "&lt;=" &amp; $A199, Table2[AwayTeam], V$1)+SUMIFS(Table2[NewPointsHome],Table2[GameDate], "&lt;=" &amp; $A199, Table2[HomeTeam], V$1)</f>
        <v>32</v>
      </c>
      <c r="W199" s="145">
        <f>SUMIFS(Table2[NewPointsAway],Table2[GameDate], "&lt;=" &amp; $A199, Table2[AwayTeam], W$1)+SUMIFS(Table2[NewPointsHome],Table2[GameDate], "&lt;=" &amp; $A199, Table2[HomeTeam], W$1)</f>
        <v>34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31</v>
      </c>
      <c r="Z199" s="145">
        <f>SUMIFS(Table2[NewPointsAway],Table2[GameDate], "&lt;=" &amp; $A199, Table2[AwayTeam], Z$1)+SUMIFS(Table2[NewPointsHome],Table2[GameDate], "&lt;=" &amp; $A199, Table2[HomeTeam], Z$1)</f>
        <v>30</v>
      </c>
      <c r="AA199" s="145">
        <f>SUMIFS(Table2[NewPointsAway],Table2[GameDate], "&lt;=" &amp; $A199, Table2[AwayTeam], AA$1)+SUMIFS(Table2[NewPointsHome],Table2[GameDate], "&lt;=" &amp; $A199, Table2[HomeTeam], AA$1)</f>
        <v>34</v>
      </c>
      <c r="AB199" s="145">
        <f>SUMIFS(Table2[NewPointsAway],Table2[GameDate], "&lt;=" &amp; $A199, Table2[AwayTeam], AB$1)+SUMIFS(Table2[NewPointsHome],Table2[GameDate], "&lt;=" &amp; $A199, Table2[HomeTeam], AB$1)</f>
        <v>32</v>
      </c>
      <c r="AC199" s="145">
        <f>SUMIFS(Table2[NewPointsAway],Table2[GameDate], "&lt;=" &amp; $A199, Table2[AwayTeam], AC$1)+SUMIFS(Table2[NewPointsHome],Table2[GameDate], "&lt;=" &amp; $A199, Table2[HomeTeam], AC$1)</f>
        <v>31</v>
      </c>
      <c r="AD199" s="145">
        <f>SUMIFS(Table2[NewPointsAway],Table2[GameDate], "&lt;=" &amp; $A199, Table2[AwayTeam], AD$1)+SUMIFS(Table2[NewPointsHome],Table2[GameDate], "&lt;=" &amp; $A199, Table2[HomeTeam], AD$1)</f>
        <v>25</v>
      </c>
      <c r="AE199" s="145">
        <f>SUMIFS(Table2[NewPointsAway],Table2[GameDate], "&lt;=" &amp; $A199, Table2[AwayTeam], AE$1)+SUMIFS(Table2[NewPointsHome],Table2[GameDate], "&lt;=" &amp; $A199, Table2[HomeTeam], AE$1)</f>
        <v>36</v>
      </c>
      <c r="AF199" s="145">
        <f>SUMIFS(Table2[NewPointsAway],Table2[GameDate], "&lt;=" &amp; $A199, Table2[AwayTeam], AF$1)+SUMIFS(Table2[NewPointsHome],Table2[GameDate], "&lt;=" &amp; $A199, Table2[HomeTeam], AF$1)</f>
        <v>29</v>
      </c>
      <c r="AG199" s="145">
        <f>SUMIFS(Table2[NewPointsAway],Table2[GameDate], "&lt;=" &amp; $A199, Table2[AwayTeam], AG$1)+SUMIFS(Table2[NewPointsHome],Table2[GameDate], "&lt;=" &amp; $A199, Table2[HomeTeam], AG$1)</f>
        <v>39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37</v>
      </c>
      <c r="C200" s="145">
        <f>SUMIFS(Table2[NewPointsAway],Table2[GameDate], "&lt;=" &amp; $A200, Table2[AwayTeam], C$1)+SUMIFS(Table2[NewPointsHome],Table2[GameDate], "&lt;=" &amp; $A200, Table2[HomeTeam], C$1)</f>
        <v>34</v>
      </c>
      <c r="D200" s="145">
        <f>SUMIFS(Table2[NewPointsAway],Table2[GameDate], "&lt;=" &amp; $A200, Table2[AwayTeam], D$1)+SUMIFS(Table2[NewPointsHome],Table2[GameDate], "&lt;=" &amp; $A200, Table2[HomeTeam], D$1)</f>
        <v>26</v>
      </c>
      <c r="E200" s="145">
        <f>SUMIFS(Table2[NewPointsAway],Table2[GameDate], "&lt;=" &amp; $A200, Table2[AwayTeam], E$1)+SUMIFS(Table2[NewPointsHome],Table2[GameDate], "&lt;=" &amp; $A200, Table2[HomeTeam], E$1)</f>
        <v>36</v>
      </c>
      <c r="F200" s="145">
        <f>SUMIFS(Table2[NewPointsAway],Table2[GameDate], "&lt;=" &amp; $A200, Table2[AwayTeam], F$1)+SUMIFS(Table2[NewPointsHome],Table2[GameDate], "&lt;=" &amp; $A200, Table2[HomeTeam], F$1)</f>
        <v>32</v>
      </c>
      <c r="G200" s="145">
        <f>SUMIFS(Table2[NewPointsAway],Table2[GameDate], "&lt;=" &amp; $A200, Table2[AwayTeam], G$1)+SUMIFS(Table2[NewPointsHome],Table2[GameDate], "&lt;=" &amp; $A200, Table2[HomeTeam], G$1)</f>
        <v>28</v>
      </c>
      <c r="H200" s="145">
        <f>SUMIFS(Table2[NewPointsAway],Table2[GameDate], "&lt;=" &amp; $A200, Table2[AwayTeam], H$1)+SUMIFS(Table2[NewPointsHome],Table2[GameDate], "&lt;=" &amp; $A200, Table2[HomeTeam], H$1)</f>
        <v>30</v>
      </c>
      <c r="I200" s="145">
        <f>SUMIFS(Table2[NewPointsAway],Table2[GameDate], "&lt;=" &amp; $A200, Table2[AwayTeam], I$1)+SUMIFS(Table2[NewPointsHome],Table2[GameDate], "&lt;=" &amp; $A200, Table2[HomeTeam], I$1)</f>
        <v>48</v>
      </c>
      <c r="J200" s="145">
        <f>SUMIFS(Table2[NewPointsAway],Table2[GameDate], "&lt;=" &amp; $A200, Table2[AwayTeam], J$1)+SUMIFS(Table2[NewPointsHome],Table2[GameDate], "&lt;=" &amp; $A200, Table2[HomeTeam], J$1)</f>
        <v>45</v>
      </c>
      <c r="K200" s="145">
        <f>SUMIFS(Table2[NewPointsAway],Table2[GameDate], "&lt;=" &amp; $A200, Table2[AwayTeam], K$1)+SUMIFS(Table2[NewPointsHome],Table2[GameDate], "&lt;=" &amp; $A200, Table2[HomeTeam], K$1)</f>
        <v>35</v>
      </c>
      <c r="L200" s="145">
        <f>SUMIFS(Table2[NewPointsAway],Table2[GameDate], "&lt;=" &amp; $A200, Table2[AwayTeam], L$1)+SUMIFS(Table2[NewPointsHome],Table2[GameDate], "&lt;=" &amp; $A200, Table2[HomeTeam], L$1)</f>
        <v>31</v>
      </c>
      <c r="M200" s="145">
        <f>SUMIFS(Table2[NewPointsAway],Table2[GameDate], "&lt;=" &amp; $A200, Table2[AwayTeam], M$1)+SUMIFS(Table2[NewPointsHome],Table2[GameDate], "&lt;=" &amp; $A200, Table2[HomeTeam], M$1)</f>
        <v>30</v>
      </c>
      <c r="N200" s="145">
        <f>SUMIFS(Table2[NewPointsAway],Table2[GameDate], "&lt;=" &amp; $A200, Table2[AwayTeam], N$1)+SUMIFS(Table2[NewPointsHome],Table2[GameDate], "&lt;=" &amp; $A200, Table2[HomeTeam], N$1)</f>
        <v>35</v>
      </c>
      <c r="O200" s="145">
        <f>SUMIFS(Table2[NewPointsAway],Table2[GameDate], "&lt;=" &amp; $A200, Table2[AwayTeam], O$1)+SUMIFS(Table2[NewPointsHome],Table2[GameDate], "&lt;=" &amp; $A200, Table2[HomeTeam], O$1)</f>
        <v>37</v>
      </c>
      <c r="P200" s="145">
        <f>SUMIFS(Table2[NewPointsAway],Table2[GameDate], "&lt;=" &amp; $A200, Table2[AwayTeam], P$1)+SUMIFS(Table2[NewPointsHome],Table2[GameDate], "&lt;=" &amp; $A200, Table2[HomeTeam], P$1)</f>
        <v>33</v>
      </c>
      <c r="Q200" s="145">
        <f>SUMIFS(Table2[NewPointsAway],Table2[GameDate], "&lt;=" &amp; $A200, Table2[AwayTeam], Q$1)+SUMIFS(Table2[NewPointsHome],Table2[GameDate], "&lt;=" &amp; $A200, Table2[HomeTeam], Q$1)</f>
        <v>33</v>
      </c>
      <c r="R200" s="145">
        <f>SUMIFS(Table2[NewPointsAway],Table2[GameDate], "&lt;=" &amp; $A200, Table2[AwayTeam], R$1)+SUMIFS(Table2[NewPointsHome],Table2[GameDate], "&lt;=" &amp; $A200, Table2[HomeTeam], R$1)</f>
        <v>24</v>
      </c>
      <c r="S200" s="145">
        <f>SUMIFS(Table2[NewPointsAway],Table2[GameDate], "&lt;=" &amp; $A200, Table2[AwayTeam], S$1)+SUMIFS(Table2[NewPointsHome],Table2[GameDate], "&lt;=" &amp; $A200, Table2[HomeTeam], S$1)</f>
        <v>35</v>
      </c>
      <c r="T200" s="145">
        <f>SUMIFS(Table2[NewPointsAway],Table2[GameDate], "&lt;=" &amp; $A200, Table2[AwayTeam], T$1)+SUMIFS(Table2[NewPointsHome],Table2[GameDate], "&lt;=" &amp; $A200, Table2[HomeTeam], T$1)</f>
        <v>34</v>
      </c>
      <c r="U200" s="145">
        <f>SUMIFS(Table2[NewPointsAway],Table2[GameDate], "&lt;=" &amp; $A200, Table2[AwayTeam], U$1)+SUMIFS(Table2[NewPointsHome],Table2[GameDate], "&lt;=" &amp; $A200, Table2[HomeTeam], U$1)</f>
        <v>30</v>
      </c>
      <c r="V200" s="145">
        <f>SUMIFS(Table2[NewPointsAway],Table2[GameDate], "&lt;=" &amp; $A200, Table2[AwayTeam], V$1)+SUMIFS(Table2[NewPointsHome],Table2[GameDate], "&lt;=" &amp; $A200, Table2[HomeTeam], V$1)</f>
        <v>32</v>
      </c>
      <c r="W200" s="145">
        <f>SUMIFS(Table2[NewPointsAway],Table2[GameDate], "&lt;=" &amp; $A200, Table2[AwayTeam], W$1)+SUMIFS(Table2[NewPointsHome],Table2[GameDate], "&lt;=" &amp; $A200, Table2[HomeTeam], W$1)</f>
        <v>34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31</v>
      </c>
      <c r="Z200" s="145">
        <f>SUMIFS(Table2[NewPointsAway],Table2[GameDate], "&lt;=" &amp; $A200, Table2[AwayTeam], Z$1)+SUMIFS(Table2[NewPointsHome],Table2[GameDate], "&lt;=" &amp; $A200, Table2[HomeTeam], Z$1)</f>
        <v>30</v>
      </c>
      <c r="AA200" s="145">
        <f>SUMIFS(Table2[NewPointsAway],Table2[GameDate], "&lt;=" &amp; $A200, Table2[AwayTeam], AA$1)+SUMIFS(Table2[NewPointsHome],Table2[GameDate], "&lt;=" &amp; $A200, Table2[HomeTeam], AA$1)</f>
        <v>34</v>
      </c>
      <c r="AB200" s="145">
        <f>SUMIFS(Table2[NewPointsAway],Table2[GameDate], "&lt;=" &amp; $A200, Table2[AwayTeam], AB$1)+SUMIFS(Table2[NewPointsHome],Table2[GameDate], "&lt;=" &amp; $A200, Table2[HomeTeam], AB$1)</f>
        <v>32</v>
      </c>
      <c r="AC200" s="145">
        <f>SUMIFS(Table2[NewPointsAway],Table2[GameDate], "&lt;=" &amp; $A200, Table2[AwayTeam], AC$1)+SUMIFS(Table2[NewPointsHome],Table2[GameDate], "&lt;=" &amp; $A200, Table2[HomeTeam], AC$1)</f>
        <v>31</v>
      </c>
      <c r="AD200" s="145">
        <f>SUMIFS(Table2[NewPointsAway],Table2[GameDate], "&lt;=" &amp; $A200, Table2[AwayTeam], AD$1)+SUMIFS(Table2[NewPointsHome],Table2[GameDate], "&lt;=" &amp; $A200, Table2[HomeTeam], AD$1)</f>
        <v>25</v>
      </c>
      <c r="AE200" s="145">
        <f>SUMIFS(Table2[NewPointsAway],Table2[GameDate], "&lt;=" &amp; $A200, Table2[AwayTeam], AE$1)+SUMIFS(Table2[NewPointsHome],Table2[GameDate], "&lt;=" &amp; $A200, Table2[HomeTeam], AE$1)</f>
        <v>36</v>
      </c>
      <c r="AF200" s="145">
        <f>SUMIFS(Table2[NewPointsAway],Table2[GameDate], "&lt;=" &amp; $A200, Table2[AwayTeam], AF$1)+SUMIFS(Table2[NewPointsHome],Table2[GameDate], "&lt;=" &amp; $A200, Table2[HomeTeam], AF$1)</f>
        <v>29</v>
      </c>
      <c r="AG200" s="145">
        <f>SUMIFS(Table2[NewPointsAway],Table2[GameDate], "&lt;=" &amp; $A200, Table2[AwayTeam], AG$1)+SUMIFS(Table2[NewPointsHome],Table2[GameDate], "&lt;=" &amp; $A200, Table2[HomeTeam], AG$1)</f>
        <v>39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37</v>
      </c>
      <c r="C201" s="145">
        <f>SUMIFS(Table2[NewPointsAway],Table2[GameDate], "&lt;=" &amp; $A201, Table2[AwayTeam], C$1)+SUMIFS(Table2[NewPointsHome],Table2[GameDate], "&lt;=" &amp; $A201, Table2[HomeTeam], C$1)</f>
        <v>34</v>
      </c>
      <c r="D201" s="145">
        <f>SUMIFS(Table2[NewPointsAway],Table2[GameDate], "&lt;=" &amp; $A201, Table2[AwayTeam], D$1)+SUMIFS(Table2[NewPointsHome],Table2[GameDate], "&lt;=" &amp; $A201, Table2[HomeTeam], D$1)</f>
        <v>26</v>
      </c>
      <c r="E201" s="145">
        <f>SUMIFS(Table2[NewPointsAway],Table2[GameDate], "&lt;=" &amp; $A201, Table2[AwayTeam], E$1)+SUMIFS(Table2[NewPointsHome],Table2[GameDate], "&lt;=" &amp; $A201, Table2[HomeTeam], E$1)</f>
        <v>36</v>
      </c>
      <c r="F201" s="145">
        <f>SUMIFS(Table2[NewPointsAway],Table2[GameDate], "&lt;=" &amp; $A201, Table2[AwayTeam], F$1)+SUMIFS(Table2[NewPointsHome],Table2[GameDate], "&lt;=" &amp; $A201, Table2[HomeTeam], F$1)</f>
        <v>32</v>
      </c>
      <c r="G201" s="145">
        <f>SUMIFS(Table2[NewPointsAway],Table2[GameDate], "&lt;=" &amp; $A201, Table2[AwayTeam], G$1)+SUMIFS(Table2[NewPointsHome],Table2[GameDate], "&lt;=" &amp; $A201, Table2[HomeTeam], G$1)</f>
        <v>28</v>
      </c>
      <c r="H201" s="145">
        <f>SUMIFS(Table2[NewPointsAway],Table2[GameDate], "&lt;=" &amp; $A201, Table2[AwayTeam], H$1)+SUMIFS(Table2[NewPointsHome],Table2[GameDate], "&lt;=" &amp; $A201, Table2[HomeTeam], H$1)</f>
        <v>30</v>
      </c>
      <c r="I201" s="145">
        <f>SUMIFS(Table2[NewPointsAway],Table2[GameDate], "&lt;=" &amp; $A201, Table2[AwayTeam], I$1)+SUMIFS(Table2[NewPointsHome],Table2[GameDate], "&lt;=" &amp; $A201, Table2[HomeTeam], I$1)</f>
        <v>48</v>
      </c>
      <c r="J201" s="145">
        <f>SUMIFS(Table2[NewPointsAway],Table2[GameDate], "&lt;=" &amp; $A201, Table2[AwayTeam], J$1)+SUMIFS(Table2[NewPointsHome],Table2[GameDate], "&lt;=" &amp; $A201, Table2[HomeTeam], J$1)</f>
        <v>45</v>
      </c>
      <c r="K201" s="145">
        <f>SUMIFS(Table2[NewPointsAway],Table2[GameDate], "&lt;=" &amp; $A201, Table2[AwayTeam], K$1)+SUMIFS(Table2[NewPointsHome],Table2[GameDate], "&lt;=" &amp; $A201, Table2[HomeTeam], K$1)</f>
        <v>35</v>
      </c>
      <c r="L201" s="145">
        <f>SUMIFS(Table2[NewPointsAway],Table2[GameDate], "&lt;=" &amp; $A201, Table2[AwayTeam], L$1)+SUMIFS(Table2[NewPointsHome],Table2[GameDate], "&lt;=" &amp; $A201, Table2[HomeTeam], L$1)</f>
        <v>31</v>
      </c>
      <c r="M201" s="145">
        <f>SUMIFS(Table2[NewPointsAway],Table2[GameDate], "&lt;=" &amp; $A201, Table2[AwayTeam], M$1)+SUMIFS(Table2[NewPointsHome],Table2[GameDate], "&lt;=" &amp; $A201, Table2[HomeTeam], M$1)</f>
        <v>30</v>
      </c>
      <c r="N201" s="145">
        <f>SUMIFS(Table2[NewPointsAway],Table2[GameDate], "&lt;=" &amp; $A201, Table2[AwayTeam], N$1)+SUMIFS(Table2[NewPointsHome],Table2[GameDate], "&lt;=" &amp; $A201, Table2[HomeTeam], N$1)</f>
        <v>35</v>
      </c>
      <c r="O201" s="145">
        <f>SUMIFS(Table2[NewPointsAway],Table2[GameDate], "&lt;=" &amp; $A201, Table2[AwayTeam], O$1)+SUMIFS(Table2[NewPointsHome],Table2[GameDate], "&lt;=" &amp; $A201, Table2[HomeTeam], O$1)</f>
        <v>37</v>
      </c>
      <c r="P201" s="145">
        <f>SUMIFS(Table2[NewPointsAway],Table2[GameDate], "&lt;=" &amp; $A201, Table2[AwayTeam], P$1)+SUMIFS(Table2[NewPointsHome],Table2[GameDate], "&lt;=" &amp; $A201, Table2[HomeTeam], P$1)</f>
        <v>33</v>
      </c>
      <c r="Q201" s="145">
        <f>SUMIFS(Table2[NewPointsAway],Table2[GameDate], "&lt;=" &amp; $A201, Table2[AwayTeam], Q$1)+SUMIFS(Table2[NewPointsHome],Table2[GameDate], "&lt;=" &amp; $A201, Table2[HomeTeam], Q$1)</f>
        <v>33</v>
      </c>
      <c r="R201" s="145">
        <f>SUMIFS(Table2[NewPointsAway],Table2[GameDate], "&lt;=" &amp; $A201, Table2[AwayTeam], R$1)+SUMIFS(Table2[NewPointsHome],Table2[GameDate], "&lt;=" &amp; $A201, Table2[HomeTeam], R$1)</f>
        <v>24</v>
      </c>
      <c r="S201" s="145">
        <f>SUMIFS(Table2[NewPointsAway],Table2[GameDate], "&lt;=" &amp; $A201, Table2[AwayTeam], S$1)+SUMIFS(Table2[NewPointsHome],Table2[GameDate], "&lt;=" &amp; $A201, Table2[HomeTeam], S$1)</f>
        <v>35</v>
      </c>
      <c r="T201" s="145">
        <f>SUMIFS(Table2[NewPointsAway],Table2[GameDate], "&lt;=" &amp; $A201, Table2[AwayTeam], T$1)+SUMIFS(Table2[NewPointsHome],Table2[GameDate], "&lt;=" &amp; $A201, Table2[HomeTeam], T$1)</f>
        <v>34</v>
      </c>
      <c r="U201" s="145">
        <f>SUMIFS(Table2[NewPointsAway],Table2[GameDate], "&lt;=" &amp; $A201, Table2[AwayTeam], U$1)+SUMIFS(Table2[NewPointsHome],Table2[GameDate], "&lt;=" &amp; $A201, Table2[HomeTeam], U$1)</f>
        <v>30</v>
      </c>
      <c r="V201" s="145">
        <f>SUMIFS(Table2[NewPointsAway],Table2[GameDate], "&lt;=" &amp; $A201, Table2[AwayTeam], V$1)+SUMIFS(Table2[NewPointsHome],Table2[GameDate], "&lt;=" &amp; $A201, Table2[HomeTeam], V$1)</f>
        <v>32</v>
      </c>
      <c r="W201" s="145">
        <f>SUMIFS(Table2[NewPointsAway],Table2[GameDate], "&lt;=" &amp; $A201, Table2[AwayTeam], W$1)+SUMIFS(Table2[NewPointsHome],Table2[GameDate], "&lt;=" &amp; $A201, Table2[HomeTeam], W$1)</f>
        <v>34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31</v>
      </c>
      <c r="Z201" s="145">
        <f>SUMIFS(Table2[NewPointsAway],Table2[GameDate], "&lt;=" &amp; $A201, Table2[AwayTeam], Z$1)+SUMIFS(Table2[NewPointsHome],Table2[GameDate], "&lt;=" &amp; $A201, Table2[HomeTeam], Z$1)</f>
        <v>30</v>
      </c>
      <c r="AA201" s="145">
        <f>SUMIFS(Table2[NewPointsAway],Table2[GameDate], "&lt;=" &amp; $A201, Table2[AwayTeam], AA$1)+SUMIFS(Table2[NewPointsHome],Table2[GameDate], "&lt;=" &amp; $A201, Table2[HomeTeam], AA$1)</f>
        <v>34</v>
      </c>
      <c r="AB201" s="145">
        <f>SUMIFS(Table2[NewPointsAway],Table2[GameDate], "&lt;=" &amp; $A201, Table2[AwayTeam], AB$1)+SUMIFS(Table2[NewPointsHome],Table2[GameDate], "&lt;=" &amp; $A201, Table2[HomeTeam], AB$1)</f>
        <v>32</v>
      </c>
      <c r="AC201" s="145">
        <f>SUMIFS(Table2[NewPointsAway],Table2[GameDate], "&lt;=" &amp; $A201, Table2[AwayTeam], AC$1)+SUMIFS(Table2[NewPointsHome],Table2[GameDate], "&lt;=" &amp; $A201, Table2[HomeTeam], AC$1)</f>
        <v>31</v>
      </c>
      <c r="AD201" s="145">
        <f>SUMIFS(Table2[NewPointsAway],Table2[GameDate], "&lt;=" &amp; $A201, Table2[AwayTeam], AD$1)+SUMIFS(Table2[NewPointsHome],Table2[GameDate], "&lt;=" &amp; $A201, Table2[HomeTeam], AD$1)</f>
        <v>25</v>
      </c>
      <c r="AE201" s="145">
        <f>SUMIFS(Table2[NewPointsAway],Table2[GameDate], "&lt;=" &amp; $A201, Table2[AwayTeam], AE$1)+SUMIFS(Table2[NewPointsHome],Table2[GameDate], "&lt;=" &amp; $A201, Table2[HomeTeam], AE$1)</f>
        <v>36</v>
      </c>
      <c r="AF201" s="145">
        <f>SUMIFS(Table2[NewPointsAway],Table2[GameDate], "&lt;=" &amp; $A201, Table2[AwayTeam], AF$1)+SUMIFS(Table2[NewPointsHome],Table2[GameDate], "&lt;=" &amp; $A201, Table2[HomeTeam], AF$1)</f>
        <v>29</v>
      </c>
      <c r="AG201" s="145">
        <f>SUMIFS(Table2[NewPointsAway],Table2[GameDate], "&lt;=" &amp; $A201, Table2[AwayTeam], AG$1)+SUMIFS(Table2[NewPointsHome],Table2[GameDate], "&lt;=" &amp; $A201, Table2[HomeTeam], AG$1)</f>
        <v>39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AQ9" sqref="AQ9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30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2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2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4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4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6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8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8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10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10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10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10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10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10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12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12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12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14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14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16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16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16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18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18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18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18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18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18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20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20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21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23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23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25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25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25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25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27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27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27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27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27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27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27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28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28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28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30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30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31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31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33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33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35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35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35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35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35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35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35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35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35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35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35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35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35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35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35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35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35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35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35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35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35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35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35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35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35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35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35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35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35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35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35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35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35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35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35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35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35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35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35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35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35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35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35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35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35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35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35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35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35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35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35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35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35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35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35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35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35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35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35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35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35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35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35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35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35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35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35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35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35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35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35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35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35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35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35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35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35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35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35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35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35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35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35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35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35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35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35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35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35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35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35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35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35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35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35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35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35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35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35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35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35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35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35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35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35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35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35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35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35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35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35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35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35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35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35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35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35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35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35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35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35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35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35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35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35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35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35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35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35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35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35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35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35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35</v>
      </c>
    </row>
    <row r="3" spans="1:275" x14ac:dyDescent="0.25">
      <c r="A3" t="s">
        <v>40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0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0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2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3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3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3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4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4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4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4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4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4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4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4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6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12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14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14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16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16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18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18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18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18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20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20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20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22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22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24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24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26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28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28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30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30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32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34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34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34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34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34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34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34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34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34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34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34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34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34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34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34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34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34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34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34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34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34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34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34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34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34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34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34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34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34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34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34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34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34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34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34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34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34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34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34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34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34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34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34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34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34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34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34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34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34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34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34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34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34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34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34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34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34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34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34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34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34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34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34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34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34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34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34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34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34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34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34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34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34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34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34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34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34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34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34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34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34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34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34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34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34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34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34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34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34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34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34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34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34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34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34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34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34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34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34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34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34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34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34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34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34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34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34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34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34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34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34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34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34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34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34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34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34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34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34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34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34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34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34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34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34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34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34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34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34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34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34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34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34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34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34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34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34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34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34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34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34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34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34</v>
      </c>
    </row>
    <row r="4" spans="1:275" x14ac:dyDescent="0.25">
      <c r="A4" t="s">
        <v>15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2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4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4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6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6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6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6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6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6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6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6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6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6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6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8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8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8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10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10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12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12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14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14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14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16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16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18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18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20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20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20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22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22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24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24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24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24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24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24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26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26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26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26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26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28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28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28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30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30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30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30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30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32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32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34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34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34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34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34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34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34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34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34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34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34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34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34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34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34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34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34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34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34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34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34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34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34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34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34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34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34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34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34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34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34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34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34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34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34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34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34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34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34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34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34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34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34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34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34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34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34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34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34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34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34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34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34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34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34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34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34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34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34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34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34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34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34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34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34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34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34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34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34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34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34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34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34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34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34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34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34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34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34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34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34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34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34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34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34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34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34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34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34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34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34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34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34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34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34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34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34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34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34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34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34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34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34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34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34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34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34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34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34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34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34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34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34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34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34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34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34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34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34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34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34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34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34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34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34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34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34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34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34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34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34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34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34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34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34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34</v>
      </c>
    </row>
    <row r="5" spans="1:275" x14ac:dyDescent="0.25">
      <c r="A5" t="s">
        <v>18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4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4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4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6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6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8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8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8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8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10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10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12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12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12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14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14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14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16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16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16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16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18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18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18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19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19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20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20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22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22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22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22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22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22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22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22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22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23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23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23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23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23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25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25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25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25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27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27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29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29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29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29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29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31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31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31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33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33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33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33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33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33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33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33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33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33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33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33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33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33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33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33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33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33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33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33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33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33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33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33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33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33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33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33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33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33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33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33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33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33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33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33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33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33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33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33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33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33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33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33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33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33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33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33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33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33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33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33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33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33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33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33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33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33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33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33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33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33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33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33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33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33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33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33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33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33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33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33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33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33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33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33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33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33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33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33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33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33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33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33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33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33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33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33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33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33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33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33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33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33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33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33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33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33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33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33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33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33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33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33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33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33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33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33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33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33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33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33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33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33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33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33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33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33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33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33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33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33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33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33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33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33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33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33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33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33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33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33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33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33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33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33</v>
      </c>
    </row>
    <row r="6" spans="1:275" x14ac:dyDescent="0.25">
      <c r="A6" t="s">
        <v>17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2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2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4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4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6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6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7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7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7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7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7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7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7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9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9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9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11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11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11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11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13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13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15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15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17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17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17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17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17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17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17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17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18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18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18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18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18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20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20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21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21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21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21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21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21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23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23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23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25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25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25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27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27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29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29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30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30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32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32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32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32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32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32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32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32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32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32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32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32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32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32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32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32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32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32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32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32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32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32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32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32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32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32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32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32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32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32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32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32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32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32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32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32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32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32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32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32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32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32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32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32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32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32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32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32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32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32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32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32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32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32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32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32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32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32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32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32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32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32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32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32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32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32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32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32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32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32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32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32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32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32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32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32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32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32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32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32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32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32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32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32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32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32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32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32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32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32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32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32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32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32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32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32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32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32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32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32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32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32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32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32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32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32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32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32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32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32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32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32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32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32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32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32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32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32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32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32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32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32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32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32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32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32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32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32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32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32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32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32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32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32</v>
      </c>
    </row>
    <row r="7" spans="1:275" x14ac:dyDescent="0.25">
      <c r="A7" t="s">
        <v>29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0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2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2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2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2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2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2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4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4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4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4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4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5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5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7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7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9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9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11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13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13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14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14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14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14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14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15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15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17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19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19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20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20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22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22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22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22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22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22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22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24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24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26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26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26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26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28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28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28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28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28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28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30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30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30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30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30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30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30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30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30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30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30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30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30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30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30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30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30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30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30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30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30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30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30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30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30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30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30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30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30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30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30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30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30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30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30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30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30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30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30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30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30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30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30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30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30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30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30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30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30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30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30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30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30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30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30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30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30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30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30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30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30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30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30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30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30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30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30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30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30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30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30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30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30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30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30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30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30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30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30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30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30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30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30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30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30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30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30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30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30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30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30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30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30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30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30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30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30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30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30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30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30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30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30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30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30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30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30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30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30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30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30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30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30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30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30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30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30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30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30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30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30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30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30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30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30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30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30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30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30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30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30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30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30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30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30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30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30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30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30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30</v>
      </c>
    </row>
    <row r="8" spans="1:275" x14ac:dyDescent="0.25">
      <c r="A8" t="s">
        <v>13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2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4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4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6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6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6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6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6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6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6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6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8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8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8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10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10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10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13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13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15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15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15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15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17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17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17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19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19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19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19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21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21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21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23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23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23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23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25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25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25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25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25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25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25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25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25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25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26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26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28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30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30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30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30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30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30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30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30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30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30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30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30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30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30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30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30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30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30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30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30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30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30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30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30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30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30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30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30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30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30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30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30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30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30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30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30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30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30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30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30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30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30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30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30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30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30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30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30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30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30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30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30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30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30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30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30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30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30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30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30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30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30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30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30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30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30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30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30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30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30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30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30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30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30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30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30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30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30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30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30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30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30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30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30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30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30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30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30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30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30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30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30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30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30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30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30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30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30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30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30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30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30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30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30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30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30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30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30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30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30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30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30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30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30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30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30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30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30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30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30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30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30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30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30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30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30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30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30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30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30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30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30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30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30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30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14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14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14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14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14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14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14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14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14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14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14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16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16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18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18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18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20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20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22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22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22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22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22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22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24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24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26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26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26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26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26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26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26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26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26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26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26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26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26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26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26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26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26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26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26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26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26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26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26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26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26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26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26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26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26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26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26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26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26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26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26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26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26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26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26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26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26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26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26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26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26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26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26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26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26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26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26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26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26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26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26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26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26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26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26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26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26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26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26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26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26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26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26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26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26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26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26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26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26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26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26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26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26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26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26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26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26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26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26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26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26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26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26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26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26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26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26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26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26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26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26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26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26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26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26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26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26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26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26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26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26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26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26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26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26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26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26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26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26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26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26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26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26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26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26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26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26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26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26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26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26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26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26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26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26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26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26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26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26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26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26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26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26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26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26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26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26</v>
      </c>
    </row>
    <row r="10" spans="1:275" x14ac:dyDescent="0.25">
      <c r="A10" t="s">
        <v>43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0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0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2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10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12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12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13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13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13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13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15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15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15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15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15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15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17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17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17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17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18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18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20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20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22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24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24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24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24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26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26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28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28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30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30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32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32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34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36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36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37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37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39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39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39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39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39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39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39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39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39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39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39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39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39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39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39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39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39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39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39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39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39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39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39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39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39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39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39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39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39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39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39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39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39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39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39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39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39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39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39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39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39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39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39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39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39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39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39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39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39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39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39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39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39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39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39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39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39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39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39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39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39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39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39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39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39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39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39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39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39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39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39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39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39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39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39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39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39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39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39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39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39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39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39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39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39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39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39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39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39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39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39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39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39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39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39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39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39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39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39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39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39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39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39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39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39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39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39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39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39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39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39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39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39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39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39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39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39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39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39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39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39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39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39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39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39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39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39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39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39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39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39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39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39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39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39</v>
      </c>
    </row>
    <row r="11" spans="1:275" x14ac:dyDescent="0.25">
      <c r="A11" t="s">
        <v>41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2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2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4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4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6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6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8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8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10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10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10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10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12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12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12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12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12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12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14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14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14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14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14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16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16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20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22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22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22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22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24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25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25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28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28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30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30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30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30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30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30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30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32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32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34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34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34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34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34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34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36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36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36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36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36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36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36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36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36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36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36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36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36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36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36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36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36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36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36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36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36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36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36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36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36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36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36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36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36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36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36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36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36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36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36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36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36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36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36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36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36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36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36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36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36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36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36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36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36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36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36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36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36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36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36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36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36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36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36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36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36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36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36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36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36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36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36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36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36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36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36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36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36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36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36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36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36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36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36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36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36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36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36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36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36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36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36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36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36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36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36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36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36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36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36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36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36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36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36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36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36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36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36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36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36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36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36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36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36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36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36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36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36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36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36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36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36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36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36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36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36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36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36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36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36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36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36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36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36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36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36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36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36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36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36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36</v>
      </c>
    </row>
    <row r="12" spans="1:275" x14ac:dyDescent="0.25">
      <c r="A12" t="s">
        <v>32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0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0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0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0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0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2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2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4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4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4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6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6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8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8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9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9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9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9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9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9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11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11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13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13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14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18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18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18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20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22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22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22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26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26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26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28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28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28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28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28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29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29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29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29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31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31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33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33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35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35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35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35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35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35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35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35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35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35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35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35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35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35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35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35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35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35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35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35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35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35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35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35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35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35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35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35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35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35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35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35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35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35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35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35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35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35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35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35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35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35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35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35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35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35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35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35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35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35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35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35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35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35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35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35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35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35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35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35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35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35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35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35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35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35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35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35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35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35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35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35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35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35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35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35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35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35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35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35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35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35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35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35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35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35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35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35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35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35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35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35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35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35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35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35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35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35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35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35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35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35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35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35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35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35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35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35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35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35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35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35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35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35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35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35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35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35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35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35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35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35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35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35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35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35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35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35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35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35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35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35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35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35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35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35</v>
      </c>
    </row>
    <row r="13" spans="1:275" x14ac:dyDescent="0.25">
      <c r="A13" t="s">
        <v>20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2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2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4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4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4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4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4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4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4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6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8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8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8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10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10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12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12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13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13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15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16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16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18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18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18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18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18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18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18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20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20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21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21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21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21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21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21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22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22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24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24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24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24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25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25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27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27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29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29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29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31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31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31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33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33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33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34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34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34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34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34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34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34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34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34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34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34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34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34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34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34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34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34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34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34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34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34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34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34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34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34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34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34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34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34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34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34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34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34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34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34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34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34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34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34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34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34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34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34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34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34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34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34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34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34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34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34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34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34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34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34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34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34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34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34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34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34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34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34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34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34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34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34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34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34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34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34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34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34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34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34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34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34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34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34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34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34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34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34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34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34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34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34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34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34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34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34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34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34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34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34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34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34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34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34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34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34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34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34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34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34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34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34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34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34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34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34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34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34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34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34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34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34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34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34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34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34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34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34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34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34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34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34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34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34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34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34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34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34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34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34</v>
      </c>
    </row>
    <row r="14" spans="1:275" x14ac:dyDescent="0.25">
      <c r="A14" t="s">
        <v>19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2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2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4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4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4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5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5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7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7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8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8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8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10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10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12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12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14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14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14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16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16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16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18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18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20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20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20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22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22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22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22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22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22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22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22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22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24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24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26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26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28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28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28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28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30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30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32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32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33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34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34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34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34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34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34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34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34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34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34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34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34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34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34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34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34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34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34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34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34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34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34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34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34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34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34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34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34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34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34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34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34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34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34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34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34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34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34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34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34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34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34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34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34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34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34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34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34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34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34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34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34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34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34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34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34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34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34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34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34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34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34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34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34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34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34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34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34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34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34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34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34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34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34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34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34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34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34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34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34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34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34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34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34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34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34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34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34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34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34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34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34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34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34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34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34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34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34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34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34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34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34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34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34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34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34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34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34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34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34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34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34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34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34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34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34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34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34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34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34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34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34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34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34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34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34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34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34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34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34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34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34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34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34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34</v>
      </c>
    </row>
    <row r="15" spans="1:275" x14ac:dyDescent="0.25">
      <c r="A15" t="s">
        <v>31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0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0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2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2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4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4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4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6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6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8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8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8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10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12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12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14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14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16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16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16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16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16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16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18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18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18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18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18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20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20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22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22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23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23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25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25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25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27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27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27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27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27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27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27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27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27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29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29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31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31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33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33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33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33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33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33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33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33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33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33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33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33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33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33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33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33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33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33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33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33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33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33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33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33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33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33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33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33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33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33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33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33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33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33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33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33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33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33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33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33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33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33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33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33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33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33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33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33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33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33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33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33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33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33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33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33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33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33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33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33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33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33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33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33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33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33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33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33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33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33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33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33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33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33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33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33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33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33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33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33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33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33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33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33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33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33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33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33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33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33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33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33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33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33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33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33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33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33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33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33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33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33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33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33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33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33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33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33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33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33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33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33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33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33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33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33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33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33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33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33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33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33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33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33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33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33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33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33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33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33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33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33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33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33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33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33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33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33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33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33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33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33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33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33</v>
      </c>
    </row>
    <row r="16" spans="1:275" x14ac:dyDescent="0.25">
      <c r="A16" t="s">
        <v>42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1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1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3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3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3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3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3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5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5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7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7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9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9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9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11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11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13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13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15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15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17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17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18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18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19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20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20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20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24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24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28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30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30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30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30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32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32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32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32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32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32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32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32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32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32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32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32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32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32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32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32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32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32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32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32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32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32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32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32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32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32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32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32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32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32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32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32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32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32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32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32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32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32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32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32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32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32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32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32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32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32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32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32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32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32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32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32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32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32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32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32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32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32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32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32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32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32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32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32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32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32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32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32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32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32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32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32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32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32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32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32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32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32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32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32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32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32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32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32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32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32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32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32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32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32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32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32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32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32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32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32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32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32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32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32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32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32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32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32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32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32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32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32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32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32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32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32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32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32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32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32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32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32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32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32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32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32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32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32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32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32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32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32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32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32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32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32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32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32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32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32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32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32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32</v>
      </c>
    </row>
    <row r="17" spans="1:203" x14ac:dyDescent="0.25">
      <c r="A17" t="s">
        <v>35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2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2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2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6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17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17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19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19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20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20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24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24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25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25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25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25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26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26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27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27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27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29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29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29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31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31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32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32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32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32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32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32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32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32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32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32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32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32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32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32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32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32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32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32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32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32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32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32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32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32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32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32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32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32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32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32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32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32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32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32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32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32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32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32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32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32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32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32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32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32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32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32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32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32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32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32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32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32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32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32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32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32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32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32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32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32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32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32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32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32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32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32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32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32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32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32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32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32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32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32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32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32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32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32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32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32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32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32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32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32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32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32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32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32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32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32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32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32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32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32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32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32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32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32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32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32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32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32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32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32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32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32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32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32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32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32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32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32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32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32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32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32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32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32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32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32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32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32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32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32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32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32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32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32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32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32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32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32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32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32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32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32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44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44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44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44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46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48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48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48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48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48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48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48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48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48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48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48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48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48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48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48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48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48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48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48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48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48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48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48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48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48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48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48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48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48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48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48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48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48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48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48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48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48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48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48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48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48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48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48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48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48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48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48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48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48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48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48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48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48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48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48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48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48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48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48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48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48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48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48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48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48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48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48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48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48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48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48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48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48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48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48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48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48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48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48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48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48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48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48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48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48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48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48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48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48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48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48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48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48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48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48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48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48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48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48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48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48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48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48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48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48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48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48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48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48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48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48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48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48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48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48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48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48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48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48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48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48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48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48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48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48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48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48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48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48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48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48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48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48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48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48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39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41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41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43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43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45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45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45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45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45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45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45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45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45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45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45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45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45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45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45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45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45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45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45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45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45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45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45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45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45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45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45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45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45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45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45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45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45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45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45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45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45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45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45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45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45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45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45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45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45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45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45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45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45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45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45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45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45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45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45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45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45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45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45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45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45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45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45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45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45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45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45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45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45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45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45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45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45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45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45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45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45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45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45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45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45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45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45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45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45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45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45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45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45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45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45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45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45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45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45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45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45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45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45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45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45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45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45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45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45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45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45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45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45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45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45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45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45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45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45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45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45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45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45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45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45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45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45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45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45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45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45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45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45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45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45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45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45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45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45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35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35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35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35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35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35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37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37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37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37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37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37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37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37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37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37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37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37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37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37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37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37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37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37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37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37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37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37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37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37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37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37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37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37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37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37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37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37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37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37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37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37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37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37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37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37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37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37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37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37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37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37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37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37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37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37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37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37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37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37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37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37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37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37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37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37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37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37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37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37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37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37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37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37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37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37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37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37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37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37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37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37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37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37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37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37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37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37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37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37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37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37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37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37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37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37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37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37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37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37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37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37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37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37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37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37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37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37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37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37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37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37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37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37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37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37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37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37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37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37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37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37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37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37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37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37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37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37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37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37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37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37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37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37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37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37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37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37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37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37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29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29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31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31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31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31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31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31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31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31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31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31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31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31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31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31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31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31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31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31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31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31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31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31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31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31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31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31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31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31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31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31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31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31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31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31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31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31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31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31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31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31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31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31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31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31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31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31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31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31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31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31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31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31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31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31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31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31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31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31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31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31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31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31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31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31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31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31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31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31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31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31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31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31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31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31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31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31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31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31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31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31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31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31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31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31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31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31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31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31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31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31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31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31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31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31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31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31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31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31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31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31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31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31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31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31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31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31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31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31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31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31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31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31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31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31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31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31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31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31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31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31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31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31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31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31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31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31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31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31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31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31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31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31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31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31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31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31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31</v>
      </c>
    </row>
    <row r="22" spans="1:203" x14ac:dyDescent="0.25">
      <c r="A22" t="s">
        <v>16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1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1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1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1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3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3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5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8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8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10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12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12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12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12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13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15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15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17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17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19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19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19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25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25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25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25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27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27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28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28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30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30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30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30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30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30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30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30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30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30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30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30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30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30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30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30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30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30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30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30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30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30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30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30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30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30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30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30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30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30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30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30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30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30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30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30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30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30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30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30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30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30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30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30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30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30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30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30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30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30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30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30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30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30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30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30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30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30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30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30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30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30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30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30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30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30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30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30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30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30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30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30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30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30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30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30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30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30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30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30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30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30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30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30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30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30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30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30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30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30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30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30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30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30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30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30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30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30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30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30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30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30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30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30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30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30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30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30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30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30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30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30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30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30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30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30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30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30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30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30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30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30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30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30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30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30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30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30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30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30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30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30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30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30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30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30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30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30</v>
      </c>
    </row>
    <row r="23" spans="1:203" x14ac:dyDescent="0.25">
      <c r="A23" t="s">
        <v>12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4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4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6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6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7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7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7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7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7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7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7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7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7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8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8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8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8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10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10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10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12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12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13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13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13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15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15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15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17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17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17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17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18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18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19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19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21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21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21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21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22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22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26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26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26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26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26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26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26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28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30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30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30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30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30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30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30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30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30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30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30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30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30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30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30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30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30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30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30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30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30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30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30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30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30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30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30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30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30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30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30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30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30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30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30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30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30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30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30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30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30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30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30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30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30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30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30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30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30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30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30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30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30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30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30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30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30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30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30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30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30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30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30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30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30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30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30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30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30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30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30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30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30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30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30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30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30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30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30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30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30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30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30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30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30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30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30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30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30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30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30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30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30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30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30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30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30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30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30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30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30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30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30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30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30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30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30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30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30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30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30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30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30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30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30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30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30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30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30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30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30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30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30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30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30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30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30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30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30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30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30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30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30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30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30</v>
      </c>
    </row>
    <row r="24" spans="1:203" x14ac:dyDescent="0.25">
      <c r="A24" t="s">
        <v>21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6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6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8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8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10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10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10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10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12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12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12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12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14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14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16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16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18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18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18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18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18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18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18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18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20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20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20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20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22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22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22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24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24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24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24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24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24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24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24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24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24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24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26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26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26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26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27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27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29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29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29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29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29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29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29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29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29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29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29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29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29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29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29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29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29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29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29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29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29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29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29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29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29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29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29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29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29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29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29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29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29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29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29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29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29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29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29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29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29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29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29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29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29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29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29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29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29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29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29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29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29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29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29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29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29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29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29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29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29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29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29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29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29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29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29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29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29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29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29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29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29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29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29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29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29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29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29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29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29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29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29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29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29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29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29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29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29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29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29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29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29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29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29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29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29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29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29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29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29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29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29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29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29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29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29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29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29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29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29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29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29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29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29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29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29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29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29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29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29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29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29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29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29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29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29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29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29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29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29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29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29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29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29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29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29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18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18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20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20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20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20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22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22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24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24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24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24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24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24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24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24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24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24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24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24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24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24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24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24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24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24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24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24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24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24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24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24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24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24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24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24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24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24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24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24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24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24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24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24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24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24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24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24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24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24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24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24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24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24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24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24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24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24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24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24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24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24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24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24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24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24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24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24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24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24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24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24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24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24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24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24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24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24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24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24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24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24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24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24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24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24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24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24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24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24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24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24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24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24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24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24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24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24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24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24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24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24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24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24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24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24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24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24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24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24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24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24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24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24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24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24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24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24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24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24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24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24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24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24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24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24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24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24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24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24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24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24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24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24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24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24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24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24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24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24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24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24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24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24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24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24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31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31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31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33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33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33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33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35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35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37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37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37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37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37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37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37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37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37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37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37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37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37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37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37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37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37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37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37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37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37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37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37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37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37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37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37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37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37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37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37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37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37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37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37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37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37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37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37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37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37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37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37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37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37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37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37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37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37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37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37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37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37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37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37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37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37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37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37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37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37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37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37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37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37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37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37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37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37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37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37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37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37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37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37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37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37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37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37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37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37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37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37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37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37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37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37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37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37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37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37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37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37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37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37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37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37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37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37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37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37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37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37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37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37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37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37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37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37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37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37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37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37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37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37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37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37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37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37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37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37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37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37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37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37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37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37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37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37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37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37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37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37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37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37</v>
      </c>
    </row>
    <row r="27" spans="1:203" x14ac:dyDescent="0.25">
      <c r="A27" t="s">
        <v>26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1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3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3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4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4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4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6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6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8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8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10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10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12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12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12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12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12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12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13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13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15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15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15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15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15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15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15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17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17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17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17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18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18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18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19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19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21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22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22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26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26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27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27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27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27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28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30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30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30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32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32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32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34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34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36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36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36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36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36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36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36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36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36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36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36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36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36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36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36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36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36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36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36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36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36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36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36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36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36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36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36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36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36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36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36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36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36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36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36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36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36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36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36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36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36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36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36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36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36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36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36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36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36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36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36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36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36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36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36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36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36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36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36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36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36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36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36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36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36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36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36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36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36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36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36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36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36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36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36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36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36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36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36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36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36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36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36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36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36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36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36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36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36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36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36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36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36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36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36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36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36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36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36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36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36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36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36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36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36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36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36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36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36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36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36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36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36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36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36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36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36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36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36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36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36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36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36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36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36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36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36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36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36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36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36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36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36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36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36</v>
      </c>
    </row>
    <row r="28" spans="1:203" x14ac:dyDescent="0.25">
      <c r="A28" t="s">
        <v>27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2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3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3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3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3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3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4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4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4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6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6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8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8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9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11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11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14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14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14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16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20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20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22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22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24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24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24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25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26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26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28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28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29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31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31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31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31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31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31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31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33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33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35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35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35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35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35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35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35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35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35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35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35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35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35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35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35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35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35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35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35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35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35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35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35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35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35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35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35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35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35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35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35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35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35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35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35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35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35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35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35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35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35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35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35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35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35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35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35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35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35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35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35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35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35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35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35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35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35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35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35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35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35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35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35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35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35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35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35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35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35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35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35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35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35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35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35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35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35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35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35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35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35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35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35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35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35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35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35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35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35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35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35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35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35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35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35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35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35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35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35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35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35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35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35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35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35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35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35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35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35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35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35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35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35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35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35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35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35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35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35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35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35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35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35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35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35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35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35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35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35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35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35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35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35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35</v>
      </c>
    </row>
    <row r="29" spans="1:203" x14ac:dyDescent="0.25">
      <c r="A29" t="s">
        <v>22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1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1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1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3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3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3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5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5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5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5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5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5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5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7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7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9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9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9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10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10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12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12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13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15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16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16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16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16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16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16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18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20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20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22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22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22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23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23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25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25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25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25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25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25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25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27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27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27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27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27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29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31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31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31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31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31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31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31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31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31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31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31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31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31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31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31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31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31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31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31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31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31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31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31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31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31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31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31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31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31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31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31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31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31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31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31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31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31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31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31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31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31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31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31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31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31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31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31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31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31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31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31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31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31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31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31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31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31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31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31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31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31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31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31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31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31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31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31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31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31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31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31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31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31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31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31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31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31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31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31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31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31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31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31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31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31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31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31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31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31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31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31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31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31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31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31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31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31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31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31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31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31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31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31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31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31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31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31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31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31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31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31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31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31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31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31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31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31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31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31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31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31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31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31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31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31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31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31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31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31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31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31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31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31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31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31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31</v>
      </c>
    </row>
    <row r="30" spans="1:203" x14ac:dyDescent="0.25">
      <c r="A30" t="s">
        <v>37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1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1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2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2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2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2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2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2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2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2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2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2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2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2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4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4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4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6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6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6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6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8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8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10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11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11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11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13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13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15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17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17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17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19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19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19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19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19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21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21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23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23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23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25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25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25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25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25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27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27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27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29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29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29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29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29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29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31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31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31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31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31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31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31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31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31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31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31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31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31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31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31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31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31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31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31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31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31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31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31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31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31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31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31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31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31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31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31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31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31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31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31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31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31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31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31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31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31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31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31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31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31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31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31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31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31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31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31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31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31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31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31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31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31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31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31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31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31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31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31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31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31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31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31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31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31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31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31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31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31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31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31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31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31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31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31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31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31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31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31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31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31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31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31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31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31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31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31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31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31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31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31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31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31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31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31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31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31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31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31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31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31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31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31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31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31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31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31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31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31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31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31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31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31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31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31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31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31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31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31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31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31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31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31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31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31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31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31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31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31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31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31</v>
      </c>
    </row>
    <row r="31" spans="1:203" x14ac:dyDescent="0.25">
      <c r="A31" t="s">
        <v>11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4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4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4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5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5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6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6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8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8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8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8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8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10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10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12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12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12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13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13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13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13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14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14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16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16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16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16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16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18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18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18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19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19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21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21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23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23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23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23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23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25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25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27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28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28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28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28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28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28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28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28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28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28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28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28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28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28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28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28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28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28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28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28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28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28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28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28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28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28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28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28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28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28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28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28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28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28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28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28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28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28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28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28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28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28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28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28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28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28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28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28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28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28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28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28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28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28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28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28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28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28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28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28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28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28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28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28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28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28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28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28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28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28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28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28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28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28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28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28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28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28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28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28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28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28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28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28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28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28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28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28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28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28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28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28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28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28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28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28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28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28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28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28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28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28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28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28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28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28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28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28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28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28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28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28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28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28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28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28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28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28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28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28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28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28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28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28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28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28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28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28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28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28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28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28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28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28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28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28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28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28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28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28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28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28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28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28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28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28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28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28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28</v>
      </c>
    </row>
    <row r="32" spans="1:203" x14ac:dyDescent="0.25">
      <c r="A32" t="s">
        <v>23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2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2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2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2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2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2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2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3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3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3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3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5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5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5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5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6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6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6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8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8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8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10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10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10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10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10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10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10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10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12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12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13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13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13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13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15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15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15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17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19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19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19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19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19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21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21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22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22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22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22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24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24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26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26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28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28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28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28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28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28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28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28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28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28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28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28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28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28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28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28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28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28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28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28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28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28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28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28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28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28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28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28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28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28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28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28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28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28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28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28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28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28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28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28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28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28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28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28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28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28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28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28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28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28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28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28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28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28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28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28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28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28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28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28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28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28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28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28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28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28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28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28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28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28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28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28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28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28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28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28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28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28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28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28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28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28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28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28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28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28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28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28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28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28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28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28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28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28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28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28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28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28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28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28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28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28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28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28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28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28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28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28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28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28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28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28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28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28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28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28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28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28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28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28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28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28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28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28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28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28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28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28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28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28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28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28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28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28</v>
      </c>
    </row>
    <row r="33" spans="1:275" x14ac:dyDescent="0.25">
      <c r="A33" t="s">
        <v>24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0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4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6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6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8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8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8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8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8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8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8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10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10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10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10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12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12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12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12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14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14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14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14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14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16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17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17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17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17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17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20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20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20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20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20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20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20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20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20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20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22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22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22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23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23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23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23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23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23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23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25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25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25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25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25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25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25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25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25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25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25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25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25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25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25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25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25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25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25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25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25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25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25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25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25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25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25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25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25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25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25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25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25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25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25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25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25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25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25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25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25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25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25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25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25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25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25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25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25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25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25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25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25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25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25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25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25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25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25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25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25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25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25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25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25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25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25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25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25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25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25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25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25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25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25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25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25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25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25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25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25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25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25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25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25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25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25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25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25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25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25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25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25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25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25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25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25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25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25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25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25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25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25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25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25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25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25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25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25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25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25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25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25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25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25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25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25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25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25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25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25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25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25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25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25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25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25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25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25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25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25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25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25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25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25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25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29.84375</v>
      </c>
      <c r="BM34">
        <f>SUBTOTAL(101,Table4[2025-12-03])</f>
        <v>30.1875</v>
      </c>
      <c r="BN34">
        <f>SUBTOTAL(101,Table4[2025-12-04])</f>
        <v>30.875</v>
      </c>
      <c r="BO34">
        <f>SUBTOTAL(101,Table4[2025-12-05])</f>
        <v>31.21875</v>
      </c>
      <c r="BP34">
        <f>SUBTOTAL(101,Table4[2025-12-06])</f>
        <v>32.0625</v>
      </c>
      <c r="BQ34">
        <f>SUBTOTAL(101,Table4[2025-12-07])</f>
        <v>32.625</v>
      </c>
      <c r="BR34">
        <f>SUBTOTAL(101,Table4[2025-12-08])</f>
        <v>32.9375</v>
      </c>
      <c r="BS34">
        <f>SUBTOTAL(101,Table4[2025-12-09])</f>
        <v>32.9375</v>
      </c>
      <c r="BT34">
        <f>SUBTOTAL(101,Table4[2025-12-10])</f>
        <v>32.9375</v>
      </c>
      <c r="BU34">
        <f>SUBTOTAL(101,Table4[2025-12-11])</f>
        <v>32.9375</v>
      </c>
      <c r="BV34">
        <f>SUBTOTAL(101,Table4[2025-12-12])</f>
        <v>32.9375</v>
      </c>
      <c r="BW34">
        <f>SUBTOTAL(101,Table4[2025-12-13])</f>
        <v>32.9375</v>
      </c>
      <c r="BX34">
        <f>SUBTOTAL(101,Table4[2025-12-14])</f>
        <v>32.9375</v>
      </c>
      <c r="BY34">
        <f>SUBTOTAL(101,Table4[2025-12-15])</f>
        <v>32.9375</v>
      </c>
      <c r="BZ34">
        <f>SUBTOTAL(101,Table4[2025-12-16])</f>
        <v>32.9375</v>
      </c>
      <c r="CA34">
        <f>SUBTOTAL(101,Table4[2025-12-17])</f>
        <v>32.9375</v>
      </c>
      <c r="CB34">
        <f>SUBTOTAL(101,Table4[2025-12-18])</f>
        <v>32.9375</v>
      </c>
      <c r="CC34">
        <f>SUBTOTAL(101,Table4[2025-12-19])</f>
        <v>32.9375</v>
      </c>
      <c r="CD34">
        <f>SUBTOTAL(101,Table4[2025-12-20])</f>
        <v>32.9375</v>
      </c>
      <c r="CE34">
        <f>SUBTOTAL(101,Table4[2025-12-21])</f>
        <v>32.9375</v>
      </c>
      <c r="CF34">
        <f>SUBTOTAL(101,Table4[2025-12-22])</f>
        <v>32.9375</v>
      </c>
      <c r="CG34">
        <f>SUBTOTAL(101,Table4[2025-12-23])</f>
        <v>32.9375</v>
      </c>
      <c r="CH34">
        <f>SUBTOTAL(101,Table4[2025-12-24])</f>
        <v>32.9375</v>
      </c>
      <c r="CI34">
        <f>SUBTOTAL(101,Table4[2025-12-25])</f>
        <v>32.9375</v>
      </c>
      <c r="CJ34">
        <f>SUBTOTAL(101,Table4[2025-12-26])</f>
        <v>32.9375</v>
      </c>
      <c r="CK34">
        <f>SUBTOTAL(101,Table4[2025-12-27])</f>
        <v>32.9375</v>
      </c>
      <c r="CL34">
        <f>SUBTOTAL(101,Table4[2025-12-28])</f>
        <v>32.9375</v>
      </c>
      <c r="CM34">
        <f>SUBTOTAL(101,Table4[2025-12-29])</f>
        <v>32.9375</v>
      </c>
      <c r="CN34">
        <f>SUBTOTAL(101,Table4[2025-12-30])</f>
        <v>32.9375</v>
      </c>
      <c r="CO34">
        <f>SUBTOTAL(101,Table4[2025-12-31])</f>
        <v>32.9375</v>
      </c>
      <c r="CP34">
        <f>SUBTOTAL(101,Table4[2026-01-01])</f>
        <v>32.9375</v>
      </c>
      <c r="CQ34">
        <f>SUBTOTAL(101,Table4[2026-01-02])</f>
        <v>32.9375</v>
      </c>
      <c r="CR34">
        <f>SUBTOTAL(101,Table4[2026-01-03])</f>
        <v>32.9375</v>
      </c>
      <c r="CS34">
        <f>SUBTOTAL(101,Table4[2026-01-04])</f>
        <v>32.9375</v>
      </c>
      <c r="CT34">
        <f>SUBTOTAL(101,Table4[2026-01-05])</f>
        <v>32.9375</v>
      </c>
      <c r="CU34">
        <f>SUBTOTAL(101,Table4[2026-01-06])</f>
        <v>32.9375</v>
      </c>
      <c r="CV34">
        <f>SUBTOTAL(101,Table4[2026-01-07])</f>
        <v>32.9375</v>
      </c>
      <c r="CW34">
        <f>SUBTOTAL(101,Table4[2026-01-08])</f>
        <v>32.9375</v>
      </c>
      <c r="CX34">
        <f>SUBTOTAL(101,Table4[2026-01-09])</f>
        <v>32.9375</v>
      </c>
      <c r="CY34">
        <f>SUBTOTAL(101,Table4[2026-01-10])</f>
        <v>32.9375</v>
      </c>
      <c r="CZ34">
        <f>SUBTOTAL(101,Table4[2026-01-11])</f>
        <v>32.9375</v>
      </c>
      <c r="DA34">
        <f>SUBTOTAL(101,Table4[2026-01-12])</f>
        <v>32.9375</v>
      </c>
      <c r="DB34">
        <f>SUBTOTAL(101,Table4[2026-01-13])</f>
        <v>32.9375</v>
      </c>
      <c r="DC34">
        <f>SUBTOTAL(101,Table4[2026-01-14])</f>
        <v>32.9375</v>
      </c>
      <c r="DD34">
        <f>SUBTOTAL(101,Table4[2026-01-15])</f>
        <v>32.9375</v>
      </c>
      <c r="DE34">
        <f>SUBTOTAL(101,Table4[2026-01-16])</f>
        <v>32.9375</v>
      </c>
      <c r="DF34">
        <f>SUBTOTAL(101,Table4[2026-01-17])</f>
        <v>32.9375</v>
      </c>
      <c r="DG34">
        <f>SUBTOTAL(101,Table4[2026-01-18])</f>
        <v>32.9375</v>
      </c>
      <c r="DH34">
        <f>SUBTOTAL(101,Table4[2026-01-19])</f>
        <v>32.9375</v>
      </c>
      <c r="DI34">
        <f>SUBTOTAL(101,Table4[2026-01-20])</f>
        <v>32.9375</v>
      </c>
      <c r="DJ34">
        <f>SUBTOTAL(101,Table4[2026-01-21])</f>
        <v>32.9375</v>
      </c>
      <c r="DK34">
        <f>SUBTOTAL(101,Table4[2026-01-22])</f>
        <v>32.9375</v>
      </c>
      <c r="DL34">
        <f>SUBTOTAL(101,Table4[2026-01-23])</f>
        <v>32.9375</v>
      </c>
      <c r="DM34">
        <f>SUBTOTAL(101,Table4[2026-01-24])</f>
        <v>32.9375</v>
      </c>
      <c r="DN34">
        <f>SUBTOTAL(101,Table4[2026-01-25])</f>
        <v>32.9375</v>
      </c>
      <c r="DO34">
        <f>SUBTOTAL(101,Table4[2026-01-26])</f>
        <v>32.9375</v>
      </c>
      <c r="DP34">
        <f>SUBTOTAL(101,Table4[2026-01-27])</f>
        <v>32.9375</v>
      </c>
      <c r="DQ34">
        <f>SUBTOTAL(101,Table4[2026-01-28])</f>
        <v>32.9375</v>
      </c>
      <c r="DR34">
        <f>SUBTOTAL(101,Table4[2026-01-29])</f>
        <v>32.9375</v>
      </c>
      <c r="DS34">
        <f>SUBTOTAL(101,Table4[2026-01-30])</f>
        <v>32.9375</v>
      </c>
      <c r="DT34">
        <f>SUBTOTAL(101,Table4[2026-01-31])</f>
        <v>32.9375</v>
      </c>
      <c r="DU34">
        <f>SUBTOTAL(101,Table4[2026-02-01])</f>
        <v>32.9375</v>
      </c>
      <c r="DV34">
        <f>SUBTOTAL(101,Table4[2026-02-02])</f>
        <v>32.9375</v>
      </c>
      <c r="DW34">
        <f>SUBTOTAL(101,Table4[2026-02-03])</f>
        <v>32.9375</v>
      </c>
      <c r="DX34">
        <f>SUBTOTAL(101,Table4[2026-02-04])</f>
        <v>32.9375</v>
      </c>
      <c r="DY34">
        <f>SUBTOTAL(101,Table4[2026-02-05])</f>
        <v>32.9375</v>
      </c>
      <c r="DZ34">
        <f>SUBTOTAL(101,Table4[2026-02-06])</f>
        <v>32.9375</v>
      </c>
      <c r="EA34">
        <f>SUBTOTAL(101,Table4[2026-02-07])</f>
        <v>32.9375</v>
      </c>
      <c r="EB34">
        <f>SUBTOTAL(101,Table4[2026-02-08])</f>
        <v>32.9375</v>
      </c>
      <c r="EC34">
        <f>SUBTOTAL(101,Table4[2026-02-09])</f>
        <v>32.9375</v>
      </c>
      <c r="ED34">
        <f>SUBTOTAL(101,Table4[2026-02-10])</f>
        <v>32.9375</v>
      </c>
      <c r="EE34">
        <f>SUBTOTAL(101,Table4[2026-02-11])</f>
        <v>32.9375</v>
      </c>
      <c r="EF34">
        <f>SUBTOTAL(101,Table4[2026-02-12])</f>
        <v>32.9375</v>
      </c>
      <c r="EG34">
        <f>SUBTOTAL(101,Table4[2026-02-13])</f>
        <v>32.9375</v>
      </c>
      <c r="EH34">
        <f>SUBTOTAL(101,Table4[2026-02-14])</f>
        <v>32.9375</v>
      </c>
      <c r="EI34">
        <f>SUBTOTAL(101,Table4[2026-02-15])</f>
        <v>32.9375</v>
      </c>
      <c r="EJ34">
        <f>SUBTOTAL(101,Table4[2026-02-16])</f>
        <v>32.9375</v>
      </c>
      <c r="EK34">
        <f>SUBTOTAL(101,Table4[2026-02-17])</f>
        <v>32.9375</v>
      </c>
      <c r="EL34">
        <f>SUBTOTAL(101,Table4[2026-02-18])</f>
        <v>32.9375</v>
      </c>
      <c r="EM34">
        <f>SUBTOTAL(101,Table4[2026-02-19])</f>
        <v>32.9375</v>
      </c>
      <c r="EN34">
        <f>SUBTOTAL(101,Table4[2026-02-20])</f>
        <v>32.9375</v>
      </c>
      <c r="EO34">
        <f>SUBTOTAL(101,Table4[2026-02-21])</f>
        <v>32.9375</v>
      </c>
      <c r="EP34">
        <f>SUBTOTAL(101,Table4[2026-02-22])</f>
        <v>32.9375</v>
      </c>
      <c r="EQ34">
        <f>SUBTOTAL(101,Table4[2026-02-23])</f>
        <v>32.9375</v>
      </c>
      <c r="ER34">
        <f>SUBTOTAL(101,Table4[2026-02-24])</f>
        <v>32.9375</v>
      </c>
      <c r="ES34">
        <f>SUBTOTAL(101,Table4[2026-02-25])</f>
        <v>32.9375</v>
      </c>
      <c r="ET34">
        <f>SUBTOTAL(101,Table4[2026-02-26])</f>
        <v>32.9375</v>
      </c>
      <c r="EU34">
        <f>SUBTOTAL(101,Table4[2026-02-27])</f>
        <v>32.9375</v>
      </c>
      <c r="EV34">
        <f>SUBTOTAL(101,Table4[2026-02-28])</f>
        <v>32.9375</v>
      </c>
      <c r="EW34">
        <f>SUBTOTAL(101,Table4[2026-03-01])</f>
        <v>32.9375</v>
      </c>
      <c r="EX34">
        <f>SUBTOTAL(101,Table4[2026-03-02])</f>
        <v>32.9375</v>
      </c>
      <c r="EY34">
        <f>SUBTOTAL(101,Table4[2026-03-03])</f>
        <v>32.9375</v>
      </c>
      <c r="EZ34">
        <f>SUBTOTAL(101,Table4[2026-03-04])</f>
        <v>32.9375</v>
      </c>
      <c r="FA34">
        <f>SUBTOTAL(101,Table4[2026-03-05])</f>
        <v>32.9375</v>
      </c>
      <c r="FB34">
        <f>SUBTOTAL(101,Table4[2026-03-06])</f>
        <v>32.9375</v>
      </c>
      <c r="FC34">
        <f>SUBTOTAL(101,Table4[2026-03-07])</f>
        <v>32.9375</v>
      </c>
      <c r="FD34">
        <f>SUBTOTAL(101,Table4[2026-03-08])</f>
        <v>32.9375</v>
      </c>
      <c r="FE34">
        <f>SUBTOTAL(101,Table4[2026-03-09])</f>
        <v>32.9375</v>
      </c>
      <c r="FF34">
        <f>SUBTOTAL(101,Table4[2026-03-10])</f>
        <v>32.9375</v>
      </c>
      <c r="FG34">
        <f>SUBTOTAL(101,Table4[2026-03-11])</f>
        <v>32.9375</v>
      </c>
      <c r="FH34">
        <f>SUBTOTAL(101,Table4[2026-03-12])</f>
        <v>32.9375</v>
      </c>
      <c r="FI34">
        <f>SUBTOTAL(101,Table4[2026-03-13])</f>
        <v>32.9375</v>
      </c>
      <c r="FJ34">
        <f>SUBTOTAL(101,Table4[2026-03-14])</f>
        <v>32.9375</v>
      </c>
      <c r="FK34">
        <f>SUBTOTAL(101,Table4[2026-03-15])</f>
        <v>32.9375</v>
      </c>
      <c r="FL34">
        <f>SUBTOTAL(101,Table4[2026-03-16])</f>
        <v>32.9375</v>
      </c>
      <c r="FM34">
        <f>SUBTOTAL(101,Table4[2026-03-17])</f>
        <v>32.9375</v>
      </c>
      <c r="FN34">
        <f>SUBTOTAL(101,Table4[2026-03-18])</f>
        <v>32.9375</v>
      </c>
      <c r="FO34">
        <f>SUBTOTAL(101,Table4[2026-03-19])</f>
        <v>32.9375</v>
      </c>
      <c r="FP34">
        <f>SUBTOTAL(101,Table4[2026-03-20])</f>
        <v>32.9375</v>
      </c>
      <c r="FQ34">
        <f>SUBTOTAL(101,Table4[2026-03-21])</f>
        <v>32.9375</v>
      </c>
      <c r="FR34">
        <f>SUBTOTAL(101,Table4[2026-03-22])</f>
        <v>32.9375</v>
      </c>
      <c r="FS34">
        <f>SUBTOTAL(101,Table4[2026-03-23])</f>
        <v>32.9375</v>
      </c>
      <c r="FT34">
        <f>SUBTOTAL(101,Table4[2026-03-24])</f>
        <v>32.9375</v>
      </c>
      <c r="FU34">
        <f>SUBTOTAL(101,Table4[2026-03-25])</f>
        <v>32.9375</v>
      </c>
      <c r="FV34">
        <f>SUBTOTAL(101,Table4[2026-03-26])</f>
        <v>32.9375</v>
      </c>
      <c r="FW34">
        <f>SUBTOTAL(101,Table4[2026-03-27])</f>
        <v>32.9375</v>
      </c>
      <c r="FX34">
        <f>SUBTOTAL(101,Table4[2026-03-28])</f>
        <v>32.9375</v>
      </c>
      <c r="FY34">
        <f>SUBTOTAL(101,Table4[2026-03-29])</f>
        <v>32.9375</v>
      </c>
      <c r="FZ34">
        <f>SUBTOTAL(101,Table4[2026-03-30])</f>
        <v>32.9375</v>
      </c>
      <c r="GA34">
        <f>SUBTOTAL(101,Table4[2026-03-31])</f>
        <v>32.9375</v>
      </c>
      <c r="GB34">
        <f>SUBTOTAL(101,Table4[2026-04-01])</f>
        <v>32.9375</v>
      </c>
      <c r="GC34">
        <f>SUBTOTAL(101,Table4[2026-04-02])</f>
        <v>32.9375</v>
      </c>
      <c r="GD34">
        <f>SUBTOTAL(101,Table4[2026-04-03])</f>
        <v>32.9375</v>
      </c>
      <c r="GE34">
        <f>SUBTOTAL(101,Table4[2026-04-04])</f>
        <v>32.9375</v>
      </c>
      <c r="GF34">
        <f>SUBTOTAL(101,Table4[2026-04-05])</f>
        <v>32.9375</v>
      </c>
      <c r="GG34">
        <f>SUBTOTAL(101,Table4[2026-04-06])</f>
        <v>32.9375</v>
      </c>
      <c r="GH34">
        <f>SUBTOTAL(101,Table4[2026-04-07])</f>
        <v>32.9375</v>
      </c>
      <c r="GI34">
        <f>SUBTOTAL(101,Table4[2026-04-08])</f>
        <v>32.9375</v>
      </c>
      <c r="GJ34">
        <f>SUBTOTAL(101,Table4[2026-04-09])</f>
        <v>32.9375</v>
      </c>
      <c r="GK34">
        <f>SUBTOTAL(101,Table4[2026-04-10])</f>
        <v>32.9375</v>
      </c>
      <c r="GL34">
        <f>SUBTOTAL(101,Table4[2026-04-11])</f>
        <v>32.9375</v>
      </c>
      <c r="GM34">
        <f>SUBTOTAL(101,Table4[2026-04-12])</f>
        <v>32.9375</v>
      </c>
      <c r="GN34">
        <f>SUBTOTAL(101,Table4[2026-04-13])</f>
        <v>32.9375</v>
      </c>
      <c r="GO34">
        <f>SUBTOTAL(101,Table4[2026-04-14])</f>
        <v>32.9375</v>
      </c>
      <c r="GP34">
        <f>SUBTOTAL(101,Table4[2026-04-15])</f>
        <v>32.9375</v>
      </c>
      <c r="GQ34">
        <f>SUBTOTAL(101,Table4[2026-04-16])</f>
        <v>32.9375</v>
      </c>
      <c r="GR34">
        <f>SUBTOTAL(101,Table4[2026-04-17])</f>
        <v>32.9375</v>
      </c>
      <c r="GS34">
        <f>SUBTOTAL(101,Table4[2026-04-18])</f>
        <v>32.9375</v>
      </c>
      <c r="GT34">
        <f>SUBTOTAL(101,Table4[2026-04-19])</f>
        <v>32.9375</v>
      </c>
      <c r="GU34">
        <f>SUBTOTAL(101,Table4[2026-04-20])</f>
        <v>32.9375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30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30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31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31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33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33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35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35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35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35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35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35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35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35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35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35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35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35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35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35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35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35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35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35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35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35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35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35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35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35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35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35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35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35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35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35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35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35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35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35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35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35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35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35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35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35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35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35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35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35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35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35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35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35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35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35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35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35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35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35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35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35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35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35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35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35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35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35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35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35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35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35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35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35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35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35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35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35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35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35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35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35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35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35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35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35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35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35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35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35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35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35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35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35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35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35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35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35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35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35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35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35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35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35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35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35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35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35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35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35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35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35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35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35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35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35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35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35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35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35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35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35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35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35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35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35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35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35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35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35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35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35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35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35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35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35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35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35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35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35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31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31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31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33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33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33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33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33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33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33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33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33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33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33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33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33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33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33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33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33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33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33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33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33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33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33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33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33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33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33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33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33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33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33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33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33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33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33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33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33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33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33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33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33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33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33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33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33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33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33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33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33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33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33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33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33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33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33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33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33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33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33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33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33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33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33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33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33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33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33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33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33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33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33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33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33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33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33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33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33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33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33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33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33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33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33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33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33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33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33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33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33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33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33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33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33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33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33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33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33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33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33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33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33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33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33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33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33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33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33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33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33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33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33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33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33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33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33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33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33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33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33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33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33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33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33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33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33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33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33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33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33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33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33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33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33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33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33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33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29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29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30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30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32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32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32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32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32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32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32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32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32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32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32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32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32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32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32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32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32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32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32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32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32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32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32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32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32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32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32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32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32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32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32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32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32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32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32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32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32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32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32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32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32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32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32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32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32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32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32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32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32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32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32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32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32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32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32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32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32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32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32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32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32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32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32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32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32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32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32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32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32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32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32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32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32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32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32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32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32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32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32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32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32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32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32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32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32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32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32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32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32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32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32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32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32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32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32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32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32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32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32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32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32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32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32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32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32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32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32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32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32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32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32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32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32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32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32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32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32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32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32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32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32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32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32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32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32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32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32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32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32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32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32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32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32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32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26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26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28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30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30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30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30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30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30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30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30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30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30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30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30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30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30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30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30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30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30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30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30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30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30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30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30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30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30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30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30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30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30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30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30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30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30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30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30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30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30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30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30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30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30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30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30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30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30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30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30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30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30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30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30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30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30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30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30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30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30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30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30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30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30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30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30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30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30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30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30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30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30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30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30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30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30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30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30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30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30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30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30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30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30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30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30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30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30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30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30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30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30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30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30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30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30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30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30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30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30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30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30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30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30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30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30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30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30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30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30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30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30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30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30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30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30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30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30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30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30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30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30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30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30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30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30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30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30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30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30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30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30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30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30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30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30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30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32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32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34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34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34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34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34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34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34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34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34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34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34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34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34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34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34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34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34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34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34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34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34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34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34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34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34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34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34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34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34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34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34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34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34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34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34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34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34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34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34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34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34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34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34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34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34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34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34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34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34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34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34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34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34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34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34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34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34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34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34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34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34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34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34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34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34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34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34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34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34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34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34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34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34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34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34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34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34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34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34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34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34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34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34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34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34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34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34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34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34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34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34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34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34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34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34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34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34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34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34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34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34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34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34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34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34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34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34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34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34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34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34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34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34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34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34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34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34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34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34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34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34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34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34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34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34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34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34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34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34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34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34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34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34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34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34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34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34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34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34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34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34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34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34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34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34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34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34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34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34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34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34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34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34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34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34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34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34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34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34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34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34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34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34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34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34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34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34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34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34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34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34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34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34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34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34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34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34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34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34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34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34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34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34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34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34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34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34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34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34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34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34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34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34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34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34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34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34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34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34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34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34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34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34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34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34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34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34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34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34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34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34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34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34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34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34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34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34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34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34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34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34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34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34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34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34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34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34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34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34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34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34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34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34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34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34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34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34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34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34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34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34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34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34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34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34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34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34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34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34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34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34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34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34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34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34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34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34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34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34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34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34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34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34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34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34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34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30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30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30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30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30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30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30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30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30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30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30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30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30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30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30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30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30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30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30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30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30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30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30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30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30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30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30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30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30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30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30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30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30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30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30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30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30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30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30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30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30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30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30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30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30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30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30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30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30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30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30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30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30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30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30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30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30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30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30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30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30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30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30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30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30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30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30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30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30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30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30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30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30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30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30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30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30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30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30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30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30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30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30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30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30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30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30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30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30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30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30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30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30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30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30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30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30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30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30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30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30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30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30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30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30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30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30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30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30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30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30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30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30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30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30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30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30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30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30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30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30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30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30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30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30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30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30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30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30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30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30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30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30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30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30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30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30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30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30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30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26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26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26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26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26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26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26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26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26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26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26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26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26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26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26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26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26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26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26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26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26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26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26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26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26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26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26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26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26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26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26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26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26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26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26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26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26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26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26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26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26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26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26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26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26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26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26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26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26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26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26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26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26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26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26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26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26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26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26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26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26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26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26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26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26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26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26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26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26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26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26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26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26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26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26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26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26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26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26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26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26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26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26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26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26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26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26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26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26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26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26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26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26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26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26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26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26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26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26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26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26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26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26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26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26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26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26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26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26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26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26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26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26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26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26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26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26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26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26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26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26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26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26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26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26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26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26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26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26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26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26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26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26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36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36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36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36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36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36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36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36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36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36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36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36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36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36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36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36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36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36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36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36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36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36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36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36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36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36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36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36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36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36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36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36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36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36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36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36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36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36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36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36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36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36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36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36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36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36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36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36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36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36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36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36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36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36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36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36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36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36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36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36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36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36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36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36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36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36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36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36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36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36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36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36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36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36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36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36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36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36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36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36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36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36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36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36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36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36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36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36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36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36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36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36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36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36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36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36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36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36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36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36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36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36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36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36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36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36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36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36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36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36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36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36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36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36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36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36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36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36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36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36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36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36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36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36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36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36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36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36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36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36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36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36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36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36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36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36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37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37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39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39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39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39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39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39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39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39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39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39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39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39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39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39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39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39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39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39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39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39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39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39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39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39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39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39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39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39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39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39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39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39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39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39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39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39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39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39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39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39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39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39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39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39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39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39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39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39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39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39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39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39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39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39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39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39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39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39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39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39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39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39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39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39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39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39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39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39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39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39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39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39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39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39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39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39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39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39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39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39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39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39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39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39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39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39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39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39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39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39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39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39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39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39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39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39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39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39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39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39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39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39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39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39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39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39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39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39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39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39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39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39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39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39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39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39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39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39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39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39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39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39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39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39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39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39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39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39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39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39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39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39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39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39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39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33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33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33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33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33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33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33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33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33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33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33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33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33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33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33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33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33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33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33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33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33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33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33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33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33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33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33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33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33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33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33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33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33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33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33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33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33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33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33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33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33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33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33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33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33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33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33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33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33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33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33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33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33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33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33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33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33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33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33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33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33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33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33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33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33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33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33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33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33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33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33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33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33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33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33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33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33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33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33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33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33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33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33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33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33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33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33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33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33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33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33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33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33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33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33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33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33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33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33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33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33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33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33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33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33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33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33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33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33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33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33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33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33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33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33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33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33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33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33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33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33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33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33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33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33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33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33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33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33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33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33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33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33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33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33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33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34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34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34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34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34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34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34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34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34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34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34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34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34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34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34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34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34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34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34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34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34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34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34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34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34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34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34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34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34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34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34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34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34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34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34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34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34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34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34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34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34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34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34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34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34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34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34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34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34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34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34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34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34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34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34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34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34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34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34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34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34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34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34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34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34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34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34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34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34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34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34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34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34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34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34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34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34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34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34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34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34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34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34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34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34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34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34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34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34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34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34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34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34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34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34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34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34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34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34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34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34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34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34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34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34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34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34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34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34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34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34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34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34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34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34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34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34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34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34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34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34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34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34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34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34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34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34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34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34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34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34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34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34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34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34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30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30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32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32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33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34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34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34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34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34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34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34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34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34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34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34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34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34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34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34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34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34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34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34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34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34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34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34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34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34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34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34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34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34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34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34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34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34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34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34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34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34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34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34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34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34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34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34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34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34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34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34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34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34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34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34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34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34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34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34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34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34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34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34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34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34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34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34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34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34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34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34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34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34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34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34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34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34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34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34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34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34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34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34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34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34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34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34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34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34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34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34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34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34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34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34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34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34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34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34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34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34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34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34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34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34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34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34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34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34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34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34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34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34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34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34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34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34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34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34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34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34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34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34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34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34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34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34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34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34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34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34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34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34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34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34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34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34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34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34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32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32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32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32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32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32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32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32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32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32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32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32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32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32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32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32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32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32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32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32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32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32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32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32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32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32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32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32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32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32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32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32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32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32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32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32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32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32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32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32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32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32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32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32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32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32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32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32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32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32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32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32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32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32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32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32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32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32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32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32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32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32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32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32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32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32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32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32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32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32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32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32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32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32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32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32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32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32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32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32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32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32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32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32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32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32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32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32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32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32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32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32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32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32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32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32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32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32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32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32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32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32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32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32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32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32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32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32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32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32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32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32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32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32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32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32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32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32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32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32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32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32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32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32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32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32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32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32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32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32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32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32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32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32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32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32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32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32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32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31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31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33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33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35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35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35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35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35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35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35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35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35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35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35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35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35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35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35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35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35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35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35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35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35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35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35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35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35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35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35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35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35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35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35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35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35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35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35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35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35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35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35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35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35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35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35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35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35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35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35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35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35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35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35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35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35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35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35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35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35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35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35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35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35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35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35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35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35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35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35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35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35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35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35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35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35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35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35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35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35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35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35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35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35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35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35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35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35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35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35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35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35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35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35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35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35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35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35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35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35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35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35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35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35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35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35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35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35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35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35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35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35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35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35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35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35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35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35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35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35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35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35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35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35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35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35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35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35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35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35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35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35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35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35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35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35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35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35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35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31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31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32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32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32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32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32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32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32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32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32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32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32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32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32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32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32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32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32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32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32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32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32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32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32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32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32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32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32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32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32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32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32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32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32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32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32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32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32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32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32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32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32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32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32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32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32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32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32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32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32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32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32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32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32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32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32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32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32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32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32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32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32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32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32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32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32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32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32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32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32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32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32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32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32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32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32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32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32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32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32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32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32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32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32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32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32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32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32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32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32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32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32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32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32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32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32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32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32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32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32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32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32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32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32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32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32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32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32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32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32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32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32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32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32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32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32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32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32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32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32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32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32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32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32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32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32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32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32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32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32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32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32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32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32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32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32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32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44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44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44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44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46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48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48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48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48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48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48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48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48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48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48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48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48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48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48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48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48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48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48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48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48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48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48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48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48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48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48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48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48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48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48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48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48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48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48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48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48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48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48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48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48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48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48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48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48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48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48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48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48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48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48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48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48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48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48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48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48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48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48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48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48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48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48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48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48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48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48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48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48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48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48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48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48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48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48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48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48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48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48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48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48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48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48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48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48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48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48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48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48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48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48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48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48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48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48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48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48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48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48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48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48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48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48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48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48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48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48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48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48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48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48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48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48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48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48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48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48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48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48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48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48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48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48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48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48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48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48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48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48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48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48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48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48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48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48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48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27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27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29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29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29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29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29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29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29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29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29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29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29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29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29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29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29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29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29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29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29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29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29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29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29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29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29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29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29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29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29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29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29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29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29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29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29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29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29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29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29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29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29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29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29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29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29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29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29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29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29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29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29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29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29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29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29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29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29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29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29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29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29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29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29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29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29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29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29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29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29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29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29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29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29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29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29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29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29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29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29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29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29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29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29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29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29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29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29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29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29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29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29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29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29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29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29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29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29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29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29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29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29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29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29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29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29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29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29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29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29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29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29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29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29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29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29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29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29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29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29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29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29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29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29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29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29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29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29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29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29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29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29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29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29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29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29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29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29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39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41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41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43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43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45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45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45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45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45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45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45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45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45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45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45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45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45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45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45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45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45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45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45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45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45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45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45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45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45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45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45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45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45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45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45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45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45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45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45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45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45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45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45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45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45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45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45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45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45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45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45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45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45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45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45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45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45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45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45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45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45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45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45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45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45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45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45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45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45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45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45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45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45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45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45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45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45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45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45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45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45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45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45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45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45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45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45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45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45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45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45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45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45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45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45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45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45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45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45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45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45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45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45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45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45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45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45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45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45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45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45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45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45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45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45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45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45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45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45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45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45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45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45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45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45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45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45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45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45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45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45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45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45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45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45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45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45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45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45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28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30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30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30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30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30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30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30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30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30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30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30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30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30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30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30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30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30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30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30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30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30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30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30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30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30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30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30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30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30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30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30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30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30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30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30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30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30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30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30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30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30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30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30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30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30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30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30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30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30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30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30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30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30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30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30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30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30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30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30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30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30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30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30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30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30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30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30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30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30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30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30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30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30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30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30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30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30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30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30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30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30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30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30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30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30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30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30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30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30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30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30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30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30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30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30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30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30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30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30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30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30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30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30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30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30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30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30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30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30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30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30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30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30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30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30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30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30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30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30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30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30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30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30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30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30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30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30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30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30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30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30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30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30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30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30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29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29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31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31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31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31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31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31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31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31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31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31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31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31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31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31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31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31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31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31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31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31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31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31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31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31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31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31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31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31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31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31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31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31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31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31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31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31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31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31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31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31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31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31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31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31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31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31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31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31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31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31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31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31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31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31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31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31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31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31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31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31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31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31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31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31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31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31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31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31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31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31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31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31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31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31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31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31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31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31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31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31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31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31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31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31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31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31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31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31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31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31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31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31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31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31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31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31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31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31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31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31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31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31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31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31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31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31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31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31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31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31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31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31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31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31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31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31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31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31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31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31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31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31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31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31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31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31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31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31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31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31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31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31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31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31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31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31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31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24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24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24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24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24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24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24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24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24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24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24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24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24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24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24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24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24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24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24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24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24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24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24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24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24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24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24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24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24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24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24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24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24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24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24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24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24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24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24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24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24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24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24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24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24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24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24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24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24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24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24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24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24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24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24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24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24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24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24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24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24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24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24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24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24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24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24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24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24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24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24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24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24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24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24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24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24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24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24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24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24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24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24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24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24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24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24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24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24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24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24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24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24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24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24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24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24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24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24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24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24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24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24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24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24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24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24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24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24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24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24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24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24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24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24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24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24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24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24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24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24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24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24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24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24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24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24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24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24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24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24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24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24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24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24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24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24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24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28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28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30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30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30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30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30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30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30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30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30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30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30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30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30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30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30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30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30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30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30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30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30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30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30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30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30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30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30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30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30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30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30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30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30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30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30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30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30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30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30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30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30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30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30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30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30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30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30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30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30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30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30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30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30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30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30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30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30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30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30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30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30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30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30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30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30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30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30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30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30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30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30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30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30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30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30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30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30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30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30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30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30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30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30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30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30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30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30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30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30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30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30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30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30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30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30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30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30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30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30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30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30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30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30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30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30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30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30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30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30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30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30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30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30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30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30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30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30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30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30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30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30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30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30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30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30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30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30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30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30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30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30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30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30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30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30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30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30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30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35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35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35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35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35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35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37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37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37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37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37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37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37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37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37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37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37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37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37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37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37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37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37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37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37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37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37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37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37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37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37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37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37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37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37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37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37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37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37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37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37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37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37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37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37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37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37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37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37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37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37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37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37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37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37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37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37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37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37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37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37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37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37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37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37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37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37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37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37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37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37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37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37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37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37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37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37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37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37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37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37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37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37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37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37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37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37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37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37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37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37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37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37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37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37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37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37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37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37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37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37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37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37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37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37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37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37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37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37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37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37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37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37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37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37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37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37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37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37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37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37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37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37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37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37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37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37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37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37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37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37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37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37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37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37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37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37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37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37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37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34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34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36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36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36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36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36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36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36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36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36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36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36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36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36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36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36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36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36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36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36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36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36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36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36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36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36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36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36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36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36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36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36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36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36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36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36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36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36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36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36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36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36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36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36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36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36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36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36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36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36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36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36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36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36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36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36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36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36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36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36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36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36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36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36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36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36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36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36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36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36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36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36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36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36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36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36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36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36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36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36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36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36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36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36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36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36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36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36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36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36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36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36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36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36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36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36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36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36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36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36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36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36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36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36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36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36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36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36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36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36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36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36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36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36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36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36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36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36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36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36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36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36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36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36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36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36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36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36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36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36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36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36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36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36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36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36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25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25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25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25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25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25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25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25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25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25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25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25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25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25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25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25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25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25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25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25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25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25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25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25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25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25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25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25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25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25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25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25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25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25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25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25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25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25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25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25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25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25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25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25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25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25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25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25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25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25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25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25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25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25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25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25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25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25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25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25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25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25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25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25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25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25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25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25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25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25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25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25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25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25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25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25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25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25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25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25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25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25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25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25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25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25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25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25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25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25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25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25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25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25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25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25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25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25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25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25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25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25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25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25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25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25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25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25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25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25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25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25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25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25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25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25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25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25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25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25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25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25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25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25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25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25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25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25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25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25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25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25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25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25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25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25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29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29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31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31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31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31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31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31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31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31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31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31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31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31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31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31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31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31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31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31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31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31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31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31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31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31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31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31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31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31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31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31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31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31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31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31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31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31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31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31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31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31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31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31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31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31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31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31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31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31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31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31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31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31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31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31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31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31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31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31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31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31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31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31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31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31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31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31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31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31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31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31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31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31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31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31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31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31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31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31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31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31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31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31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31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31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31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31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31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31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31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31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31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31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31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31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31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31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31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31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31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31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31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31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31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31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31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31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31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31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31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31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31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31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31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31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31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31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31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31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31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31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31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31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31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31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31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31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31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31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31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31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31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31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31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31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31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31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33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33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35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35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35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35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35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35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35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35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35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35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35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35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35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35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35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35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35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35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35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35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35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35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35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35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35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35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35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35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35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35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35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35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35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35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35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35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35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35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35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35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35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35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35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35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35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35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35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35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35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35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35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35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35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35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35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35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35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35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35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35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35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35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35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35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35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35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35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35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35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35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35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35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35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35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35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35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35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35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35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35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35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35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35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35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35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35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35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35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35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35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35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35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35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35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35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35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35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35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35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35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35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35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35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35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35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35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35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35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35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35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35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35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35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35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35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35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35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35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35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35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35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35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35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35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35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35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35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35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35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35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35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35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35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35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37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37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37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37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37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37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37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37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37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37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37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37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37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37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37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37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37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37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37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37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37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37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37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37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37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37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37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37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37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37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37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37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37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37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37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37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37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37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37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37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37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37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37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37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37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37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37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37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37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37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37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37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37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37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37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37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37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37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37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37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37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37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37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37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37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37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37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37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37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37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37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37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37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37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37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37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37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37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37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37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37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37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37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37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37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37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37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37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37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37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37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37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37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37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37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37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37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37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37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37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37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37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37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37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37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37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37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37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37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37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37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37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37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37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37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37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37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37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37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37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37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37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37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37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37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37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37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37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37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37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37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37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37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37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37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24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24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26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26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28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28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28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28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28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28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28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28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28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28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28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28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28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28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28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28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28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28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28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28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28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28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28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28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28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28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28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28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28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28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28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28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28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28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28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28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28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28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28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28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28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28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28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28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28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28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28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28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28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28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28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28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28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28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28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28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28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28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28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28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28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28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28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28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28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28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28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28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28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28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28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28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28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28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28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28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28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28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28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28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28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28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28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28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28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28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28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28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28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28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28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28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28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28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28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28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28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28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28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28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28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28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28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28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28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28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28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28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28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28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28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28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28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28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28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28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28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28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28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28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28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28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28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28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28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28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28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28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28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28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28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28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28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28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31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31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31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31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31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31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31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31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31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31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31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31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31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31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31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31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31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31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31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31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31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31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31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31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31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31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31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31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31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31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31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31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31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31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31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31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31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31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31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31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31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31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31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31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31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31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31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31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31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31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31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31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31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31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31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31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31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31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31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31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31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31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31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31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31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31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31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31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31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31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31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31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31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31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31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31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31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31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31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31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31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31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31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31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31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31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31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31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31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31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31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31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31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31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31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31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31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31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31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31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31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31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31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31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31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31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31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31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31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31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31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31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31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31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31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31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31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31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31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31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31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31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31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31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31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31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31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31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31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31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31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31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31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31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31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29.84375</v>
      </c>
      <c r="BM70">
        <f>SUBTOTAL(101,Table46[2024-12-03])</f>
        <v>30.1875</v>
      </c>
      <c r="BN70">
        <f>SUBTOTAL(101,Table46[2024-12-04])</f>
        <v>30.875</v>
      </c>
      <c r="BO70">
        <f>SUBTOTAL(101,Table46[2024-12-05])</f>
        <v>31.21875</v>
      </c>
      <c r="BP70">
        <f>SUBTOTAL(101,Table46[2024-12-06])</f>
        <v>32.0625</v>
      </c>
      <c r="BQ70">
        <f>SUBTOTAL(101,Table46[2024-12-07])</f>
        <v>32.625</v>
      </c>
      <c r="BR70">
        <f>SUBTOTAL(101,Table46[2024-12-08])</f>
        <v>32.9375</v>
      </c>
      <c r="BS70">
        <f>SUBTOTAL(101,Table46[2024-12-09])</f>
        <v>32.9375</v>
      </c>
      <c r="BT70">
        <f>SUBTOTAL(101,Table46[2024-12-10])</f>
        <v>32.9375</v>
      </c>
      <c r="BU70">
        <f>SUBTOTAL(101,Table46[2024-12-11])</f>
        <v>32.9375</v>
      </c>
      <c r="BV70">
        <f>SUBTOTAL(101,Table46[2024-12-12])</f>
        <v>32.9375</v>
      </c>
      <c r="BW70">
        <f>SUBTOTAL(101,Table46[2024-12-13])</f>
        <v>32.9375</v>
      </c>
      <c r="BX70">
        <f>SUBTOTAL(101,Table46[2024-12-14])</f>
        <v>32.9375</v>
      </c>
      <c r="BY70">
        <f>SUBTOTAL(101,Table46[2024-12-15])</f>
        <v>32.9375</v>
      </c>
      <c r="BZ70">
        <f>SUBTOTAL(101,Table46[2024-12-16])</f>
        <v>32.9375</v>
      </c>
      <c r="CA70">
        <f>SUBTOTAL(101,Table46[2024-12-17])</f>
        <v>32.9375</v>
      </c>
      <c r="CB70">
        <f>SUBTOTAL(101,Table46[2024-12-18])</f>
        <v>32.9375</v>
      </c>
      <c r="CC70">
        <f>SUBTOTAL(101,Table46[2024-12-19])</f>
        <v>32.9375</v>
      </c>
      <c r="CD70">
        <f>SUBTOTAL(101,Table46[2024-12-20])</f>
        <v>32.9375</v>
      </c>
      <c r="CE70">
        <f>SUBTOTAL(101,Table46[2024-12-21])</f>
        <v>32.9375</v>
      </c>
      <c r="CF70">
        <f>SUBTOTAL(101,Table46[2024-12-22])</f>
        <v>32.9375</v>
      </c>
      <c r="CG70">
        <f>SUBTOTAL(101,Table46[2024-12-23])</f>
        <v>32.9375</v>
      </c>
      <c r="CH70">
        <f>SUBTOTAL(101,Table46[2024-12-24])</f>
        <v>32.9375</v>
      </c>
      <c r="CI70">
        <f>SUBTOTAL(101,Table46[2024-12-25])</f>
        <v>32.9375</v>
      </c>
      <c r="CJ70">
        <f>SUBTOTAL(101,Table46[2024-12-26])</f>
        <v>32.9375</v>
      </c>
      <c r="CK70">
        <f>SUBTOTAL(101,Table46[2024-12-27])</f>
        <v>32.9375</v>
      </c>
      <c r="CL70">
        <f>SUBTOTAL(101,Table46[2024-12-28])</f>
        <v>32.9375</v>
      </c>
      <c r="CM70">
        <f>SUBTOTAL(101,Table46[2024-12-29])</f>
        <v>32.9375</v>
      </c>
      <c r="CN70">
        <f>SUBTOTAL(101,Table46[2024-12-30])</f>
        <v>32.9375</v>
      </c>
      <c r="CO70">
        <f>SUBTOTAL(101,Table46[2024-12-31])</f>
        <v>32.9375</v>
      </c>
      <c r="CP70">
        <f>SUBTOTAL(101,Table46[2025-01-01])</f>
        <v>32.9375</v>
      </c>
      <c r="CQ70">
        <f>SUBTOTAL(101,Table46[2025-01-02])</f>
        <v>32.9375</v>
      </c>
      <c r="CR70">
        <f>SUBTOTAL(101,Table46[2025-01-03])</f>
        <v>32.9375</v>
      </c>
      <c r="CS70">
        <f>SUBTOTAL(101,Table46[2025-01-04])</f>
        <v>32.9375</v>
      </c>
      <c r="CT70">
        <f>SUBTOTAL(101,Table46[2025-01-05])</f>
        <v>32.9375</v>
      </c>
      <c r="CU70">
        <f>SUBTOTAL(101,Table46[2025-01-06])</f>
        <v>32.9375</v>
      </c>
      <c r="CV70">
        <f>SUBTOTAL(101,Table46[2025-01-07])</f>
        <v>32.9375</v>
      </c>
      <c r="CW70">
        <f>SUBTOTAL(101,Table46[2025-01-08])</f>
        <v>32.9375</v>
      </c>
      <c r="CX70">
        <f>SUBTOTAL(101,Table46[2025-01-09])</f>
        <v>32.9375</v>
      </c>
      <c r="CY70">
        <f>SUBTOTAL(101,Table46[2025-01-10])</f>
        <v>32.9375</v>
      </c>
      <c r="CZ70">
        <f>SUBTOTAL(101,Table46[2025-01-11])</f>
        <v>32.9375</v>
      </c>
      <c r="DA70">
        <f>SUBTOTAL(101,Table46[2025-01-12])</f>
        <v>32.9375</v>
      </c>
      <c r="DB70">
        <f>SUBTOTAL(101,Table46[2025-01-13])</f>
        <v>32.9375</v>
      </c>
      <c r="DC70">
        <f>SUBTOTAL(101,Table46[2025-01-14])</f>
        <v>32.9375</v>
      </c>
      <c r="DD70">
        <f>SUBTOTAL(101,Table46[2025-01-15])</f>
        <v>32.9375</v>
      </c>
      <c r="DE70">
        <f>SUBTOTAL(101,Table46[2025-01-16])</f>
        <v>32.9375</v>
      </c>
      <c r="DF70">
        <f>SUBTOTAL(101,Table46[2025-01-17])</f>
        <v>32.9375</v>
      </c>
      <c r="DG70">
        <f>SUBTOTAL(101,Table46[2025-01-18])</f>
        <v>32.9375</v>
      </c>
      <c r="DH70">
        <f>SUBTOTAL(101,Table46[2025-01-19])</f>
        <v>32.9375</v>
      </c>
      <c r="DI70">
        <f>SUBTOTAL(101,Table46[2025-01-20])</f>
        <v>32.9375</v>
      </c>
      <c r="DJ70">
        <f>SUBTOTAL(101,Table46[2025-01-21])</f>
        <v>32.9375</v>
      </c>
      <c r="DK70">
        <f>SUBTOTAL(101,Table46[2025-01-22])</f>
        <v>32.9375</v>
      </c>
      <c r="DL70">
        <f>SUBTOTAL(101,Table46[2025-01-23])</f>
        <v>32.9375</v>
      </c>
      <c r="DM70">
        <f>SUBTOTAL(101,Table46[2025-01-24])</f>
        <v>32.9375</v>
      </c>
      <c r="DN70">
        <f>SUBTOTAL(101,Table46[2025-01-25])</f>
        <v>32.9375</v>
      </c>
      <c r="DO70">
        <f>SUBTOTAL(101,Table46[2025-01-26])</f>
        <v>32.9375</v>
      </c>
      <c r="DP70">
        <f>SUBTOTAL(101,Table46[2025-01-27])</f>
        <v>32.9375</v>
      </c>
      <c r="DQ70">
        <f>SUBTOTAL(101,Table46[2025-01-28])</f>
        <v>32.9375</v>
      </c>
      <c r="DR70">
        <f>SUBTOTAL(101,Table46[2025-01-29])</f>
        <v>32.9375</v>
      </c>
      <c r="DS70">
        <f>SUBTOTAL(101,Table46[2025-01-30])</f>
        <v>32.9375</v>
      </c>
      <c r="DT70">
        <f>SUBTOTAL(101,Table46[2025-01-31])</f>
        <v>32.9375</v>
      </c>
      <c r="DU70">
        <f>SUBTOTAL(101,Table46[2025-02-01])</f>
        <v>32.9375</v>
      </c>
      <c r="DV70">
        <f>SUBTOTAL(101,Table46[2025-02-02])</f>
        <v>32.9375</v>
      </c>
      <c r="DW70">
        <f>SUBTOTAL(101,Table46[2025-02-03])</f>
        <v>32.9375</v>
      </c>
      <c r="DX70">
        <f>SUBTOTAL(101,Table46[2025-02-04])</f>
        <v>32.9375</v>
      </c>
      <c r="DY70">
        <f>SUBTOTAL(101,Table46[2025-02-05])</f>
        <v>32.9375</v>
      </c>
      <c r="DZ70">
        <f>SUBTOTAL(101,Table46[2025-02-06])</f>
        <v>32.9375</v>
      </c>
      <c r="EA70">
        <f>SUBTOTAL(101,Table46[2025-02-07])</f>
        <v>32.9375</v>
      </c>
      <c r="EB70">
        <f>SUBTOTAL(101,Table46[2025-02-08])</f>
        <v>32.9375</v>
      </c>
      <c r="EC70">
        <f>SUBTOTAL(101,Table46[2025-02-09])</f>
        <v>32.9375</v>
      </c>
      <c r="ED70">
        <f>SUBTOTAL(101,Table46[2025-02-10])</f>
        <v>32.9375</v>
      </c>
      <c r="EE70">
        <f>SUBTOTAL(101,Table46[2025-02-11])</f>
        <v>32.9375</v>
      </c>
      <c r="EF70">
        <f>SUBTOTAL(101,Table46[2025-02-12])</f>
        <v>32.9375</v>
      </c>
      <c r="EG70">
        <f>SUBTOTAL(101,Table46[2025-02-13])</f>
        <v>32.9375</v>
      </c>
      <c r="EH70">
        <f>SUBTOTAL(101,Table46[2025-02-14])</f>
        <v>32.9375</v>
      </c>
      <c r="EI70">
        <f>SUBTOTAL(101,Table46[2025-02-15])</f>
        <v>32.9375</v>
      </c>
      <c r="EJ70">
        <f>SUBTOTAL(101,Table46[2025-02-16])</f>
        <v>32.9375</v>
      </c>
      <c r="EK70">
        <f>SUBTOTAL(101,Table46[2025-02-17])</f>
        <v>32.9375</v>
      </c>
      <c r="EL70">
        <f>SUBTOTAL(101,Table46[2025-02-18])</f>
        <v>32.9375</v>
      </c>
      <c r="EM70">
        <f>SUBTOTAL(101,Table46[2025-02-19])</f>
        <v>32.9375</v>
      </c>
      <c r="EN70">
        <f>SUBTOTAL(101,Table46[2025-02-20])</f>
        <v>32.9375</v>
      </c>
      <c r="EO70">
        <f>SUBTOTAL(101,Table46[2025-02-21])</f>
        <v>32.9375</v>
      </c>
      <c r="EP70">
        <f>SUBTOTAL(101,Table46[2025-02-22])</f>
        <v>32.9375</v>
      </c>
      <c r="EQ70">
        <f>SUBTOTAL(101,Table46[2025-02-23])</f>
        <v>32.9375</v>
      </c>
      <c r="ER70">
        <f>SUBTOTAL(101,Table46[2025-02-24])</f>
        <v>32.9375</v>
      </c>
      <c r="ES70">
        <f>SUBTOTAL(101,Table46[2025-02-25])</f>
        <v>32.9375</v>
      </c>
      <c r="ET70">
        <f>SUBTOTAL(101,Table46[2025-02-26])</f>
        <v>32.9375</v>
      </c>
      <c r="EU70">
        <f>SUBTOTAL(101,Table46[2025-02-27])</f>
        <v>32.9375</v>
      </c>
      <c r="EV70">
        <f>SUBTOTAL(101,Table46[2025-02-28])</f>
        <v>32.9375</v>
      </c>
      <c r="EW70">
        <f>SUBTOTAL(101,Table46[2025-03-01])</f>
        <v>32.9375</v>
      </c>
      <c r="EX70">
        <f>SUBTOTAL(101,Table46[2025-03-02])</f>
        <v>32.9375</v>
      </c>
      <c r="EY70">
        <f>SUBTOTAL(101,Table46[2025-03-03])</f>
        <v>32.9375</v>
      </c>
      <c r="EZ70">
        <f>SUBTOTAL(101,Table46[2025-03-04])</f>
        <v>32.9375</v>
      </c>
      <c r="FA70">
        <f>SUBTOTAL(101,Table46[2025-03-05])</f>
        <v>32.9375</v>
      </c>
      <c r="FB70">
        <f>SUBTOTAL(101,Table46[2025-03-06])</f>
        <v>32.9375</v>
      </c>
      <c r="FC70">
        <f>SUBTOTAL(101,Table46[2025-03-07])</f>
        <v>32.9375</v>
      </c>
      <c r="FD70">
        <f>SUBTOTAL(101,Table46[2025-03-08])</f>
        <v>32.9375</v>
      </c>
      <c r="FE70">
        <f>SUBTOTAL(101,Table46[2025-03-09])</f>
        <v>32.9375</v>
      </c>
      <c r="FF70">
        <f>SUBTOTAL(101,Table46[2025-03-10])</f>
        <v>32.9375</v>
      </c>
      <c r="FG70">
        <f>SUBTOTAL(101,Table46[2025-03-11])</f>
        <v>32.9375</v>
      </c>
      <c r="FH70">
        <f>SUBTOTAL(101,Table46[2025-03-12])</f>
        <v>32.9375</v>
      </c>
      <c r="FI70">
        <f>SUBTOTAL(101,Table46[2025-03-13])</f>
        <v>32.9375</v>
      </c>
      <c r="FJ70">
        <f>SUBTOTAL(101,Table46[2025-03-14])</f>
        <v>32.9375</v>
      </c>
      <c r="FK70">
        <f>SUBTOTAL(101,Table46[2025-03-15])</f>
        <v>32.9375</v>
      </c>
      <c r="FL70">
        <f>SUBTOTAL(101,Table46[2025-03-16])</f>
        <v>32.9375</v>
      </c>
      <c r="FM70">
        <f>SUBTOTAL(101,Table46[2025-03-17])</f>
        <v>32.9375</v>
      </c>
      <c r="FN70">
        <f>SUBTOTAL(101,Table46[2025-03-18])</f>
        <v>32.9375</v>
      </c>
      <c r="FO70">
        <f>SUBTOTAL(101,Table46[2025-03-19])</f>
        <v>32.9375</v>
      </c>
      <c r="FP70">
        <f>SUBTOTAL(101,Table46[2025-03-20])</f>
        <v>32.9375</v>
      </c>
      <c r="FQ70">
        <f>SUBTOTAL(101,Table46[2025-03-21])</f>
        <v>32.9375</v>
      </c>
      <c r="FR70">
        <f>SUBTOTAL(101,Table46[2025-03-22])</f>
        <v>32.9375</v>
      </c>
      <c r="FS70">
        <f>SUBTOTAL(101,Table46[2025-03-23])</f>
        <v>32.9375</v>
      </c>
      <c r="FT70">
        <f>SUBTOTAL(101,Table46[2025-03-24])</f>
        <v>32.9375</v>
      </c>
      <c r="FU70">
        <f>SUBTOTAL(101,Table46[2025-03-25])</f>
        <v>32.9375</v>
      </c>
      <c r="FV70">
        <f>SUBTOTAL(101,Table46[2025-03-26])</f>
        <v>32.9375</v>
      </c>
      <c r="FW70">
        <f>SUBTOTAL(101,Table46[2025-03-27])</f>
        <v>32.9375</v>
      </c>
      <c r="FX70">
        <f>SUBTOTAL(101,Table46[2025-03-28])</f>
        <v>32.9375</v>
      </c>
      <c r="FY70">
        <f>SUBTOTAL(101,Table46[2025-03-29])</f>
        <v>32.9375</v>
      </c>
      <c r="FZ70">
        <f>SUBTOTAL(101,Table46[2025-03-30])</f>
        <v>32.9375</v>
      </c>
      <c r="GA70">
        <f>SUBTOTAL(101,Table46[2025-03-31])</f>
        <v>32.9375</v>
      </c>
      <c r="GB70">
        <f>SUBTOTAL(101,Table46[2025-04-01])</f>
        <v>32.9375</v>
      </c>
      <c r="GC70">
        <f>SUBTOTAL(101,Table46[2025-04-02])</f>
        <v>32.9375</v>
      </c>
      <c r="GD70">
        <f>SUBTOTAL(101,Table46[2025-04-03])</f>
        <v>32.9375</v>
      </c>
      <c r="GE70">
        <f>SUBTOTAL(101,Table46[2025-04-04])</f>
        <v>32.9375</v>
      </c>
      <c r="GF70">
        <f>SUBTOTAL(101,Table46[2025-04-05])</f>
        <v>32.9375</v>
      </c>
      <c r="GG70">
        <f>SUBTOTAL(101,Table46[2025-04-06])</f>
        <v>32.9375</v>
      </c>
      <c r="GH70">
        <f>SUBTOTAL(101,Table46[2025-04-07])</f>
        <v>32.9375</v>
      </c>
      <c r="GI70">
        <f>SUBTOTAL(101,Table46[2025-04-08])</f>
        <v>32.9375</v>
      </c>
      <c r="GJ70">
        <f>SUBTOTAL(101,Table46[2025-04-09])</f>
        <v>32.9375</v>
      </c>
      <c r="GK70">
        <f>SUBTOTAL(101,Table46[2025-04-10])</f>
        <v>32.9375</v>
      </c>
      <c r="GL70">
        <f>SUBTOTAL(101,Table46[2025-04-11])</f>
        <v>32.9375</v>
      </c>
      <c r="GM70">
        <f>SUBTOTAL(101,Table46[2025-04-12])</f>
        <v>32.9375</v>
      </c>
      <c r="GN70">
        <f>SUBTOTAL(101,Table46[2025-04-13])</f>
        <v>32.9375</v>
      </c>
      <c r="GO70">
        <f>SUBTOTAL(101,Table46[2025-04-14])</f>
        <v>32.9375</v>
      </c>
      <c r="GP70">
        <f>SUBTOTAL(101,Table46[2025-04-15])</f>
        <v>32.9375</v>
      </c>
      <c r="GQ70">
        <f>SUBTOTAL(101,Table46[2025-04-16])</f>
        <v>32.9375</v>
      </c>
      <c r="GR70">
        <f>SUBTOTAL(101,Table46[2025-04-17])</f>
        <v>32.9375</v>
      </c>
      <c r="GS70">
        <f>SUBTOTAL(101,Table46[2025-04-18])</f>
        <v>32.9375</v>
      </c>
      <c r="GT70">
        <f>SUBTOTAL(101,Table46[2025-04-19])</f>
        <v>32.9375</v>
      </c>
      <c r="GU70">
        <f>SUBTOTAL(101,Table46[2025-04-20])</f>
        <v>32.9375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7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66">
        <f>BO3+BO4</f>
        <v>82</v>
      </c>
    </row>
    <row r="4" spans="1:68" ht="9.9499999999999993" customHeight="1" x14ac:dyDescent="0.25">
      <c r="A4" s="168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66"/>
    </row>
    <row r="5" spans="1:68" ht="9.9499999999999993" customHeight="1" x14ac:dyDescent="0.25">
      <c r="A5" s="167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66">
        <f t="shared" ref="BP5" si="1">BO5+BO6</f>
        <v>82</v>
      </c>
    </row>
    <row r="6" spans="1:68" ht="9.9499999999999993" customHeight="1" x14ac:dyDescent="0.25">
      <c r="A6" s="168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66"/>
    </row>
    <row r="7" spans="1:68" ht="9.9499999999999993" customHeight="1" x14ac:dyDescent="0.25">
      <c r="A7" s="167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66">
        <f t="shared" ref="BP7" si="2">BO7+BO8</f>
        <v>82</v>
      </c>
    </row>
    <row r="8" spans="1:68" ht="9.9499999999999993" customHeight="1" x14ac:dyDescent="0.25">
      <c r="A8" s="168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66"/>
    </row>
    <row r="9" spans="1:68" ht="9.9499999999999993" customHeight="1" x14ac:dyDescent="0.25">
      <c r="A9" s="167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66">
        <f t="shared" ref="BP9" si="3">BO9+BO10</f>
        <v>82</v>
      </c>
    </row>
    <row r="10" spans="1:68" ht="9.9499999999999993" customHeight="1" x14ac:dyDescent="0.25">
      <c r="A10" s="168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66"/>
    </row>
    <row r="11" spans="1:68" ht="9.9499999999999993" customHeight="1" x14ac:dyDescent="0.25">
      <c r="A11" s="167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66">
        <f t="shared" ref="BP11" si="4">BO11+BO12</f>
        <v>82</v>
      </c>
    </row>
    <row r="12" spans="1:68" ht="9.9499999999999993" customHeight="1" x14ac:dyDescent="0.25">
      <c r="A12" s="168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66"/>
    </row>
    <row r="13" spans="1:68" ht="9.9499999999999993" customHeight="1" x14ac:dyDescent="0.25">
      <c r="A13" s="167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66">
        <f t="shared" ref="BP13" si="5">BO13+BO14</f>
        <v>82</v>
      </c>
    </row>
    <row r="14" spans="1:68" ht="9.9499999999999993" customHeight="1" x14ac:dyDescent="0.25">
      <c r="A14" s="168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66"/>
    </row>
    <row r="15" spans="1:68" ht="9.9499999999999993" customHeight="1" x14ac:dyDescent="0.25">
      <c r="A15" s="167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66">
        <f t="shared" ref="BP15" si="6">BO15+BO16</f>
        <v>82</v>
      </c>
    </row>
    <row r="16" spans="1:68" ht="9.9499999999999993" customHeight="1" x14ac:dyDescent="0.25">
      <c r="A16" s="168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66"/>
    </row>
    <row r="17" spans="1:68" ht="9.9499999999999993" customHeight="1" x14ac:dyDescent="0.25">
      <c r="A17" s="167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66">
        <f t="shared" ref="BP17" si="7">BO17+BO18</f>
        <v>82</v>
      </c>
    </row>
    <row r="18" spans="1:68" ht="9.9499999999999993" customHeight="1" x14ac:dyDescent="0.25">
      <c r="A18" s="168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66"/>
    </row>
    <row r="19" spans="1:68" ht="9.9499999999999993" customHeight="1" x14ac:dyDescent="0.25">
      <c r="A19" s="167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66">
        <f t="shared" ref="BP19" si="8">BO19+BO20</f>
        <v>82</v>
      </c>
    </row>
    <row r="20" spans="1:68" ht="9.9499999999999993" customHeight="1" x14ac:dyDescent="0.25">
      <c r="A20" s="168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66"/>
    </row>
    <row r="21" spans="1:68" ht="9.9499999999999993" customHeight="1" x14ac:dyDescent="0.25">
      <c r="A21" s="167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66">
        <f t="shared" ref="BP21" si="9">BO21+BO22</f>
        <v>82</v>
      </c>
    </row>
    <row r="22" spans="1:68" ht="9.9499999999999993" customHeight="1" x14ac:dyDescent="0.25">
      <c r="A22" s="168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66"/>
    </row>
    <row r="23" spans="1:68" ht="9.9499999999999993" customHeight="1" x14ac:dyDescent="0.25">
      <c r="A23" s="167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66">
        <f t="shared" ref="BP23" si="10">BO23+BO24</f>
        <v>82</v>
      </c>
    </row>
    <row r="24" spans="1:68" ht="9.9499999999999993" customHeight="1" x14ac:dyDescent="0.25">
      <c r="A24" s="168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66"/>
    </row>
    <row r="25" spans="1:68" ht="9.9499999999999993" customHeight="1" x14ac:dyDescent="0.25">
      <c r="A25" s="167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66">
        <f t="shared" ref="BP25" si="11">BO25+BO26</f>
        <v>82</v>
      </c>
    </row>
    <row r="26" spans="1:68" ht="9.9499999999999993" customHeight="1" x14ac:dyDescent="0.25">
      <c r="A26" s="168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66"/>
    </row>
    <row r="27" spans="1:68" ht="9.9499999999999993" customHeight="1" x14ac:dyDescent="0.25">
      <c r="A27" s="167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66">
        <f t="shared" ref="BP27" si="12">BO27+BO28</f>
        <v>82</v>
      </c>
    </row>
    <row r="28" spans="1:68" ht="9.9499999999999993" customHeight="1" x14ac:dyDescent="0.25">
      <c r="A28" s="168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66"/>
    </row>
    <row r="29" spans="1:68" ht="9.9499999999999993" customHeight="1" x14ac:dyDescent="0.25">
      <c r="A29" s="167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66">
        <f t="shared" ref="BP29" si="13">BO29+BO30</f>
        <v>82</v>
      </c>
    </row>
    <row r="30" spans="1:68" ht="9.9499999999999993" customHeight="1" x14ac:dyDescent="0.25">
      <c r="A30" s="168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66"/>
    </row>
    <row r="31" spans="1:68" ht="9.9499999999999993" customHeight="1" x14ac:dyDescent="0.25">
      <c r="A31" s="167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66">
        <f t="shared" ref="BP31" si="14">BO31+BO32</f>
        <v>82</v>
      </c>
    </row>
    <row r="32" spans="1:68" ht="9.9499999999999993" customHeight="1" x14ac:dyDescent="0.25">
      <c r="A32" s="168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66"/>
    </row>
    <row r="33" spans="1:68" ht="9.9499999999999993" customHeight="1" x14ac:dyDescent="0.25">
      <c r="A33" s="167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66">
        <f t="shared" ref="BP33" si="15">BO33+BO34</f>
        <v>82</v>
      </c>
    </row>
    <row r="34" spans="1:68" ht="9.9499999999999993" customHeight="1" x14ac:dyDescent="0.25">
      <c r="A34" s="168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66"/>
    </row>
    <row r="35" spans="1:68" ht="9.9499999999999993" customHeight="1" x14ac:dyDescent="0.25">
      <c r="A35" s="167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66">
        <f t="shared" ref="BP35" si="16">BO35+BO36</f>
        <v>82</v>
      </c>
    </row>
    <row r="36" spans="1:68" ht="9.9499999999999993" customHeight="1" x14ac:dyDescent="0.25">
      <c r="A36" s="168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66"/>
    </row>
    <row r="37" spans="1:68" ht="9.9499999999999993" customHeight="1" x14ac:dyDescent="0.25">
      <c r="A37" s="167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66">
        <f t="shared" ref="BP37" si="17">BO37+BO38</f>
        <v>82</v>
      </c>
    </row>
    <row r="38" spans="1:68" ht="9.9499999999999993" customHeight="1" x14ac:dyDescent="0.25">
      <c r="A38" s="168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66"/>
    </row>
    <row r="39" spans="1:68" ht="9.9499999999999993" customHeight="1" x14ac:dyDescent="0.25">
      <c r="A39" s="167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66">
        <f t="shared" ref="BP39" si="18">BO39+BO40</f>
        <v>82</v>
      </c>
    </row>
    <row r="40" spans="1:68" ht="9.9499999999999993" customHeight="1" x14ac:dyDescent="0.25">
      <c r="A40" s="168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66"/>
    </row>
    <row r="41" spans="1:68" ht="9.9499999999999993" customHeight="1" x14ac:dyDescent="0.25">
      <c r="A41" s="167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66">
        <f t="shared" ref="BP41" si="19">BO41+BO42</f>
        <v>82</v>
      </c>
    </row>
    <row r="42" spans="1:68" ht="9.9499999999999993" customHeight="1" x14ac:dyDescent="0.25">
      <c r="A42" s="168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66"/>
    </row>
    <row r="43" spans="1:68" ht="9.9499999999999993" customHeight="1" x14ac:dyDescent="0.25">
      <c r="A43" s="167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66">
        <f t="shared" ref="BP43" si="20">BO43+BO44</f>
        <v>82</v>
      </c>
    </row>
    <row r="44" spans="1:68" ht="9.9499999999999993" customHeight="1" x14ac:dyDescent="0.25">
      <c r="A44" s="168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66"/>
    </row>
    <row r="45" spans="1:68" ht="9.9499999999999993" customHeight="1" x14ac:dyDescent="0.25">
      <c r="A45" s="167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66">
        <f t="shared" ref="BP45" si="21">BO45+BO46</f>
        <v>82</v>
      </c>
    </row>
    <row r="46" spans="1:68" ht="9.9499999999999993" customHeight="1" x14ac:dyDescent="0.25">
      <c r="A46" s="168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66"/>
    </row>
    <row r="47" spans="1:68" ht="9.9499999999999993" customHeight="1" x14ac:dyDescent="0.25">
      <c r="A47" s="167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66">
        <f t="shared" ref="BP47" si="22">BO47+BO48</f>
        <v>82</v>
      </c>
    </row>
    <row r="48" spans="1:68" ht="9.9499999999999993" customHeight="1" x14ac:dyDescent="0.25">
      <c r="A48" s="168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66"/>
    </row>
    <row r="49" spans="1:68" ht="9.9499999999999993" customHeight="1" x14ac:dyDescent="0.25">
      <c r="A49" s="167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66">
        <f t="shared" ref="BP49" si="23">BO49+BO50</f>
        <v>82</v>
      </c>
    </row>
    <row r="50" spans="1:68" ht="9.9499999999999993" customHeight="1" x14ac:dyDescent="0.25">
      <c r="A50" s="168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66"/>
    </row>
    <row r="51" spans="1:68" ht="9.9499999999999993" customHeight="1" x14ac:dyDescent="0.25">
      <c r="A51" s="167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66">
        <f t="shared" ref="BP51" si="24">BO51+BO52</f>
        <v>82</v>
      </c>
    </row>
    <row r="52" spans="1:68" ht="9.9499999999999993" customHeight="1" x14ac:dyDescent="0.25">
      <c r="A52" s="168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66"/>
    </row>
    <row r="53" spans="1:68" ht="9.9499999999999993" customHeight="1" x14ac:dyDescent="0.25">
      <c r="A53" s="167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66">
        <f t="shared" ref="BP53" si="25">BO53+BO54</f>
        <v>82</v>
      </c>
    </row>
    <row r="54" spans="1:68" ht="9.9499999999999993" customHeight="1" x14ac:dyDescent="0.25">
      <c r="A54" s="168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66"/>
    </row>
    <row r="55" spans="1:68" ht="9.9499999999999993" customHeight="1" x14ac:dyDescent="0.25">
      <c r="A55" s="167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66">
        <f t="shared" ref="BP55" si="26">BO55+BO56</f>
        <v>82</v>
      </c>
    </row>
    <row r="56" spans="1:68" ht="9.9499999999999993" customHeight="1" x14ac:dyDescent="0.25">
      <c r="A56" s="168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66"/>
    </row>
    <row r="57" spans="1:68" ht="9.9499999999999993" customHeight="1" x14ac:dyDescent="0.25">
      <c r="A57" s="167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66">
        <f t="shared" ref="BP57" si="27">BO57+BO58</f>
        <v>82</v>
      </c>
    </row>
    <row r="58" spans="1:68" ht="9.9499999999999993" customHeight="1" x14ac:dyDescent="0.25">
      <c r="A58" s="168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66"/>
    </row>
    <row r="59" spans="1:68" ht="9.9499999999999993" customHeight="1" x14ac:dyDescent="0.25">
      <c r="A59" s="167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66">
        <f t="shared" ref="BP59" si="28">BO59+BO60</f>
        <v>82</v>
      </c>
    </row>
    <row r="60" spans="1:68" ht="9.9499999999999993" customHeight="1" x14ac:dyDescent="0.25">
      <c r="A60" s="168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66"/>
    </row>
    <row r="61" spans="1:68" ht="9.9499999999999993" customHeight="1" x14ac:dyDescent="0.25">
      <c r="A61" s="167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66">
        <f t="shared" ref="BP61" si="29">BO61+BO62</f>
        <v>82</v>
      </c>
    </row>
    <row r="62" spans="1:68" ht="9.9499999999999993" customHeight="1" x14ac:dyDescent="0.25">
      <c r="A62" s="168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66"/>
    </row>
    <row r="63" spans="1:68" ht="9.9499999999999993" customHeight="1" x14ac:dyDescent="0.25">
      <c r="A63" s="167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66">
        <f t="shared" ref="BP63" si="30">BO63+BO64</f>
        <v>82</v>
      </c>
    </row>
    <row r="64" spans="1:68" ht="9.9499999999999993" customHeight="1" x14ac:dyDescent="0.25">
      <c r="A64" s="168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66"/>
    </row>
    <row r="65" spans="1:68" ht="9.9499999999999993" customHeight="1" x14ac:dyDescent="0.25">
      <c r="A65" s="167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66">
        <f t="shared" ref="BP65" si="31">BO65+BO66</f>
        <v>82</v>
      </c>
    </row>
    <row r="66" spans="1:68" ht="9.9499999999999993" customHeight="1" x14ac:dyDescent="0.25">
      <c r="A66" s="168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66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14</v>
      </c>
      <c r="BP3" s="166">
        <f>BO3+BO4</f>
        <v>29</v>
      </c>
      <c r="BQ3" s="167">
        <f>82-BP3</f>
        <v>53</v>
      </c>
    </row>
    <row r="4" spans="1:69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1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2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1</v>
      </c>
      <c r="BN4" s="39"/>
      <c r="BO4" s="34">
        <f>SUM(C4:BN4)</f>
        <v>15</v>
      </c>
      <c r="BP4" s="166"/>
      <c r="BQ4" s="167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1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14</v>
      </c>
      <c r="BP5" s="166">
        <f t="shared" ref="BP5" si="1">BO5+BO6</f>
        <v>30</v>
      </c>
      <c r="BQ5" s="167">
        <f t="shared" ref="BQ5" si="2">82-BP5</f>
        <v>52</v>
      </c>
    </row>
    <row r="6" spans="1:69" ht="9.9499999999999993" customHeight="1" x14ac:dyDescent="0.25">
      <c r="A6" s="168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1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1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16</v>
      </c>
      <c r="BP6" s="166"/>
      <c r="BQ6" s="167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1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1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1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13</v>
      </c>
      <c r="BP7" s="166">
        <f t="shared" ref="BP7" si="3">BO7+BO8</f>
        <v>29</v>
      </c>
      <c r="BQ7" s="167">
        <f t="shared" ref="BQ7" si="4">82-BP7</f>
        <v>53</v>
      </c>
    </row>
    <row r="8" spans="1:69" ht="9.9499999999999993" customHeight="1" x14ac:dyDescent="0.25">
      <c r="A8" s="168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66"/>
      <c r="BQ8" s="167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66">
        <f t="shared" ref="BP9" si="5">BO9+BO10</f>
        <v>28</v>
      </c>
      <c r="BQ9" s="167">
        <f t="shared" ref="BQ9" si="6">82-BP9</f>
        <v>54</v>
      </c>
    </row>
    <row r="10" spans="1:69" ht="9.9499999999999993" customHeight="1" x14ac:dyDescent="0.25">
      <c r="A10" s="168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1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1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1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15</v>
      </c>
      <c r="BP10" s="166"/>
      <c r="BQ10" s="167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1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2</v>
      </c>
      <c r="BO11" s="30">
        <f t="shared" si="0"/>
        <v>17</v>
      </c>
      <c r="BP11" s="166">
        <f t="shared" ref="BP11" si="7">BO11+BO12</f>
        <v>29</v>
      </c>
      <c r="BQ11" s="167">
        <f t="shared" ref="BQ11" si="8">82-BP11</f>
        <v>53</v>
      </c>
    </row>
    <row r="12" spans="1:69" ht="9.9499999999999993" customHeight="1" x14ac:dyDescent="0.25">
      <c r="A12" s="168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1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12</v>
      </c>
      <c r="BP12" s="166"/>
      <c r="BQ12" s="167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2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18</v>
      </c>
      <c r="BP13" s="166">
        <f t="shared" ref="BP13" si="9">BO13+BO14</f>
        <v>31</v>
      </c>
      <c r="BQ13" s="167">
        <f t="shared" ref="BQ13" si="10">82-BP13</f>
        <v>51</v>
      </c>
    </row>
    <row r="14" spans="1:69" ht="9.9499999999999993" customHeight="1" x14ac:dyDescent="0.25">
      <c r="A14" s="168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1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1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1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13</v>
      </c>
      <c r="BP14" s="166"/>
      <c r="BQ14" s="167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1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2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1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15</v>
      </c>
      <c r="BP15" s="166">
        <f t="shared" ref="BP15" si="11">BO15+BO16</f>
        <v>29</v>
      </c>
      <c r="BQ15" s="167">
        <f t="shared" ref="BQ15" si="12">82-BP15</f>
        <v>53</v>
      </c>
    </row>
    <row r="16" spans="1:69" ht="9.9499999999999993" customHeight="1" x14ac:dyDescent="0.25">
      <c r="A16" s="168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14</v>
      </c>
      <c r="BP16" s="166"/>
      <c r="BQ16" s="167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1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1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1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1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16</v>
      </c>
      <c r="BP17" s="166">
        <f t="shared" ref="BP17" si="13">BO17+BO18</f>
        <v>29</v>
      </c>
      <c r="BQ17" s="167">
        <f t="shared" ref="BQ17" si="14">82-BP17</f>
        <v>53</v>
      </c>
    </row>
    <row r="18" spans="1:69" ht="9.9499999999999993" customHeight="1" x14ac:dyDescent="0.25">
      <c r="A18" s="168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1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13</v>
      </c>
      <c r="BP18" s="166"/>
      <c r="BQ18" s="167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1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1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15</v>
      </c>
      <c r="BP19" s="166">
        <f t="shared" ref="BP19" si="15">BO19+BO20</f>
        <v>30</v>
      </c>
      <c r="BQ19" s="167">
        <f t="shared" ref="BQ19" si="16">82-BP19</f>
        <v>52</v>
      </c>
    </row>
    <row r="20" spans="1:69" ht="9.9499999999999993" customHeight="1" x14ac:dyDescent="0.25">
      <c r="A20" s="168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1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1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15</v>
      </c>
      <c r="BP20" s="166"/>
      <c r="BQ20" s="167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1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1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1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14</v>
      </c>
      <c r="BP21" s="166">
        <f t="shared" ref="BP21" si="17">BO21+BO22</f>
        <v>30</v>
      </c>
      <c r="BQ21" s="167">
        <f t="shared" ref="BQ21" si="18">82-BP21</f>
        <v>52</v>
      </c>
    </row>
    <row r="22" spans="1:69" ht="9.9499999999999993" customHeight="1" x14ac:dyDescent="0.25">
      <c r="A22" s="168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1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16</v>
      </c>
      <c r="BP22" s="166"/>
      <c r="BQ22" s="167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17</v>
      </c>
      <c r="BP23" s="166">
        <f t="shared" ref="BP23" si="19">BO23+BO24</f>
        <v>29</v>
      </c>
      <c r="BQ23" s="167">
        <f t="shared" ref="BQ23" si="20">82-BP23</f>
        <v>53</v>
      </c>
    </row>
    <row r="24" spans="1:69" ht="9.9499999999999993" customHeight="1" x14ac:dyDescent="0.25">
      <c r="A24" s="168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1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1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1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12</v>
      </c>
      <c r="BP24" s="166"/>
      <c r="BQ24" s="167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10</v>
      </c>
      <c r="BP25" s="166">
        <f t="shared" ref="BP25" si="21">BO25+BO26</f>
        <v>28</v>
      </c>
      <c r="BQ25" s="167">
        <f t="shared" ref="BQ25" si="22">82-BP25</f>
        <v>54</v>
      </c>
    </row>
    <row r="26" spans="1:69" ht="9.9499999999999993" customHeight="1" x14ac:dyDescent="0.25">
      <c r="A26" s="168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1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1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1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1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18</v>
      </c>
      <c r="BP26" s="166"/>
      <c r="BQ26" s="167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1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16</v>
      </c>
      <c r="BP27" s="166">
        <f t="shared" ref="BP27" si="23">BO27+BO28</f>
        <v>29</v>
      </c>
      <c r="BQ27" s="167">
        <f t="shared" ref="BQ27" si="24">82-BP27</f>
        <v>53</v>
      </c>
    </row>
    <row r="28" spans="1:69" ht="9.9499999999999993" customHeight="1" x14ac:dyDescent="0.25">
      <c r="A28" s="168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2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1</v>
      </c>
      <c r="BN28" s="39"/>
      <c r="BO28" s="34">
        <f t="shared" si="0"/>
        <v>13</v>
      </c>
      <c r="BP28" s="166"/>
      <c r="BQ28" s="167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1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1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1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1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15</v>
      </c>
      <c r="BP29" s="166">
        <f t="shared" ref="BP29" si="25">BO29+BO30</f>
        <v>30</v>
      </c>
      <c r="BQ29" s="167">
        <f t="shared" ref="BQ29" si="26">82-BP29</f>
        <v>52</v>
      </c>
    </row>
    <row r="30" spans="1:69" ht="9.9499999999999993" customHeight="1" x14ac:dyDescent="0.25">
      <c r="A30" s="168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15</v>
      </c>
      <c r="BP30" s="166"/>
      <c r="BQ30" s="167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2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13</v>
      </c>
      <c r="BP31" s="166">
        <f t="shared" ref="BP31" si="27">BO31+BO32</f>
        <v>28</v>
      </c>
      <c r="BQ31" s="167">
        <f t="shared" ref="BQ31" si="28">82-BP31</f>
        <v>54</v>
      </c>
    </row>
    <row r="32" spans="1:69" ht="9.9499999999999993" customHeight="1" x14ac:dyDescent="0.25">
      <c r="A32" s="168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2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1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1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15</v>
      </c>
      <c r="BP32" s="166"/>
      <c r="BQ32" s="167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1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15</v>
      </c>
      <c r="BP33" s="166">
        <f t="shared" ref="BP33" si="29">BO33+BO34</f>
        <v>29</v>
      </c>
      <c r="BQ33" s="167">
        <f t="shared" ref="BQ33" si="30">82-BP33</f>
        <v>53</v>
      </c>
    </row>
    <row r="34" spans="1:69" ht="9.9499999999999993" customHeight="1" x14ac:dyDescent="0.25">
      <c r="A34" s="168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1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1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14</v>
      </c>
      <c r="BP34" s="166"/>
      <c r="BQ34" s="167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1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1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12</v>
      </c>
      <c r="BP35" s="166">
        <f t="shared" ref="BP35" si="31">BO35+BO36</f>
        <v>28</v>
      </c>
      <c r="BQ35" s="167">
        <f t="shared" ref="BQ35" si="32">82-BP35</f>
        <v>54</v>
      </c>
    </row>
    <row r="36" spans="1:69" ht="9.9499999999999993" customHeight="1" x14ac:dyDescent="0.25">
      <c r="A36" s="168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2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1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16</v>
      </c>
      <c r="BP36" s="166"/>
      <c r="BQ36" s="167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1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1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15</v>
      </c>
      <c r="BP37" s="166">
        <f t="shared" ref="BP37" si="33">BO37+BO38</f>
        <v>30</v>
      </c>
      <c r="BQ37" s="167">
        <f t="shared" ref="BQ37" si="34">82-BP37</f>
        <v>52</v>
      </c>
    </row>
    <row r="38" spans="1:69" ht="9.9499999999999993" customHeight="1" x14ac:dyDescent="0.25">
      <c r="A38" s="168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1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1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15</v>
      </c>
      <c r="BP38" s="166"/>
      <c r="BQ38" s="167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1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17</v>
      </c>
      <c r="BP39" s="166">
        <f t="shared" ref="BP39" si="35">BO39+BO40</f>
        <v>31</v>
      </c>
      <c r="BQ39" s="167">
        <f t="shared" ref="BQ39" si="36">82-BP39</f>
        <v>51</v>
      </c>
    </row>
    <row r="40" spans="1:69" ht="9.9499999999999993" customHeight="1" x14ac:dyDescent="0.25">
      <c r="A40" s="168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1</v>
      </c>
      <c r="R40" s="39"/>
      <c r="S40" s="38">
        <f>COUNTIFS(DataRegularSeason20242025!$D$2:$D$1315,TotalTeamGames20242025!S$1,DataRegularSeason20242025!$E$2:$E$1315,TotalTeamGames20242025!$A39,DataRegularSeason20242025!$N$2:$N$1315,1)</f>
        <v>1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1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14</v>
      </c>
      <c r="BP40" s="166"/>
      <c r="BQ40" s="167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2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15</v>
      </c>
      <c r="BP41" s="166">
        <f t="shared" ref="BP41" si="37">BO41+BO42</f>
        <v>28</v>
      </c>
      <c r="BQ41" s="167">
        <f t="shared" ref="BQ41" si="38">82-BP41</f>
        <v>54</v>
      </c>
    </row>
    <row r="42" spans="1:69" ht="9.9499999999999993" customHeight="1" x14ac:dyDescent="0.25">
      <c r="A42" s="168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1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1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13</v>
      </c>
      <c r="BP42" s="166"/>
      <c r="BQ42" s="167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11</v>
      </c>
      <c r="BP43" s="166">
        <f t="shared" ref="BP43" si="39">BO43+BO44</f>
        <v>27</v>
      </c>
      <c r="BQ43" s="167">
        <f t="shared" ref="BQ43" si="40">82-BP43</f>
        <v>55</v>
      </c>
    </row>
    <row r="44" spans="1:69" ht="9.9499999999999993" customHeight="1" x14ac:dyDescent="0.25">
      <c r="A44" s="168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1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1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16</v>
      </c>
      <c r="BP44" s="166"/>
      <c r="BQ44" s="167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1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1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15</v>
      </c>
      <c r="BP45" s="166">
        <f t="shared" ref="BP45" si="41">BO45+BO46</f>
        <v>27</v>
      </c>
      <c r="BQ45" s="167">
        <f t="shared" ref="BQ45" si="42">82-BP45</f>
        <v>55</v>
      </c>
    </row>
    <row r="46" spans="1:69" ht="9.9499999999999993" customHeight="1" x14ac:dyDescent="0.25">
      <c r="A46" s="168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12</v>
      </c>
      <c r="BP46" s="166"/>
      <c r="BQ46" s="167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1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13</v>
      </c>
      <c r="BP47" s="166">
        <f t="shared" ref="BP47" si="43">BO47+BO48</f>
        <v>27</v>
      </c>
      <c r="BQ47" s="167">
        <f t="shared" ref="BQ47" si="44">82-BP47</f>
        <v>55</v>
      </c>
    </row>
    <row r="48" spans="1:69" ht="9.9499999999999993" customHeight="1" x14ac:dyDescent="0.25">
      <c r="A48" s="168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1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1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14</v>
      </c>
      <c r="BP48" s="166"/>
      <c r="BQ48" s="167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1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1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13</v>
      </c>
      <c r="BP49" s="166">
        <f t="shared" ref="BP49" si="45">BO49+BO50</f>
        <v>30</v>
      </c>
      <c r="BQ49" s="167">
        <f t="shared" ref="BQ49" si="46">82-BP49</f>
        <v>52</v>
      </c>
    </row>
    <row r="50" spans="1:69" ht="9.9499999999999993" customHeight="1" x14ac:dyDescent="0.25">
      <c r="A50" s="168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1</v>
      </c>
      <c r="BN50" s="39"/>
      <c r="BO50" s="34">
        <f t="shared" si="0"/>
        <v>17</v>
      </c>
      <c r="BP50" s="166"/>
      <c r="BQ50" s="167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1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1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1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15</v>
      </c>
      <c r="BP51" s="166">
        <f t="shared" ref="BP51" si="47">BO51+BO52</f>
        <v>30</v>
      </c>
      <c r="BQ51" s="167">
        <f t="shared" ref="BQ51" si="48">82-BP51</f>
        <v>52</v>
      </c>
    </row>
    <row r="52" spans="1:69" ht="9.9499999999999993" customHeight="1" x14ac:dyDescent="0.25">
      <c r="A52" s="168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15</v>
      </c>
      <c r="BP52" s="166"/>
      <c r="BQ52" s="167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1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1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14</v>
      </c>
      <c r="BP53" s="166">
        <f t="shared" ref="BP53" si="49">BO53+BO54</f>
        <v>29</v>
      </c>
      <c r="BQ53" s="167">
        <f t="shared" ref="BQ53" si="50">82-BP53</f>
        <v>53</v>
      </c>
    </row>
    <row r="54" spans="1:69" ht="9.9499999999999993" customHeight="1" x14ac:dyDescent="0.25">
      <c r="A54" s="168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1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1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15</v>
      </c>
      <c r="BP54" s="166"/>
      <c r="BQ54" s="167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1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1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12</v>
      </c>
      <c r="BP55" s="166">
        <f t="shared" ref="BP55" si="51">BO55+BO56</f>
        <v>29</v>
      </c>
      <c r="BQ55" s="167">
        <f t="shared" ref="BQ55" si="52">82-BP55</f>
        <v>53</v>
      </c>
    </row>
    <row r="56" spans="1:69" ht="9.9499999999999993" customHeight="1" x14ac:dyDescent="0.25">
      <c r="A56" s="168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2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1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17</v>
      </c>
      <c r="BP56" s="166"/>
      <c r="BQ56" s="167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2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1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1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19</v>
      </c>
      <c r="BP57" s="166">
        <f t="shared" ref="BP57" si="53">BO57+BO58</f>
        <v>31</v>
      </c>
      <c r="BQ57" s="167">
        <f t="shared" ref="BQ57" si="54">82-BP57</f>
        <v>51</v>
      </c>
    </row>
    <row r="58" spans="1:69" ht="9.9499999999999993" customHeight="1" x14ac:dyDescent="0.25">
      <c r="A58" s="168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1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12</v>
      </c>
      <c r="BP58" s="166"/>
      <c r="BQ58" s="167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1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16</v>
      </c>
      <c r="BP59" s="166">
        <f t="shared" ref="BP59" si="55">BO59+BO60</f>
        <v>30</v>
      </c>
      <c r="BQ59" s="167">
        <f t="shared" ref="BQ59" si="56">82-BP59</f>
        <v>52</v>
      </c>
    </row>
    <row r="60" spans="1:69" ht="9.9499999999999993" customHeight="1" x14ac:dyDescent="0.25">
      <c r="A60" s="168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1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1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1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14</v>
      </c>
      <c r="BP60" s="166"/>
      <c r="BQ60" s="167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1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1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13</v>
      </c>
      <c r="BP61" s="166">
        <f t="shared" ref="BP61" si="57">BO61+BO62</f>
        <v>28</v>
      </c>
      <c r="BQ61" s="167">
        <f t="shared" ref="BQ61" si="58">82-BP61</f>
        <v>54</v>
      </c>
    </row>
    <row r="62" spans="1:69" ht="9.9499999999999993" customHeight="1" x14ac:dyDescent="0.25">
      <c r="A62" s="168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1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15</v>
      </c>
      <c r="BP62" s="166"/>
      <c r="BQ62" s="167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1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1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16</v>
      </c>
      <c r="BP63" s="166">
        <f t="shared" ref="BP63" si="59">BO63+BO64</f>
        <v>28</v>
      </c>
      <c r="BQ63" s="167">
        <f t="shared" ref="BQ63" si="60">82-BP63</f>
        <v>54</v>
      </c>
    </row>
    <row r="64" spans="1:69" ht="9.9499999999999993" customHeight="1" x14ac:dyDescent="0.25">
      <c r="A64" s="168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1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12</v>
      </c>
      <c r="BP64" s="166"/>
      <c r="BQ64" s="167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1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1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1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14</v>
      </c>
      <c r="BP65" s="166">
        <f t="shared" ref="BP65" si="61">BO65+BO66</f>
        <v>30</v>
      </c>
      <c r="BQ65" s="167">
        <f t="shared" ref="BQ65" si="62">82-BP65</f>
        <v>52</v>
      </c>
    </row>
    <row r="66" spans="1:69" ht="9.9499999999999993" customHeight="1" x14ac:dyDescent="0.25">
      <c r="A66" s="168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2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16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465</v>
      </c>
      <c r="BQ67" s="27">
        <f>SUM(BQ3:BQ66)/2</f>
        <v>847</v>
      </c>
    </row>
    <row r="68" spans="1:69" x14ac:dyDescent="0.25">
      <c r="BP68" s="43">
        <f>2*BP67/SUM(BP3:BQ66)</f>
        <v>0.35442073170731708</v>
      </c>
      <c r="BQ68" s="43">
        <f>2*BQ67/SUM(BP3:BQ66)</f>
        <v>0.64557926829268297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BP11" sqref="BP11:BP12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14</v>
      </c>
      <c r="BP3" s="166">
        <f>BO3+BO4</f>
        <v>29</v>
      </c>
      <c r="BQ3" s="167">
        <f>82-BP3</f>
        <v>53</v>
      </c>
      <c r="BR3" s="174">
        <f t="shared" ref="BR3" si="0">BP3/(BP3+BQ3)</f>
        <v>0.35365853658536583</v>
      </c>
    </row>
    <row r="4" spans="1:70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66"/>
      <c r="BQ4" s="167"/>
      <c r="BR4" s="174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18</v>
      </c>
      <c r="BP5" s="166">
        <f t="shared" ref="BP5" si="2">BO5+BO6</f>
        <v>31</v>
      </c>
      <c r="BQ5" s="167">
        <f t="shared" ref="BQ5" si="3">82-BP5</f>
        <v>51</v>
      </c>
      <c r="BR5" s="174">
        <f t="shared" ref="BR5" si="4">BP5/(BP5+BQ5)</f>
        <v>0.37804878048780488</v>
      </c>
    </row>
    <row r="6" spans="1:70" ht="9.9499999999999993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13</v>
      </c>
      <c r="BP6" s="166"/>
      <c r="BQ6" s="167"/>
      <c r="BR6" s="174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17</v>
      </c>
      <c r="BP7" s="166">
        <f t="shared" ref="BP7" si="5">BO7+BO8</f>
        <v>29</v>
      </c>
      <c r="BQ7" s="167">
        <f t="shared" ref="BQ7" si="6">82-BP7</f>
        <v>53</v>
      </c>
      <c r="BR7" s="174">
        <f t="shared" ref="BR7" si="7">BP7/(BP7+BQ7)</f>
        <v>0.35365853658536583</v>
      </c>
    </row>
    <row r="8" spans="1:70" ht="9.9499999999999993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12</v>
      </c>
      <c r="BP8" s="166"/>
      <c r="BQ8" s="167"/>
      <c r="BR8" s="174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16</v>
      </c>
      <c r="BP9" s="166">
        <f t="shared" ref="BP9" si="8">BO9+BO10</f>
        <v>29</v>
      </c>
      <c r="BQ9" s="167">
        <f t="shared" ref="BQ9" si="9">82-BP9</f>
        <v>53</v>
      </c>
      <c r="BR9" s="174">
        <f t="shared" ref="BR9" si="10">BP9/(BP9+BQ9)</f>
        <v>0.35365853658536583</v>
      </c>
    </row>
    <row r="10" spans="1:70" ht="9.9499999999999993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13</v>
      </c>
      <c r="BP10" s="166"/>
      <c r="BQ10" s="167"/>
      <c r="BR10" s="174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13</v>
      </c>
      <c r="BP11" s="166">
        <f t="shared" ref="BP11" si="11">BO11+BO12</f>
        <v>27</v>
      </c>
      <c r="BQ11" s="167">
        <f t="shared" ref="BQ11" si="12">82-BP11</f>
        <v>55</v>
      </c>
      <c r="BR11" s="174">
        <f t="shared" ref="BR11" si="13">BP11/(BP11+BQ11)</f>
        <v>0.32926829268292684</v>
      </c>
    </row>
    <row r="12" spans="1:70" ht="9.9499999999999993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14</v>
      </c>
      <c r="BP12" s="166"/>
      <c r="BQ12" s="167"/>
      <c r="BR12" s="174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13</v>
      </c>
      <c r="BP13" s="166">
        <f t="shared" ref="BP13" si="14">BO13+BO14</f>
        <v>30</v>
      </c>
      <c r="BQ13" s="167">
        <f t="shared" ref="BQ13" si="15">82-BP13</f>
        <v>52</v>
      </c>
      <c r="BR13" s="174">
        <f t="shared" ref="BR13" si="16">BP13/(BP13+BQ13)</f>
        <v>0.36585365853658536</v>
      </c>
    </row>
    <row r="14" spans="1:70" ht="9.9499999999999993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17</v>
      </c>
      <c r="BP14" s="166"/>
      <c r="BQ14" s="167"/>
      <c r="BR14" s="174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16</v>
      </c>
      <c r="BP15" s="166">
        <f t="shared" ref="BP15" si="17">BO15+BO16</f>
        <v>30</v>
      </c>
      <c r="BQ15" s="167">
        <f t="shared" ref="BQ15" si="18">82-BP15</f>
        <v>52</v>
      </c>
      <c r="BR15" s="174">
        <f t="shared" ref="BR15" si="19">BP15/(BP15+BQ15)</f>
        <v>0.36585365853658536</v>
      </c>
    </row>
    <row r="16" spans="1:70" ht="9.9499999999999993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14</v>
      </c>
      <c r="BP16" s="166"/>
      <c r="BQ16" s="167"/>
      <c r="BR16" s="174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13</v>
      </c>
      <c r="BP17" s="166">
        <f t="shared" ref="BP17" si="20">BO17+BO18</f>
        <v>28</v>
      </c>
      <c r="BQ17" s="167">
        <f t="shared" ref="BQ17" si="21">82-BP17</f>
        <v>54</v>
      </c>
      <c r="BR17" s="174">
        <f t="shared" ref="BR17" si="22">BP17/(BP17+BQ17)</f>
        <v>0.34146341463414637</v>
      </c>
    </row>
    <row r="18" spans="1:70" ht="9.9499999999999993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15</v>
      </c>
      <c r="BP18" s="166"/>
      <c r="BQ18" s="167"/>
      <c r="BR18" s="174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15</v>
      </c>
      <c r="BP19" s="166">
        <f t="shared" ref="BP19" si="23">BO19+BO20</f>
        <v>29</v>
      </c>
      <c r="BQ19" s="167">
        <f t="shared" ref="BQ19" si="24">82-BP19</f>
        <v>53</v>
      </c>
      <c r="BR19" s="174">
        <f t="shared" ref="BR19" si="25">BP19/(BP19+BQ19)</f>
        <v>0.35365853658536583</v>
      </c>
    </row>
    <row r="20" spans="1:70" ht="9.9499999999999993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14</v>
      </c>
      <c r="BP20" s="166"/>
      <c r="BQ20" s="167"/>
      <c r="BR20" s="174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16</v>
      </c>
      <c r="BP21" s="166">
        <f t="shared" ref="BP21" si="26">BO21+BO22</f>
        <v>29</v>
      </c>
      <c r="BQ21" s="167">
        <f t="shared" ref="BQ21" si="27">82-BP21</f>
        <v>53</v>
      </c>
      <c r="BR21" s="174">
        <f t="shared" ref="BR21" si="28">BP21/(BP21+BQ21)</f>
        <v>0.35365853658536583</v>
      </c>
    </row>
    <row r="22" spans="1:70" ht="9.9499999999999993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13</v>
      </c>
      <c r="BP22" s="166"/>
      <c r="BQ22" s="167"/>
      <c r="BR22" s="174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15</v>
      </c>
      <c r="BP23" s="166">
        <f t="shared" ref="BP23" si="29">BO23+BO24</f>
        <v>30</v>
      </c>
      <c r="BQ23" s="167">
        <f t="shared" ref="BQ23" si="30">82-BP23</f>
        <v>52</v>
      </c>
      <c r="BR23" s="174">
        <f t="shared" ref="BR23" si="31">BP23/(BP23+BQ23)</f>
        <v>0.36585365853658536</v>
      </c>
    </row>
    <row r="24" spans="1:70" ht="9.9499999999999993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15</v>
      </c>
      <c r="BP24" s="166"/>
      <c r="BQ24" s="167"/>
      <c r="BR24" s="174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15</v>
      </c>
      <c r="BP25" s="166">
        <f t="shared" ref="BP25" si="32">BO25+BO26</f>
        <v>30</v>
      </c>
      <c r="BQ25" s="167">
        <f t="shared" ref="BQ25" si="33">82-BP25</f>
        <v>52</v>
      </c>
      <c r="BR25" s="174">
        <f t="shared" ref="BR25" si="34">BP25/(BP25+BQ25)</f>
        <v>0.36585365853658536</v>
      </c>
    </row>
    <row r="26" spans="1:70" ht="9.9499999999999993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15</v>
      </c>
      <c r="BP26" s="166"/>
      <c r="BQ26" s="167"/>
      <c r="BR26" s="174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12</v>
      </c>
      <c r="BP27" s="166">
        <f t="shared" ref="BP27" si="35">BO27+BO28</f>
        <v>28</v>
      </c>
      <c r="BQ27" s="167">
        <f t="shared" ref="BQ27" si="36">82-BP27</f>
        <v>54</v>
      </c>
      <c r="BR27" s="174">
        <f t="shared" ref="BR27" si="37">BP27/(BP27+BQ27)</f>
        <v>0.34146341463414637</v>
      </c>
    </row>
    <row r="28" spans="1:70" ht="9.9499999999999993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16</v>
      </c>
      <c r="BP28" s="166"/>
      <c r="BQ28" s="167"/>
      <c r="BR28" s="174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15</v>
      </c>
      <c r="BP29" s="166">
        <f t="shared" ref="BP29" si="38">BO29+BO30</f>
        <v>30</v>
      </c>
      <c r="BQ29" s="167">
        <f t="shared" ref="BQ29" si="39">82-BP29</f>
        <v>52</v>
      </c>
      <c r="BR29" s="174">
        <f t="shared" ref="BR29" si="40">BP29/(BP29+BQ29)</f>
        <v>0.36585365853658536</v>
      </c>
    </row>
    <row r="30" spans="1:70" ht="9.9499999999999993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15</v>
      </c>
      <c r="BP30" s="166"/>
      <c r="BQ30" s="167"/>
      <c r="BR30" s="174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19</v>
      </c>
      <c r="BP31" s="166">
        <f t="shared" ref="BP31" si="41">BO31+BO32</f>
        <v>31</v>
      </c>
      <c r="BQ31" s="167">
        <f t="shared" ref="BQ31" si="42">82-BP31</f>
        <v>51</v>
      </c>
      <c r="BR31" s="174">
        <f t="shared" ref="BR31" si="43">BP31/(BP31+BQ31)</f>
        <v>0.37804878048780488</v>
      </c>
    </row>
    <row r="32" spans="1:70" ht="9.9499999999999993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12</v>
      </c>
      <c r="BP32" s="166"/>
      <c r="BQ32" s="167"/>
      <c r="BR32" s="174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16</v>
      </c>
      <c r="BP33" s="166">
        <f t="shared" ref="BP33" si="44">BO33+BO34</f>
        <v>28</v>
      </c>
      <c r="BQ33" s="167">
        <f t="shared" ref="BQ33" si="45">82-BP33</f>
        <v>54</v>
      </c>
      <c r="BR33" s="174">
        <f t="shared" ref="BR33" si="46">BP33/(BP33+BQ33)</f>
        <v>0.34146341463414637</v>
      </c>
    </row>
    <row r="34" spans="1:70" ht="9.9499999999999993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12</v>
      </c>
      <c r="BP34" s="166"/>
      <c r="BQ34" s="167"/>
      <c r="BR34" s="174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66">
        <f t="shared" ref="BP35" si="47">BO35+BO36</f>
        <v>28</v>
      </c>
      <c r="BQ35" s="167">
        <f t="shared" ref="BQ35" si="48">82-BP35</f>
        <v>54</v>
      </c>
      <c r="BR35" s="174">
        <f t="shared" ref="BR35" si="49">BP35/(BP35+BQ35)</f>
        <v>0.34146341463414637</v>
      </c>
    </row>
    <row r="36" spans="1:70" ht="9.9499999999999993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1"/>
        <v>15</v>
      </c>
      <c r="BP36" s="166"/>
      <c r="BQ36" s="167"/>
      <c r="BR36" s="174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17</v>
      </c>
      <c r="BP37" s="166">
        <f t="shared" ref="BP37" si="50">BO37+BO38</f>
        <v>29</v>
      </c>
      <c r="BQ37" s="167">
        <f t="shared" ref="BQ37" si="51">82-BP37</f>
        <v>53</v>
      </c>
      <c r="BR37" s="174">
        <f t="shared" ref="BR37" si="52">BP37/(BP37+BQ37)</f>
        <v>0.35365853658536583</v>
      </c>
    </row>
    <row r="38" spans="1:70" ht="9.9499999999999993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12</v>
      </c>
      <c r="BP38" s="166"/>
      <c r="BQ38" s="167"/>
      <c r="BR38" s="174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15</v>
      </c>
      <c r="BP39" s="166">
        <f t="shared" ref="BP39" si="53">BO39+BO40</f>
        <v>29</v>
      </c>
      <c r="BQ39" s="167">
        <f t="shared" ref="BQ39" si="54">82-BP39</f>
        <v>53</v>
      </c>
      <c r="BR39" s="174">
        <f t="shared" ref="BR39" si="55">BP39/(BP39+BQ39)</f>
        <v>0.35365853658536583</v>
      </c>
    </row>
    <row r="40" spans="1:70" ht="9.9499999999999993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14</v>
      </c>
      <c r="BP40" s="166"/>
      <c r="BQ40" s="167"/>
      <c r="BR40" s="174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15</v>
      </c>
      <c r="BP41" s="166">
        <f t="shared" ref="BP41" si="56">BO41+BO42</f>
        <v>30</v>
      </c>
      <c r="BQ41" s="167">
        <f t="shared" ref="BQ41" si="57">82-BP41</f>
        <v>52</v>
      </c>
      <c r="BR41" s="174">
        <f t="shared" ref="BR41" si="58">BP41/(BP41+BQ41)</f>
        <v>0.36585365853658536</v>
      </c>
    </row>
    <row r="42" spans="1:70" ht="9.9499999999999993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15</v>
      </c>
      <c r="BP42" s="166"/>
      <c r="BQ42" s="167"/>
      <c r="BR42" s="174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17</v>
      </c>
      <c r="BP43" s="166">
        <f t="shared" ref="BP43" si="59">BO43+BO44</f>
        <v>31</v>
      </c>
      <c r="BQ43" s="167">
        <f t="shared" ref="BQ43" si="60">82-BP43</f>
        <v>51</v>
      </c>
      <c r="BR43" s="174">
        <f t="shared" ref="BR43" si="61">BP43/(BP43+BQ43)</f>
        <v>0.37804878048780488</v>
      </c>
    </row>
    <row r="44" spans="1:70" ht="9.9499999999999993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14</v>
      </c>
      <c r="BP44" s="166"/>
      <c r="BQ44" s="167"/>
      <c r="BR44" s="174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11</v>
      </c>
      <c r="BP45" s="166">
        <f t="shared" ref="BP45" si="62">BO45+BO46</f>
        <v>27</v>
      </c>
      <c r="BQ45" s="167">
        <f t="shared" ref="BQ45" si="63">82-BP45</f>
        <v>55</v>
      </c>
      <c r="BR45" s="174">
        <f t="shared" ref="BR45" si="64">BP45/(BP45+BQ45)</f>
        <v>0.32926829268292684</v>
      </c>
    </row>
    <row r="46" spans="1:70" ht="9.9499999999999993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16</v>
      </c>
      <c r="BP46" s="166"/>
      <c r="BQ46" s="167"/>
      <c r="BR46" s="174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15</v>
      </c>
      <c r="BP47" s="166">
        <f t="shared" ref="BP47" si="65">BO47+BO48</f>
        <v>27</v>
      </c>
      <c r="BQ47" s="167">
        <f t="shared" ref="BQ47" si="66">82-BP47</f>
        <v>55</v>
      </c>
      <c r="BR47" s="174">
        <f t="shared" ref="BR47" si="67">BP47/(BP47+BQ47)</f>
        <v>0.32926829268292684</v>
      </c>
    </row>
    <row r="48" spans="1:70" ht="9.9499999999999993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12</v>
      </c>
      <c r="BP48" s="166"/>
      <c r="BQ48" s="167"/>
      <c r="BR48" s="174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14</v>
      </c>
      <c r="BP49" s="166">
        <f t="shared" ref="BP49" si="68">BO49+BO50</f>
        <v>30</v>
      </c>
      <c r="BQ49" s="167">
        <f t="shared" ref="BQ49" si="69">82-BP49</f>
        <v>52</v>
      </c>
      <c r="BR49" s="174">
        <f t="shared" ref="BR49" si="70">BP49/(BP49+BQ49)</f>
        <v>0.36585365853658536</v>
      </c>
    </row>
    <row r="50" spans="1:70" ht="9.9499999999999993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16</v>
      </c>
      <c r="BP50" s="166"/>
      <c r="BQ50" s="167"/>
      <c r="BR50" s="174"/>
    </row>
    <row r="51" spans="1:70" ht="9.9499999999999993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14</v>
      </c>
      <c r="BP51" s="166">
        <f t="shared" ref="BP51" si="71">BO51+BO52</f>
        <v>30</v>
      </c>
      <c r="BQ51" s="167">
        <f t="shared" ref="BQ51" si="72">82-BP51</f>
        <v>52</v>
      </c>
      <c r="BR51" s="174">
        <f t="shared" ref="BR51" si="73">BP51/(BP51+BQ51)</f>
        <v>0.36585365853658536</v>
      </c>
    </row>
    <row r="52" spans="1:70" ht="9.9499999999999993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16</v>
      </c>
      <c r="BP52" s="166"/>
      <c r="BQ52" s="167"/>
      <c r="BR52" s="174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13</v>
      </c>
      <c r="BP53" s="166">
        <f t="shared" ref="BP53" si="74">BO53+BO54</f>
        <v>29</v>
      </c>
      <c r="BQ53" s="167">
        <f t="shared" ref="BQ53" si="75">82-BP53</f>
        <v>53</v>
      </c>
      <c r="BR53" s="174">
        <f t="shared" ref="BR53" si="76">BP53/(BP53+BQ53)</f>
        <v>0.35365853658536583</v>
      </c>
    </row>
    <row r="54" spans="1:70" ht="9.9499999999999993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66"/>
      <c r="BQ54" s="167"/>
      <c r="BR54" s="174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14</v>
      </c>
      <c r="BP55" s="166">
        <f t="shared" ref="BP55" si="77">BO55+BO56</f>
        <v>30</v>
      </c>
      <c r="BQ55" s="167">
        <f t="shared" ref="BQ55" si="78">82-BP55</f>
        <v>52</v>
      </c>
      <c r="BR55" s="174">
        <f t="shared" ref="BR55" si="79">BP55/(BP55+BQ55)</f>
        <v>0.36585365853658536</v>
      </c>
    </row>
    <row r="56" spans="1:70" ht="9.9499999999999993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16</v>
      </c>
      <c r="BP56" s="166"/>
      <c r="BQ56" s="167"/>
      <c r="BR56" s="174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10</v>
      </c>
      <c r="BP57" s="166">
        <f t="shared" ref="BP57" si="80">BO57+BO58</f>
        <v>28</v>
      </c>
      <c r="BQ57" s="167">
        <f t="shared" ref="BQ57" si="81">82-BP57</f>
        <v>54</v>
      </c>
      <c r="BR57" s="174">
        <f t="shared" ref="BR57" si="82">BP57/(BP57+BQ57)</f>
        <v>0.34146341463414637</v>
      </c>
    </row>
    <row r="58" spans="1:70" ht="9.9499999999999993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1"/>
        <v>18</v>
      </c>
      <c r="BP58" s="166"/>
      <c r="BQ58" s="167"/>
      <c r="BR58" s="174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1"/>
        <v>13</v>
      </c>
      <c r="BP59" s="166">
        <f t="shared" ref="BP59" si="83">BO59+BO60</f>
        <v>28</v>
      </c>
      <c r="BQ59" s="167">
        <f t="shared" ref="BQ59" si="84">82-BP59</f>
        <v>54</v>
      </c>
      <c r="BR59" s="174">
        <f t="shared" ref="BR59" si="85">BP59/(BP59+BQ59)</f>
        <v>0.34146341463414637</v>
      </c>
    </row>
    <row r="60" spans="1:70" ht="9.9499999999999993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15</v>
      </c>
      <c r="BP60" s="166"/>
      <c r="BQ60" s="167"/>
      <c r="BR60" s="174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15</v>
      </c>
      <c r="BP61" s="166">
        <f t="shared" ref="BP61" si="86">BO61+BO62</f>
        <v>28</v>
      </c>
      <c r="BQ61" s="167">
        <f t="shared" ref="BQ61" si="87">82-BP61</f>
        <v>54</v>
      </c>
      <c r="BR61" s="174">
        <f t="shared" ref="BR61" si="88">BP61/(BP61+BQ61)</f>
        <v>0.34146341463414637</v>
      </c>
    </row>
    <row r="62" spans="1:70" ht="9.9499999999999993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13</v>
      </c>
      <c r="BP62" s="166"/>
      <c r="BQ62" s="167"/>
      <c r="BR62" s="174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1"/>
        <v>14</v>
      </c>
      <c r="BP63" s="166">
        <f t="shared" ref="BP63" si="89">BO63+BO64</f>
        <v>29</v>
      </c>
      <c r="BQ63" s="167">
        <f t="shared" ref="BQ63" si="90">82-BP63</f>
        <v>53</v>
      </c>
      <c r="BR63" s="174">
        <f t="shared" ref="BR63" si="91">BP63/(BP63+BQ63)</f>
        <v>0.35365853658536583</v>
      </c>
    </row>
    <row r="64" spans="1:70" ht="9.9499999999999993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15</v>
      </c>
      <c r="BP64" s="166"/>
      <c r="BQ64" s="167"/>
      <c r="BR64" s="174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12</v>
      </c>
      <c r="BP65" s="166">
        <f t="shared" ref="BP65" si="92">BO65+BO66</f>
        <v>29</v>
      </c>
      <c r="BQ65" s="167">
        <f t="shared" ref="BQ65" si="93">82-BP65</f>
        <v>53</v>
      </c>
      <c r="BR65" s="174">
        <f>BP65/(BP65+BQ65)</f>
        <v>0.35365853658536583</v>
      </c>
    </row>
    <row r="66" spans="1:70" ht="9.9499999999999993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1"/>
        <v>17</v>
      </c>
      <c r="BP66" s="166"/>
      <c r="BQ66" s="167"/>
      <c r="BR66" s="174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465</v>
      </c>
      <c r="BQ67" s="27">
        <f>SUM(BQ3:BQ66)/2</f>
        <v>847</v>
      </c>
    </row>
    <row r="68" spans="1:70" x14ac:dyDescent="0.25">
      <c r="BP68" s="43">
        <f>2*BP67/SUM(BP3:BQ66)</f>
        <v>0.35442073170731708</v>
      </c>
      <c r="BQ68" s="43">
        <f>2*BQ67/SUM(BP3:BQ66)</f>
        <v>0.64557926829268297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11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10</v>
      </c>
      <c r="BP3" s="166">
        <f>BO3+BO4</f>
        <v>22</v>
      </c>
      <c r="BQ3" s="167">
        <f>82-BP3</f>
        <v>60</v>
      </c>
      <c r="BR3" s="174">
        <f t="shared" ref="BR3:BR67" si="0">BP3/(BP3+BQ3)</f>
        <v>0.26829268292682928</v>
      </c>
      <c r="BT3" s="37">
        <f>DataRegularSeason20242025!$A$3:$A$8</f>
        <v>45937</v>
      </c>
    </row>
    <row r="4" spans="1:72" s="27" customFormat="1" ht="9.9499999999999993" customHeight="1" x14ac:dyDescent="0.2">
      <c r="A4" s="168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1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1</v>
      </c>
      <c r="BN4" s="39"/>
      <c r="BO4" s="34">
        <f>SUM(C4:BN4)</f>
        <v>12</v>
      </c>
      <c r="BP4" s="166"/>
      <c r="BQ4" s="167"/>
      <c r="BR4" s="174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1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12</v>
      </c>
      <c r="BP5" s="166">
        <f t="shared" ref="BP5" si="2">BO5+BO6</f>
        <v>24</v>
      </c>
      <c r="BQ5" s="167">
        <f t="shared" ref="BQ5" si="3">82-BP5</f>
        <v>58</v>
      </c>
      <c r="BR5" s="174">
        <f t="shared" si="0"/>
        <v>0.29268292682926828</v>
      </c>
    </row>
    <row r="6" spans="1:72" s="27" customFormat="1" ht="9.9499999999999993" customHeight="1" x14ac:dyDescent="0.2">
      <c r="A6" s="168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1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12</v>
      </c>
      <c r="BP6" s="166"/>
      <c r="BQ6" s="167"/>
      <c r="BR6" s="174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1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1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1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12</v>
      </c>
      <c r="BP7" s="166">
        <f t="shared" ref="BP7" si="4">BO7+BO8</f>
        <v>25</v>
      </c>
      <c r="BQ7" s="167">
        <f t="shared" ref="BQ7" si="5">82-BP7</f>
        <v>57</v>
      </c>
      <c r="BR7" s="174">
        <f t="shared" si="0"/>
        <v>0.3048780487804878</v>
      </c>
    </row>
    <row r="8" spans="1:72" s="27" customFormat="1" ht="9.9499999999999993" customHeight="1" x14ac:dyDescent="0.2">
      <c r="A8" s="168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66"/>
      <c r="BQ8" s="167"/>
      <c r="BR8" s="174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66">
        <f t="shared" ref="BP9" si="6">BO9+BO10</f>
        <v>24</v>
      </c>
      <c r="BQ9" s="167">
        <f t="shared" ref="BQ9" si="7">82-BP9</f>
        <v>58</v>
      </c>
      <c r="BR9" s="174">
        <f t="shared" si="0"/>
        <v>0.29268292682926828</v>
      </c>
    </row>
    <row r="10" spans="1:72" s="27" customFormat="1" ht="9.9499999999999993" customHeight="1" x14ac:dyDescent="0.2">
      <c r="A10" s="168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1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1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12</v>
      </c>
      <c r="BP10" s="166"/>
      <c r="BQ10" s="167"/>
      <c r="BR10" s="174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1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1</v>
      </c>
      <c r="BO11" s="30">
        <f t="shared" si="1"/>
        <v>13</v>
      </c>
      <c r="BP11" s="166">
        <f t="shared" ref="BP11" si="8">BO11+BO12</f>
        <v>21</v>
      </c>
      <c r="BQ11" s="167">
        <f t="shared" ref="BQ11" si="9">82-BP11</f>
        <v>61</v>
      </c>
      <c r="BR11" s="174">
        <f t="shared" si="0"/>
        <v>0.25609756097560976</v>
      </c>
    </row>
    <row r="12" spans="1:72" s="27" customFormat="1" ht="9.9499999999999993" customHeight="1" x14ac:dyDescent="0.2">
      <c r="A12" s="168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1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8</v>
      </c>
      <c r="BP12" s="166"/>
      <c r="BQ12" s="167"/>
      <c r="BR12" s="174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2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18</v>
      </c>
      <c r="BP13" s="166">
        <f t="shared" ref="BP13" si="10">BO13+BO14</f>
        <v>31</v>
      </c>
      <c r="BQ13" s="167">
        <f t="shared" ref="BQ13" si="11">82-BP13</f>
        <v>51</v>
      </c>
      <c r="BR13" s="174">
        <f t="shared" si="0"/>
        <v>0.37804878048780488</v>
      </c>
    </row>
    <row r="14" spans="1:72" s="27" customFormat="1" ht="9.9499999999999993" customHeight="1" x14ac:dyDescent="0.2">
      <c r="A14" s="168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1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1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1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13</v>
      </c>
      <c r="BP14" s="166"/>
      <c r="BQ14" s="167"/>
      <c r="BR14" s="174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1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2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1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14</v>
      </c>
      <c r="BP15" s="166">
        <f t="shared" ref="BP15" si="12">BO15+BO16</f>
        <v>27</v>
      </c>
      <c r="BQ15" s="167">
        <f t="shared" ref="BQ15" si="13">82-BP15</f>
        <v>55</v>
      </c>
      <c r="BR15" s="174">
        <f t="shared" si="0"/>
        <v>0.32926829268292684</v>
      </c>
    </row>
    <row r="16" spans="1:72" s="27" customFormat="1" ht="9.9499999999999993" customHeight="1" x14ac:dyDescent="0.2">
      <c r="A16" s="168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13</v>
      </c>
      <c r="BP16" s="166"/>
      <c r="BQ16" s="167"/>
      <c r="BR16" s="174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1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1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1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1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14</v>
      </c>
      <c r="BP17" s="166">
        <f t="shared" ref="BP17" si="14">BO17+BO18</f>
        <v>26</v>
      </c>
      <c r="BQ17" s="167">
        <f t="shared" ref="BQ17" si="15">82-BP17</f>
        <v>56</v>
      </c>
      <c r="BR17" s="174">
        <f t="shared" si="0"/>
        <v>0.31707317073170732</v>
      </c>
    </row>
    <row r="18" spans="1:70" s="27" customFormat="1" ht="9.9499999999999993" customHeight="1" x14ac:dyDescent="0.2">
      <c r="A18" s="168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1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12</v>
      </c>
      <c r="BP18" s="166"/>
      <c r="BQ18" s="167"/>
      <c r="BR18" s="174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1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1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14</v>
      </c>
      <c r="BP19" s="166">
        <f t="shared" ref="BP19" si="16">BO19+BO20</f>
        <v>24</v>
      </c>
      <c r="BQ19" s="167">
        <f t="shared" ref="BQ19" si="17">82-BP19</f>
        <v>58</v>
      </c>
      <c r="BR19" s="174">
        <f t="shared" si="0"/>
        <v>0.29268292682926828</v>
      </c>
    </row>
    <row r="20" spans="1:70" s="27" customFormat="1" ht="9.9499999999999993" customHeight="1" x14ac:dyDescent="0.2">
      <c r="A20" s="168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1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1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10</v>
      </c>
      <c r="BP20" s="166"/>
      <c r="BQ20" s="167"/>
      <c r="BR20" s="174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1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1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1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13</v>
      </c>
      <c r="BP21" s="166">
        <f t="shared" ref="BP21" si="18">BO21+BO22</f>
        <v>29</v>
      </c>
      <c r="BQ21" s="167">
        <f t="shared" ref="BQ21" si="19">82-BP21</f>
        <v>53</v>
      </c>
      <c r="BR21" s="174">
        <f t="shared" si="0"/>
        <v>0.35365853658536583</v>
      </c>
    </row>
    <row r="22" spans="1:70" s="27" customFormat="1" ht="9.9499999999999993" customHeight="1" x14ac:dyDescent="0.2">
      <c r="A22" s="168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1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16</v>
      </c>
      <c r="BP22" s="166"/>
      <c r="BQ22" s="167"/>
      <c r="BR22" s="174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16</v>
      </c>
      <c r="BP23" s="166">
        <f t="shared" ref="BP23" si="20">BO23+BO24</f>
        <v>28</v>
      </c>
      <c r="BQ23" s="167">
        <f t="shared" ref="BQ23" si="21">82-BP23</f>
        <v>54</v>
      </c>
      <c r="BR23" s="174">
        <f t="shared" si="0"/>
        <v>0.34146341463414637</v>
      </c>
    </row>
    <row r="24" spans="1:70" s="27" customFormat="1" ht="9.9499999999999993" customHeight="1" x14ac:dyDescent="0.2">
      <c r="A24" s="168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1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1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1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12</v>
      </c>
      <c r="BP24" s="166"/>
      <c r="BQ24" s="167"/>
      <c r="BR24" s="174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66">
        <f t="shared" ref="BP25" si="22">BO25+BO26</f>
        <v>25</v>
      </c>
      <c r="BQ25" s="167">
        <f t="shared" ref="BQ25" si="23">82-BP25</f>
        <v>57</v>
      </c>
      <c r="BR25" s="174">
        <f t="shared" si="0"/>
        <v>0.3048780487804878</v>
      </c>
    </row>
    <row r="26" spans="1:70" s="27" customFormat="1" ht="9.9499999999999993" customHeight="1" x14ac:dyDescent="0.2">
      <c r="A26" s="168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1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1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1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1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16</v>
      </c>
      <c r="BP26" s="166"/>
      <c r="BQ26" s="167"/>
      <c r="BR26" s="174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1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11</v>
      </c>
      <c r="BP27" s="166">
        <f t="shared" ref="BP27" si="24">BO27+BO28</f>
        <v>22</v>
      </c>
      <c r="BQ27" s="167">
        <f t="shared" ref="BQ27" si="25">82-BP27</f>
        <v>60</v>
      </c>
      <c r="BR27" s="174">
        <f t="shared" si="0"/>
        <v>0.26829268292682928</v>
      </c>
    </row>
    <row r="28" spans="1:70" s="27" customFormat="1" ht="9.9499999999999993" customHeight="1" x14ac:dyDescent="0.2">
      <c r="A28" s="168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2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1</v>
      </c>
      <c r="BN28" s="39"/>
      <c r="BO28" s="34">
        <f t="shared" si="1"/>
        <v>11</v>
      </c>
      <c r="BP28" s="166"/>
      <c r="BQ28" s="167"/>
      <c r="BR28" s="174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1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1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1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1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12</v>
      </c>
      <c r="BP29" s="166">
        <f t="shared" ref="BP29" si="26">BO29+BO30</f>
        <v>22</v>
      </c>
      <c r="BQ29" s="167">
        <f t="shared" ref="BQ29" si="27">82-BP29</f>
        <v>60</v>
      </c>
      <c r="BR29" s="174">
        <f t="shared" si="0"/>
        <v>0.26829268292682928</v>
      </c>
    </row>
    <row r="30" spans="1:70" s="27" customFormat="1" ht="9.9499999999999993" customHeight="1" x14ac:dyDescent="0.2">
      <c r="A30" s="168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10</v>
      </c>
      <c r="BP30" s="166"/>
      <c r="BQ30" s="167"/>
      <c r="BR30" s="174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2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13</v>
      </c>
      <c r="BP31" s="166">
        <f t="shared" ref="BP31" si="28">BO31+BO32</f>
        <v>27</v>
      </c>
      <c r="BQ31" s="167">
        <f t="shared" ref="BQ31" si="29">82-BP31</f>
        <v>55</v>
      </c>
      <c r="BR31" s="174">
        <f t="shared" si="0"/>
        <v>0.32926829268292684</v>
      </c>
    </row>
    <row r="32" spans="1:70" s="27" customFormat="1" ht="9.9499999999999993" customHeight="1" x14ac:dyDescent="0.2">
      <c r="A32" s="168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2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1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1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14</v>
      </c>
      <c r="BP32" s="166"/>
      <c r="BQ32" s="167"/>
      <c r="BR32" s="174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10</v>
      </c>
      <c r="BP33" s="166">
        <f t="shared" ref="BP33" si="30">BO33+BO34</f>
        <v>23</v>
      </c>
      <c r="BQ33" s="167">
        <f t="shared" ref="BQ33" si="31">82-BP33</f>
        <v>59</v>
      </c>
      <c r="BR33" s="174">
        <f t="shared" si="0"/>
        <v>0.28048780487804881</v>
      </c>
    </row>
    <row r="34" spans="1:70" s="27" customFormat="1" ht="9.9499999999999993" customHeight="1" x14ac:dyDescent="0.2">
      <c r="A34" s="168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1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1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13</v>
      </c>
      <c r="BP34" s="166"/>
      <c r="BQ34" s="167"/>
      <c r="BR34" s="174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1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7</v>
      </c>
      <c r="BP35" s="166">
        <f t="shared" ref="BP35" si="32">BO35+BO36</f>
        <v>21</v>
      </c>
      <c r="BQ35" s="167">
        <f t="shared" ref="BQ35" si="33">82-BP35</f>
        <v>61</v>
      </c>
      <c r="BR35" s="174">
        <f t="shared" si="0"/>
        <v>0.25609756097560976</v>
      </c>
    </row>
    <row r="36" spans="1:70" s="27" customFormat="1" ht="9.9499999999999993" customHeight="1" x14ac:dyDescent="0.2">
      <c r="A36" s="168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2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1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14</v>
      </c>
      <c r="BP36" s="166"/>
      <c r="BQ36" s="167"/>
      <c r="BR36" s="174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1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12</v>
      </c>
      <c r="BP37" s="166">
        <f t="shared" ref="BP37" si="34">BO37+BO38</f>
        <v>22</v>
      </c>
      <c r="BQ37" s="167">
        <f t="shared" ref="BQ37" si="35">82-BP37</f>
        <v>60</v>
      </c>
      <c r="BR37" s="174">
        <f t="shared" si="0"/>
        <v>0.26829268292682928</v>
      </c>
    </row>
    <row r="38" spans="1:70" s="27" customFormat="1" ht="9.9499999999999993" customHeight="1" x14ac:dyDescent="0.2">
      <c r="A38" s="168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1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1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10</v>
      </c>
      <c r="BP38" s="166"/>
      <c r="BQ38" s="167"/>
      <c r="BR38" s="174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1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15</v>
      </c>
      <c r="BP39" s="166">
        <f t="shared" ref="BP39" si="36">BO39+BO40</f>
        <v>28</v>
      </c>
      <c r="BQ39" s="167">
        <f t="shared" ref="BQ39" si="37">82-BP39</f>
        <v>54</v>
      </c>
      <c r="BR39" s="174">
        <f t="shared" si="0"/>
        <v>0.34146341463414637</v>
      </c>
    </row>
    <row r="40" spans="1:70" s="27" customFormat="1" ht="9.9499999999999993" customHeight="1" x14ac:dyDescent="0.2">
      <c r="A40" s="168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1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1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1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13</v>
      </c>
      <c r="BP40" s="166"/>
      <c r="BQ40" s="167"/>
      <c r="BR40" s="174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2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14</v>
      </c>
      <c r="BP41" s="166">
        <f t="shared" ref="BP41" si="38">BO41+BO42</f>
        <v>25</v>
      </c>
      <c r="BQ41" s="167">
        <f t="shared" ref="BQ41" si="39">82-BP41</f>
        <v>57</v>
      </c>
      <c r="BR41" s="174">
        <f t="shared" si="0"/>
        <v>0.3048780487804878</v>
      </c>
    </row>
    <row r="42" spans="1:70" s="27" customFormat="1" ht="9.9499999999999993" customHeight="1" x14ac:dyDescent="0.2">
      <c r="A42" s="168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1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11</v>
      </c>
      <c r="BP42" s="166"/>
      <c r="BQ42" s="167"/>
      <c r="BR42" s="174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8</v>
      </c>
      <c r="BP43" s="166">
        <f t="shared" ref="BP43" si="40">BO43+BO44</f>
        <v>20</v>
      </c>
      <c r="BQ43" s="167">
        <f t="shared" ref="BQ43" si="41">82-BP43</f>
        <v>62</v>
      </c>
      <c r="BR43" s="174">
        <f t="shared" si="0"/>
        <v>0.24390243902439024</v>
      </c>
    </row>
    <row r="44" spans="1:70" s="27" customFormat="1" ht="9.9499999999999993" customHeight="1" x14ac:dyDescent="0.2">
      <c r="A44" s="168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1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1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12</v>
      </c>
      <c r="BP44" s="166"/>
      <c r="BQ44" s="167"/>
      <c r="BR44" s="174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1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1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14</v>
      </c>
      <c r="BP45" s="166">
        <f t="shared" ref="BP45" si="42">BO45+BO46</f>
        <v>23</v>
      </c>
      <c r="BQ45" s="167">
        <f t="shared" ref="BQ45" si="43">82-BP45</f>
        <v>59</v>
      </c>
      <c r="BR45" s="174">
        <f t="shared" si="0"/>
        <v>0.28048780487804881</v>
      </c>
    </row>
    <row r="46" spans="1:70" s="27" customFormat="1" ht="9.9499999999999993" customHeight="1" x14ac:dyDescent="0.2">
      <c r="A46" s="168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9</v>
      </c>
      <c r="BP46" s="166"/>
      <c r="BQ46" s="167"/>
      <c r="BR46" s="174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1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12</v>
      </c>
      <c r="BP47" s="166">
        <f t="shared" ref="BP47" si="44">BO47+BO48</f>
        <v>24</v>
      </c>
      <c r="BQ47" s="167">
        <f t="shared" ref="BQ47" si="45">82-BP47</f>
        <v>58</v>
      </c>
      <c r="BR47" s="174">
        <f t="shared" si="0"/>
        <v>0.29268292682926828</v>
      </c>
    </row>
    <row r="48" spans="1:70" s="27" customFormat="1" ht="9.9499999999999993" customHeight="1" x14ac:dyDescent="0.2">
      <c r="A48" s="168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1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1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12</v>
      </c>
      <c r="BP48" s="166"/>
      <c r="BQ48" s="167"/>
      <c r="BR48" s="174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1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1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11</v>
      </c>
      <c r="BP49" s="166">
        <f t="shared" ref="BP49" si="46">BO49+BO50</f>
        <v>23</v>
      </c>
      <c r="BQ49" s="167">
        <f t="shared" ref="BQ49" si="47">82-BP49</f>
        <v>59</v>
      </c>
      <c r="BR49" s="174">
        <f t="shared" si="0"/>
        <v>0.28048780487804881</v>
      </c>
    </row>
    <row r="50" spans="1:70" s="27" customFormat="1" ht="9.9499999999999993" customHeight="1" x14ac:dyDescent="0.2">
      <c r="A50" s="168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12</v>
      </c>
      <c r="BP50" s="166"/>
      <c r="BQ50" s="167"/>
      <c r="BR50" s="174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1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1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10</v>
      </c>
      <c r="BP51" s="166">
        <f t="shared" ref="BP51" si="48">BO51+BO52</f>
        <v>24</v>
      </c>
      <c r="BQ51" s="167">
        <f t="shared" ref="BQ51" si="49">82-BP51</f>
        <v>58</v>
      </c>
      <c r="BR51" s="174">
        <f t="shared" si="0"/>
        <v>0.29268292682926828</v>
      </c>
    </row>
    <row r="52" spans="1:70" s="27" customFormat="1" ht="9.9499999999999993" customHeight="1" x14ac:dyDescent="0.2">
      <c r="A52" s="168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14</v>
      </c>
      <c r="BP52" s="166"/>
      <c r="BQ52" s="167"/>
      <c r="BR52" s="174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1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1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13</v>
      </c>
      <c r="BP53" s="166">
        <f t="shared" ref="BP53" si="50">BO53+BO54</f>
        <v>23</v>
      </c>
      <c r="BQ53" s="167">
        <f t="shared" ref="BQ53" si="51">82-BP53</f>
        <v>59</v>
      </c>
      <c r="BR53" s="174">
        <f t="shared" si="0"/>
        <v>0.28048780487804881</v>
      </c>
    </row>
    <row r="54" spans="1:70" s="27" customFormat="1" ht="9.9499999999999993" customHeight="1" x14ac:dyDescent="0.2">
      <c r="A54" s="168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1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10</v>
      </c>
      <c r="BP54" s="166"/>
      <c r="BQ54" s="167"/>
      <c r="BR54" s="174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1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1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11</v>
      </c>
      <c r="BP55" s="166">
        <f t="shared" ref="BP55" si="52">BO55+BO56</f>
        <v>27</v>
      </c>
      <c r="BQ55" s="167">
        <f t="shared" ref="BQ55" si="53">82-BP55</f>
        <v>55</v>
      </c>
      <c r="BR55" s="174">
        <f t="shared" si="0"/>
        <v>0.32926829268292684</v>
      </c>
    </row>
    <row r="56" spans="1:70" s="27" customFormat="1" ht="9.9499999999999993" customHeight="1" x14ac:dyDescent="0.2">
      <c r="A56" s="168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2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1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16</v>
      </c>
      <c r="BP56" s="166"/>
      <c r="BQ56" s="167"/>
      <c r="BR56" s="174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1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1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15</v>
      </c>
      <c r="BP57" s="166">
        <f t="shared" ref="BP57" si="54">BO57+BO58</f>
        <v>27</v>
      </c>
      <c r="BQ57" s="167">
        <f t="shared" ref="BQ57" si="55">82-BP57</f>
        <v>55</v>
      </c>
      <c r="BR57" s="174">
        <f t="shared" si="0"/>
        <v>0.32926829268292684</v>
      </c>
    </row>
    <row r="58" spans="1:70" s="27" customFormat="1" ht="9.9499999999999993" customHeight="1" x14ac:dyDescent="0.2">
      <c r="A58" s="168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1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12</v>
      </c>
      <c r="BP58" s="166"/>
      <c r="BQ58" s="167"/>
      <c r="BR58" s="174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1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14</v>
      </c>
      <c r="BP59" s="166">
        <f t="shared" ref="BP59" si="56">BO59+BO60</f>
        <v>27</v>
      </c>
      <c r="BQ59" s="167">
        <f t="shared" ref="BQ59" si="57">82-BP59</f>
        <v>55</v>
      </c>
      <c r="BR59" s="174">
        <f t="shared" si="0"/>
        <v>0.32926829268292684</v>
      </c>
    </row>
    <row r="60" spans="1:70" s="27" customFormat="1" ht="9.9499999999999993" customHeight="1" x14ac:dyDescent="0.2">
      <c r="A60" s="168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1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1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1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13</v>
      </c>
      <c r="BP60" s="166"/>
      <c r="BQ60" s="167"/>
      <c r="BR60" s="174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1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1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10</v>
      </c>
      <c r="BP61" s="166">
        <f t="shared" ref="BP61" si="58">BO61+BO62</f>
        <v>23</v>
      </c>
      <c r="BQ61" s="167">
        <f t="shared" ref="BQ61" si="59">82-BP61</f>
        <v>59</v>
      </c>
      <c r="BR61" s="174">
        <f t="shared" si="0"/>
        <v>0.28048780487804881</v>
      </c>
    </row>
    <row r="62" spans="1:70" s="27" customFormat="1" ht="9.9499999999999993" customHeight="1" x14ac:dyDescent="0.2">
      <c r="A62" s="168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1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13</v>
      </c>
      <c r="BP62" s="166"/>
      <c r="BQ62" s="167"/>
      <c r="BR62" s="174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1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1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12</v>
      </c>
      <c r="BP63" s="166">
        <f t="shared" ref="BP63" si="60">BO63+BO64</f>
        <v>23</v>
      </c>
      <c r="BQ63" s="167">
        <f t="shared" ref="BQ63" si="61">82-BP63</f>
        <v>59</v>
      </c>
      <c r="BR63" s="174">
        <f t="shared" si="0"/>
        <v>0.28048780487804881</v>
      </c>
    </row>
    <row r="64" spans="1:70" s="27" customFormat="1" ht="9.9499999999999993" customHeight="1" x14ac:dyDescent="0.2">
      <c r="A64" s="168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1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11</v>
      </c>
      <c r="BP64" s="166"/>
      <c r="BQ64" s="167"/>
      <c r="BR64" s="174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1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1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10</v>
      </c>
      <c r="BP65" s="166">
        <f t="shared" ref="BP65" si="62">BO65+BO66</f>
        <v>22</v>
      </c>
      <c r="BQ65" s="167">
        <f t="shared" ref="BQ65" si="63">82-BP65</f>
        <v>60</v>
      </c>
      <c r="BR65" s="174">
        <f t="shared" si="0"/>
        <v>0.26829268292682928</v>
      </c>
    </row>
    <row r="66" spans="1:70" s="27" customFormat="1" ht="9.9499999999999993" customHeight="1" x14ac:dyDescent="0.2">
      <c r="A66" s="168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1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12</v>
      </c>
      <c r="BP66" s="166"/>
      <c r="BQ66" s="167"/>
      <c r="BR66" s="174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391</v>
      </c>
      <c r="BQ67" s="26">
        <f>SUM(BQ3:BQ66)/2</f>
        <v>921</v>
      </c>
      <c r="BR67" s="135">
        <f t="shared" si="0"/>
        <v>0.29801829268292684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zoomScaleNormal="100" workbookViewId="0">
      <pane xSplit="1" topLeftCell="AN1" activePane="topRight" state="frozen"/>
      <selection pane="topRight" activeCell="BO30" sqref="BO30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26</v>
      </c>
      <c r="E2" s="10">
        <f>Table3[[#This Row],[Watched]]/Table3[[#This Row],[GP]]</f>
        <v>0.89655172413793105</v>
      </c>
      <c r="F2">
        <f>COUNTIFS(DataRegularSeason20242025!$N$3:$N$1315,1,DataRegularSeason20242025!$D$3:$D$1315,$A2)</f>
        <v>16</v>
      </c>
      <c r="G2">
        <f>41-Table3[[#This Row],[GP_A]]</f>
        <v>25</v>
      </c>
      <c r="H2">
        <f>COUNTIFS(DataRegularSeason20242025!$E$3:$E$1315,$A2,DataRegularSeason20242025!$N$3:$N$1315,1)</f>
        <v>13</v>
      </c>
      <c r="I2">
        <f>41-Table3[[#This Row],[GP_H]]</f>
        <v>28</v>
      </c>
      <c r="J2">
        <f>F2+H2</f>
        <v>29</v>
      </c>
      <c r="K2">
        <f>82-Table3[[#This Row],[GP]]</f>
        <v>53</v>
      </c>
      <c r="L2">
        <f>COUNTIFS(DataRegularSeason20242025!$D$3:$D$1315,$A2, DataRegularSeason20242025!$L$3:$L$1315, $A2,DataRegularSeason20242025!$N$3:$N$1315,1)</f>
        <v>10</v>
      </c>
      <c r="M2">
        <f>COUNTIFS(DataRegularSeason20242025!$D$3:$D$1315,$A2, DataRegularSeason20242025!$L$3:$L$1315, $A2,DataRegularSeason20242025!$N$3:$N$1315,1,DataRegularSeason20242025!$M$3:$M$1315,"REG")</f>
        <v>8</v>
      </c>
      <c r="N2">
        <f>COUNTIFS(DataRegularSeason20242025!$D$3:$D$1315,$A2, DataRegularSeason20242025!$L$3:$L$1315, $A2,DataRegularSeason20242025!$N$3:$N$1315,1,DataRegularSeason20242025!$M$3:$M$1315,"OT")</f>
        <v>2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6</v>
      </c>
      <c r="Q2">
        <f>COUNTIFS(DataRegularSeason20242025!$D$3:$D$1315,$A2, DataRegularSeason20242025!$S$3:$S$1315, $A2,DataRegularSeason20242025!$M$3:$M$1315,"REG")</f>
        <v>2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1</v>
      </c>
      <c r="T2">
        <f>COUNTIFS(DataRegularSeason20242025!$E$3:$E$1315,$A2, DataRegularSeason20242025!$L$3:$L$1315, $A2, DataRegularSeason20242025!$N$3:$N$1315,1)</f>
        <v>11</v>
      </c>
      <c r="U2">
        <f>COUNTIFS(DataRegularSeason20242025!$E$3:$E$1315,$A2, DataRegularSeason20242025!$L$3:$L$1315, $A2,DataRegularSeason20242025!$N$3:$N$1315,1,DataRegularSeason20242025!$M$3:$M$1315,"REG")</f>
        <v>11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0.72413793103448276</v>
      </c>
      <c r="AC2">
        <f>Table3[[#This Row],[W_A]]+Table3[[#This Row],[W_H]]</f>
        <v>21</v>
      </c>
      <c r="AD2">
        <f>Table3[[#This Row],[L_A]]+Table3[[#This Row],[L_H]]</f>
        <v>8</v>
      </c>
      <c r="AE2">
        <f>Table3[[#This Row],[RW_A]]+Table3[[#This Row],[RW_H]]</f>
        <v>19</v>
      </c>
      <c r="AF2">
        <f>Table3[[#This Row],[RL_A]]+Table3[[#This Row],[RL_H]]</f>
        <v>2</v>
      </c>
      <c r="AG2">
        <f>Table3[[#This Row],[OTW_A]]+Table3[[#This Row],[OTW_H]]</f>
        <v>2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3</v>
      </c>
      <c r="AK2" s="15" t="str">
        <f>_xlfn.CONCAT(TEXT(Table3[[#This Row],[OTW]]+Table3[[#This Row],[SOW]], "0"), "-", TEXT(Table3[[#This Row],[OTL]]+Table3[[#This Row],[SOL]],"0"))</f>
        <v>2-6</v>
      </c>
      <c r="AL2">
        <f>SUM(Table3[[#This Row],[OTW]],Table3[[#This Row],[OTL]],Table3[[#This Row],[SOW]],Table3[[#This Row],[SOL]])</f>
        <v>8</v>
      </c>
      <c r="AM2">
        <f>(Table3[[#This Row],[OTW]]+Table3[[#This Row],[SOW]])/IF(Table3[[#This Row],[Total_ExtraTimes]]=0,1,Table3[[#This Row],[Total_ExtraTimes]])</f>
        <v>0.25</v>
      </c>
      <c r="AN2">
        <f>Table3[[#This Row],[Total_ExtraTimes]]/MAX(1,Table3[[#This Row],[GP]])</f>
        <v>0.27586206896551724</v>
      </c>
      <c r="AO2">
        <f>(2*(Table3[[#This Row],[W_A]]+Table3[[#This Row],[W_H]]))+Table3[[#This Row],[OTL_A]]+Table3[[#This Row],[SOL_A]]+Table3[[#This Row],[OTL_H]]+Table3[[#This Row],[SOL_H]]</f>
        <v>48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67</v>
      </c>
      <c r="AQ2" s="10">
        <f>Table3[[#This Row],[PTS]]/(2*Table3[[#This Row],[GP]])</f>
        <v>0.82758620689655171</v>
      </c>
      <c r="AR2" s="10">
        <f>Table3[[#This Row],[PTS2]]/(3*Table3[[#This Row],[GP]])</f>
        <v>0.77011494252873558</v>
      </c>
      <c r="AS2">
        <f>(2*Table3[[#This Row],[GR]])+Table3[[#This Row],[PTS]]</f>
        <v>154</v>
      </c>
      <c r="AT2">
        <f>(3*Table3[[#This Row],[GR]])+Table3[[#This Row],[PTS2]]</f>
        <v>226</v>
      </c>
      <c r="AU2">
        <f>Table3[[#This Row],[PTS]]+(2 * Table3[[#This Row],[GR]] * Table3[[#This Row],[PTS%]])</f>
        <v>135.72413793103448</v>
      </c>
      <c r="AV2">
        <f>Table3[[#This Row],[PTS2]]+(3 * Table3[[#This Row],[GR]] * Table3[[#This Row],[PTS%2]])</f>
        <v>189.44827586206895</v>
      </c>
      <c r="AW2" s="15" t="str">
        <f>_xlfn.CONCAT(TEXT(Table3[[#This Row],[W]], "0"), "-", TEXT(Table3[[#This Row],[RL]],"0"), "-", TEXT(Table3[[#This Row],[OTL]]+Table3[[#This Row],[SOL]], "0"))</f>
        <v>21-2-6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54</v>
      </c>
      <c r="AZ2">
        <f>SUMIF(DataRegularSeason20242025!$D$3:$D$1315,$A2, DataRegularSeason20242025!$K$3:$K$1315)</f>
        <v>37</v>
      </c>
      <c r="BA2">
        <f>AY2-AZ2</f>
        <v>17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61</v>
      </c>
      <c r="BD2">
        <f>SUMIF(DataRegularSeason20242025!$E$3:$E$1315,$A2,DataRegularSeason20242025!$J$3:$J$1315)</f>
        <v>29</v>
      </c>
      <c r="BE2">
        <f>BC2-BD2</f>
        <v>32</v>
      </c>
      <c r="BF2">
        <f>AY2+BC2</f>
        <v>115</v>
      </c>
      <c r="BG2">
        <f>AZ2+BD2</f>
        <v>66</v>
      </c>
      <c r="BH2">
        <f>BF2-BG2</f>
        <v>49</v>
      </c>
      <c r="BI2" s="12">
        <f>Table3[[#This Row],[GF]]/Table3[[#This Row],[GP]]</f>
        <v>3.9655172413793105</v>
      </c>
      <c r="BJ2" s="12">
        <f>Table3[[#This Row],[GA]]/Table3[[#This Row],[GP]]</f>
        <v>2.2758620689655173</v>
      </c>
      <c r="BK2" s="12">
        <f>(Table3[[#This Row],[GF]]-Table3[[#This Row],[GA]])/Table3[[#This Row],[GP]]</f>
        <v>1.6896551724137931</v>
      </c>
      <c r="BL2" s="42" t="str">
        <f>_xlfn.CONCAT(TEXT(Table3[[#This Row],[W_H]], "0"), "-", TEXT(Table3[[#This Row],[RL_H]],"0"), "-", TEXT(Table3[[#This Row],[OTL_H]]+Table3[[#This Row],[SOL_H]], "0"))</f>
        <v>11-0-2</v>
      </c>
      <c r="BM2" s="42" t="str">
        <f>_xlfn.CONCAT(TEXT(Table3[[#This Row],[W_A]], "0"), "-", TEXT(Table3[[#This Row],[RL_A]],"0"), "-", TEXT(Table3[[#This Row],[OTL_A]]+Table3[[#This Row],[SOL_A]], "0"))</f>
        <v>10-2-4</v>
      </c>
      <c r="BN2" s="42">
        <f>((2*(Table3[[#This Row],[W_H]]))+Table3[[#This Row],[OTL_H]]+Table3[[#This Row],[SOL_H]])/(2*Table3[[#This Row],[GP_H]])</f>
        <v>0.92307692307692313</v>
      </c>
      <c r="BO2" s="42">
        <f>((2*(Table3[[#This Row],[W_A]]))+Table3[[#This Row],[OTL_A]]+Table3[[#This Row],[SOL_A]])/(2*Table3[[#This Row],[GP_A]])</f>
        <v>0.75</v>
      </c>
      <c r="BP2" s="16">
        <f>(Table3[[#This Row],[W]]*$CX$3)+(Table3[[#This Row],[L]]*$CX$4)+(Table3[[#This Row],[GF]]*$CX$5)+(Table3[[#This Row],[GA]]*$CX$6)</f>
        <v>36.75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105.50422116527943</v>
      </c>
      <c r="BR2" s="16">
        <f>(Table3[[#This Row],[W]]*0.7) + ((Table3[[#This Row],[GF]] - Table3[[#This Row],[GA]])*0.25)+(Table3[[#This Row],[GF]]*0.1)+(Table3[[#This Row],[GA]]*0.05)+(Table3[[#This Row],[L]]*0.3)</f>
        <v>44.15</v>
      </c>
      <c r="BS2" s="16">
        <f>Table3[[#This Row],[TeamCost83]]/Table3[[#This Row],[GP]]</f>
        <v>1.5224137931034483</v>
      </c>
      <c r="BT2">
        <f>COUNTIFS(Table2[AwayTeam],$A2,Table2[PredictedWinner], $A2, Table2[GameIsOver], 1)</f>
        <v>14</v>
      </c>
      <c r="BU2">
        <f>COUNTIFS(Table2[HomeTeam],$A2,Table2[PredictedWinner], $A2, Table2[GameIsOver], 1)</f>
        <v>12</v>
      </c>
      <c r="BV2">
        <f>BT2+BU2</f>
        <v>26</v>
      </c>
      <c r="BW2">
        <f>F2-BT2</f>
        <v>2</v>
      </c>
      <c r="BX2">
        <f>H2-BU2</f>
        <v>1</v>
      </c>
      <c r="BY2">
        <f>BW2+BX2</f>
        <v>3</v>
      </c>
      <c r="BZ2">
        <f>Table3[[#This Row],[TimesPredictedWinner]]/Table3[[#This Row],[GP]]</f>
        <v>0.89655172413793105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8.5</v>
      </c>
      <c r="CJ2">
        <f>SUMIFS(Table2[GamePredictionScore], Table2[HomeTeam], Table3[[#This Row],[Teams]])</f>
        <v>8.2000000000000011</v>
      </c>
      <c r="CK2">
        <f>Table3[[#This Row],[Column4]]+Table3[[#This Row],[Column3]]</f>
        <v>16.700000000000003</v>
      </c>
      <c r="CL2">
        <f>Table3[[#This Row],[Column5]]/Table3[[#This Row],[GP]]</f>
        <v>0.57586206896551739</v>
      </c>
      <c r="CR2" t="s">
        <v>139</v>
      </c>
      <c r="CS2">
        <f>SUM($J$2:$J$33)/2</f>
        <v>465</v>
      </c>
      <c r="CW2" t="s">
        <v>57</v>
      </c>
      <c r="CX2" s="14" t="s">
        <v>150</v>
      </c>
      <c r="CY2">
        <f>INDEX($J$2:$J$33,MATCH("CGY",$A$2:$A$33,0),1)</f>
        <v>31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24</v>
      </c>
      <c r="E3" s="10">
        <f>Table3[[#This Row],[Watched]]/Table3[[#This Row],[GP]]</f>
        <v>0.8</v>
      </c>
      <c r="F3">
        <f>COUNTIFS(DataRegularSeason20242025!$N$3:$N$1315,1,DataRegularSeason20242025!$D$3:$D$1315,$A3)</f>
        <v>15</v>
      </c>
      <c r="G3">
        <f>41-Table3[[#This Row],[GP_A]]</f>
        <v>26</v>
      </c>
      <c r="H3">
        <f>COUNTIFS(DataRegularSeason20242025!$E$3:$E$1315,$A3,DataRegularSeason20242025!$N$3:$N$1315,1)</f>
        <v>15</v>
      </c>
      <c r="I3">
        <f>41-Table3[[#This Row],[GP_H]]</f>
        <v>26</v>
      </c>
      <c r="J3">
        <f>F3+H3</f>
        <v>30</v>
      </c>
      <c r="K3">
        <f>82-Table3[[#This Row],[GP]]</f>
        <v>52</v>
      </c>
      <c r="L3">
        <f>COUNTIFS(DataRegularSeason20242025!$D$3:$D$1315,$A3, DataRegularSeason20242025!$L$3:$L$1315, $A3,DataRegularSeason20242025!$N$3:$N$1315,1)</f>
        <v>10</v>
      </c>
      <c r="M3">
        <f>COUNTIFS(DataRegularSeason20242025!$D$3:$D$1315,$A3, DataRegularSeason20242025!$L$3:$L$1315, $A3,DataRegularSeason20242025!$N$3:$N$1315,1,DataRegularSeason20242025!$M$3:$M$1315,"REG")</f>
        <v>8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5</v>
      </c>
      <c r="Q3">
        <f>COUNTIFS(DataRegularSeason20242025!$D$3:$D$1315,$A3, DataRegularSeason20242025!$S$3:$S$1315, $A3,DataRegularSeason20242025!$M$3:$M$1315,"REG")</f>
        <v>1</v>
      </c>
      <c r="R3">
        <f>COUNTIFS(DataRegularSeason20242025!$D$3:$D$1315,$A3, DataRegularSeason20242025!$S$3:$S$1315, $A3,DataRegularSeason20242025!$M$3:$M$1315,"OT")</f>
        <v>2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10</v>
      </c>
      <c r="U3">
        <f>COUNTIFS(DataRegularSeason20242025!$E$3:$E$1315,$A3, DataRegularSeason20242025!$L$3:$L$1315, $A3,DataRegularSeason20242025!$N$3:$N$1315,1,DataRegularSeason20242025!$M$3:$M$1315,"REG")</f>
        <v>8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2</v>
      </c>
      <c r="X3">
        <f>H3-T3</f>
        <v>5</v>
      </c>
      <c r="Y3">
        <f>COUNTIFS(DataRegularSeason20242025!$E$3:$E$1315,$A3, DataRegularSeason20242025!$S$3:$S$1315, $A3,DataRegularSeason20242025!$M$3:$M$1315,"REG")</f>
        <v>4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0.66666666666666663</v>
      </c>
      <c r="AC3">
        <f>Table3[[#This Row],[W_A]]+Table3[[#This Row],[W_H]]</f>
        <v>20</v>
      </c>
      <c r="AD3">
        <f>Table3[[#This Row],[L_A]]+Table3[[#This Row],[L_H]]</f>
        <v>10</v>
      </c>
      <c r="AE3">
        <f>Table3[[#This Row],[RW_A]]+Table3[[#This Row],[RW_H]]</f>
        <v>16</v>
      </c>
      <c r="AF3">
        <f>Table3[[#This Row],[RL_A]]+Table3[[#This Row],[RL_H]]</f>
        <v>5</v>
      </c>
      <c r="AG3">
        <f>Table3[[#This Row],[OTW_A]]+Table3[[#This Row],[OTW_H]]</f>
        <v>1</v>
      </c>
      <c r="AH3">
        <f>Table3[[#This Row],[OTL_A]]+Table3[[#This Row],[OTL_H]]</f>
        <v>3</v>
      </c>
      <c r="AI3">
        <f>Table3[[#This Row],[SOW_A]]+Table3[[#This Row],[SOW_H]]</f>
        <v>3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4-5</v>
      </c>
      <c r="AL3">
        <f>SUM(Table3[[#This Row],[OTW]],Table3[[#This Row],[OTL]],Table3[[#This Row],[SOW]],Table3[[#This Row],[SOL]])</f>
        <v>9</v>
      </c>
      <c r="AM3">
        <f>(Table3[[#This Row],[OTW]]+Table3[[#This Row],[SOW]])/IF(Table3[[#This Row],[Total_ExtraTimes]]=0,1,Table3[[#This Row],[Total_ExtraTimes]])</f>
        <v>0.44444444444444442</v>
      </c>
      <c r="AN3">
        <f>Table3[[#This Row],[Total_ExtraTimes]]/MAX(1,Table3[[#This Row],[GP]])</f>
        <v>0.3</v>
      </c>
      <c r="AO3">
        <f>(2*(Table3[[#This Row],[W_A]]+Table3[[#This Row],[W_H]]))+Table3[[#This Row],[OTL_A]]+Table3[[#This Row],[SOL_A]]+Table3[[#This Row],[OTL_H]]+Table3[[#This Row],[SOL_H]]</f>
        <v>45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61</v>
      </c>
      <c r="AQ3" s="10">
        <f>Table3[[#This Row],[PTS]]/(2*Table3[[#This Row],[GP]])</f>
        <v>0.75</v>
      </c>
      <c r="AR3" s="10">
        <f>Table3[[#This Row],[PTS2]]/(3*Table3[[#This Row],[GP]])</f>
        <v>0.67777777777777781</v>
      </c>
      <c r="AS3">
        <f>(2*Table3[[#This Row],[GR]])+Table3[[#This Row],[PTS]]</f>
        <v>149</v>
      </c>
      <c r="AT3">
        <f>(3*Table3[[#This Row],[GR]])+Table3[[#This Row],[PTS2]]</f>
        <v>217</v>
      </c>
      <c r="AU3">
        <f>Table3[[#This Row],[PTS]]+(2 * Table3[[#This Row],[GR]] * Table3[[#This Row],[PTS%]])</f>
        <v>123</v>
      </c>
      <c r="AV3">
        <f>Table3[[#This Row],[PTS2]]+(3 * Table3[[#This Row],[GR]] * Table3[[#This Row],[PTS%2]])</f>
        <v>166.73333333333335</v>
      </c>
      <c r="AW3" s="15" t="str">
        <f>_xlfn.CONCAT(TEXT(Table3[[#This Row],[W]], "0"), "-", TEXT(Table3[[#This Row],[RL]],"0"), "-", TEXT(Table3[[#This Row],[OTL]]+Table3[[#This Row],[SOL]], "0"))</f>
        <v>20-5-5</v>
      </c>
      <c r="AX3">
        <f>COUNTIFS(DataRegularSeason20242025!$D$3:$D$1315,Table3[[#This Row],[Teams]],DataRegularSeason20242025!$K$3:$K$1315,0)</f>
        <v>2</v>
      </c>
      <c r="AY3">
        <f>SUMIF(DataRegularSeason20242025!$D$3:$D$1315,$A3, DataRegularSeason20242025!$J$3:$J$1315)</f>
        <v>55</v>
      </c>
      <c r="AZ3">
        <f>SUMIF(DataRegularSeason20242025!$D$3:$D$1315,$A3, DataRegularSeason20242025!$K$3:$K$1315)</f>
        <v>38</v>
      </c>
      <c r="BA3">
        <f>AY3-AZ3</f>
        <v>17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50</v>
      </c>
      <c r="BD3">
        <f>SUMIF(DataRegularSeason20242025!$E$3:$E$1315,$A3,DataRegularSeason20242025!$J$3:$J$1315)</f>
        <v>39</v>
      </c>
      <c r="BE3">
        <f>BC3-BD3</f>
        <v>11</v>
      </c>
      <c r="BF3">
        <f>AY3+BC3</f>
        <v>105</v>
      </c>
      <c r="BG3">
        <f>AZ3+BD3</f>
        <v>77</v>
      </c>
      <c r="BH3">
        <f>BF3-BG3</f>
        <v>28</v>
      </c>
      <c r="BI3" s="12">
        <f>Table3[[#This Row],[GF]]/Table3[[#This Row],[GP]]</f>
        <v>3.5</v>
      </c>
      <c r="BJ3" s="12">
        <f>Table3[[#This Row],[GA]]/Table3[[#This Row],[GP]]</f>
        <v>2.5666666666666669</v>
      </c>
      <c r="BK3" s="12">
        <f>(Table3[[#This Row],[GF]]-Table3[[#This Row],[GA]])/Table3[[#This Row],[GP]]</f>
        <v>0.93333333333333335</v>
      </c>
      <c r="BL3" s="42" t="str">
        <f>_xlfn.CONCAT(TEXT(Table3[[#This Row],[W_H]], "0"), "-", TEXT(Table3[[#This Row],[RL_H]],"0"), "-", TEXT(Table3[[#This Row],[OTL_H]]+Table3[[#This Row],[SOL_H]], "0"))</f>
        <v>10-4-1</v>
      </c>
      <c r="BM3" s="42" t="str">
        <f>_xlfn.CONCAT(TEXT(Table3[[#This Row],[W_A]], "0"), "-", TEXT(Table3[[#This Row],[RL_A]],"0"), "-", TEXT(Table3[[#This Row],[OTL_A]]+Table3[[#This Row],[SOL_A]], "0"))</f>
        <v>10-1-4</v>
      </c>
      <c r="BN3" s="42">
        <f>((2*(Table3[[#This Row],[W_H]]))+Table3[[#This Row],[OTL_H]]+Table3[[#This Row],[SOL_H]])/(2*Table3[[#This Row],[GP_H]])</f>
        <v>0.7</v>
      </c>
      <c r="BO3" s="42">
        <f>((2*(Table3[[#This Row],[W_A]]))+Table3[[#This Row],[OTL_A]]+Table3[[#This Row],[SOL_A]])/(2*Table3[[#This Row],[GP_A]])</f>
        <v>0.8</v>
      </c>
      <c r="BP3" s="16">
        <f>(Table3[[#This Row],[W]]*$CX$3)+(Table3[[#This Row],[L]]*$CX$4)+(Table3[[#This Row],[GF]]*$CX$5)+(Table3[[#This Row],[GA]]*$CX$6)</f>
        <v>36.450000000000003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101.77666666666667</v>
      </c>
      <c r="BR3" s="16">
        <f>(Table3[[#This Row],[W]]*0.7) + ((Table3[[#This Row],[GF]] - Table3[[#This Row],[GA]])*0.25)+(Table3[[#This Row],[GF]]*0.1)+(Table3[[#This Row],[GA]]*0.05)+(Table3[[#This Row],[L]]*0.3)</f>
        <v>38.35</v>
      </c>
      <c r="BS3" s="16">
        <f>Table3[[#This Row],[TeamCost83]]/Table3[[#This Row],[GP]]</f>
        <v>1.2783333333333333</v>
      </c>
      <c r="BT3">
        <f>COUNTIFS(Table2[AwayTeam],$A3,Table2[PredictedWinner], $A3, Table2[GameIsOver], 1)</f>
        <v>8</v>
      </c>
      <c r="BU3">
        <f>COUNTIFS(Table2[HomeTeam],$A3,Table2[PredictedWinner], $A3, Table2[GameIsOver], 1)</f>
        <v>11</v>
      </c>
      <c r="BV3">
        <f>BT3+BU3</f>
        <v>19</v>
      </c>
      <c r="BW3">
        <f>F3-BT3</f>
        <v>7</v>
      </c>
      <c r="BX3">
        <f>H3-BU3</f>
        <v>4</v>
      </c>
      <c r="BY3">
        <f>BW3+BX3</f>
        <v>11</v>
      </c>
      <c r="BZ3">
        <f>Table3[[#This Row],[TimesPredictedWinner]]/Table3[[#This Row],[GP]]</f>
        <v>0.6333333333333333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7.5</v>
      </c>
      <c r="CJ3">
        <f>SUMIFS(Table2[GamePredictionScore], Table2[HomeTeam], Table3[[#This Row],[Teams]])</f>
        <v>7.1000000000000005</v>
      </c>
      <c r="CK3">
        <f>Table3[[#This Row],[Column4]]+Table3[[#This Row],[Column3]]</f>
        <v>14.600000000000001</v>
      </c>
      <c r="CL3">
        <f>Table3[[#This Row],[Column5]]/Table3[[#This Row],[GP]]</f>
        <v>0.48666666666666669</v>
      </c>
      <c r="CR3" t="s">
        <v>137</v>
      </c>
      <c r="CS3">
        <f>SUM($D$2:$D$33)/2</f>
        <v>391</v>
      </c>
      <c r="CW3" t="s">
        <v>90</v>
      </c>
      <c r="CX3" s="16">
        <v>0.5</v>
      </c>
      <c r="CY3">
        <f>INDEX($AC$2:$AC$33,MATCH("CGY",$A$2:$A$33,0),1)</f>
        <v>12</v>
      </c>
      <c r="DA3" s="16">
        <f>CX3*CY3</f>
        <v>6</v>
      </c>
      <c r="DB3" s="10">
        <f>DA3/$DA$7</f>
        <v>0.18320610687022901</v>
      </c>
    </row>
    <row r="4" spans="1:144" x14ac:dyDescent="0.25">
      <c r="A4" t="s">
        <v>43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22</v>
      </c>
      <c r="E4" s="10">
        <f>Table3[[#This Row],[Watched]]/Table3[[#This Row],[GP]]</f>
        <v>0.73333333333333328</v>
      </c>
      <c r="F4">
        <f>COUNTIFS(DataRegularSeason20242025!$N$3:$N$1315,1,DataRegularSeason20242025!$D$3:$D$1315,$A4)</f>
        <v>14</v>
      </c>
      <c r="G4">
        <f>41-Table3[[#This Row],[GP_A]]</f>
        <v>27</v>
      </c>
      <c r="H4">
        <f>COUNTIFS(DataRegularSeason20242025!$E$3:$E$1315,$A4,DataRegularSeason20242025!$N$3:$N$1315,1)</f>
        <v>16</v>
      </c>
      <c r="I4">
        <f>41-Table3[[#This Row],[GP_H]]</f>
        <v>25</v>
      </c>
      <c r="J4">
        <f>F4+H4</f>
        <v>30</v>
      </c>
      <c r="K4">
        <f>82-Table3[[#This Row],[GP]]</f>
        <v>52</v>
      </c>
      <c r="L4">
        <f>COUNTIFS(DataRegularSeason20242025!$D$3:$D$1315,$A4, DataRegularSeason20242025!$L$3:$L$1315, $A4,DataRegularSeason20242025!$N$3:$N$1315,1)</f>
        <v>8</v>
      </c>
      <c r="M4">
        <f>COUNTIFS(DataRegularSeason20242025!$D$3:$D$1315,$A4, DataRegularSeason20242025!$L$3:$L$1315, $A4,DataRegularSeason20242025!$N$3:$N$1315,1,DataRegularSeason20242025!$M$3:$M$1315,"REG")</f>
        <v>8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>F4-L4</f>
        <v>6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2</v>
      </c>
      <c r="T4">
        <f>COUNTIFS(DataRegularSeason20242025!$E$3:$E$1315,$A4, DataRegularSeason20242025!$L$3:$L$1315, $A4, DataRegularSeason20242025!$N$3:$N$1315,1)</f>
        <v>10</v>
      </c>
      <c r="U4">
        <f>COUNTIFS(DataRegularSeason20242025!$E$3:$E$1315,$A4, DataRegularSeason20242025!$L$3:$L$1315, $A4,DataRegularSeason20242025!$N$3:$N$1315,1,DataRegularSeason20242025!$M$3:$M$1315,"REG")</f>
        <v>9</v>
      </c>
      <c r="V4">
        <f>COUNTIFS(DataRegularSeason20242025!$E$3:$E$1315,$A4, DataRegularSeason20242025!$L$3:$L$1315, $A4,DataRegularSeason20242025!$N$3:$N$1315,1,DataRegularSeason20242025!$M$3:$M$1315,"OT")</f>
        <v>1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>H4-T4</f>
        <v>6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0</v>
      </c>
      <c r="AA4">
        <f>COUNTIFS(DataRegularSeason20242025!$E$3:$E$1315,$A4, DataRegularSeason20242025!$S$3:$S$1315, $A4,DataRegularSeason20242025!$M$3:$M$1315,"SO")</f>
        <v>1</v>
      </c>
      <c r="AB4">
        <f>Table3[[#This Row],[W]]/MAX(1,Table3[[#This Row],[W]]+Table3[[#This Row],[L]])</f>
        <v>0.6</v>
      </c>
      <c r="AC4">
        <f>Table3[[#This Row],[W_A]]+Table3[[#This Row],[W_H]]</f>
        <v>18</v>
      </c>
      <c r="AD4">
        <f>Table3[[#This Row],[L_A]]+Table3[[#This Row],[L_H]]</f>
        <v>12</v>
      </c>
      <c r="AE4">
        <f>Table3[[#This Row],[RW_A]]+Table3[[#This Row],[RW_H]]</f>
        <v>17</v>
      </c>
      <c r="AF4">
        <f>Table3[[#This Row],[RL_A]]+Table3[[#This Row],[RL_H]]</f>
        <v>9</v>
      </c>
      <c r="AG4">
        <f>Table3[[#This Row],[OTW_A]]+Table3[[#This Row],[OTW_H]]</f>
        <v>1</v>
      </c>
      <c r="AH4">
        <f>Table3[[#This Row],[OTL_A]]+Table3[[#This Row],[OTL_H]]</f>
        <v>0</v>
      </c>
      <c r="AI4">
        <f>Table3[[#This Row],[SOW_A]]+Table3[[#This Row],[SOW_H]]</f>
        <v>0</v>
      </c>
      <c r="AJ4">
        <f>Table3[[#This Row],[SOL_A]]+Table3[[#This Row],[SOL_H]]</f>
        <v>3</v>
      </c>
      <c r="AK4" s="15" t="str">
        <f>_xlfn.CONCAT(TEXT(Table3[[#This Row],[OTW]]+Table3[[#This Row],[SOW]], "0"), "-", TEXT(Table3[[#This Row],[OTL]]+Table3[[#This Row],[SOL]],"0"))</f>
        <v>1-3</v>
      </c>
      <c r="AL4">
        <f>SUM(Table3[[#This Row],[OTW]],Table3[[#This Row],[OTL]],Table3[[#This Row],[SOW]],Table3[[#This Row],[SOL]])</f>
        <v>4</v>
      </c>
      <c r="AM4">
        <f>(Table3[[#This Row],[OTW]]+Table3[[#This Row],[SOW]])/IF(Table3[[#This Row],[Total_ExtraTimes]]=0,1,Table3[[#This Row],[Total_ExtraTimes]])</f>
        <v>0.25</v>
      </c>
      <c r="AN4">
        <f>Table3[[#This Row],[Total_ExtraTimes]]/MAX(1,Table3[[#This Row],[GP]])</f>
        <v>0.13333333333333333</v>
      </c>
      <c r="AO4">
        <f>(2*(Table3[[#This Row],[W_A]]+Table3[[#This Row],[W_H]]))+Table3[[#This Row],[OTL_A]]+Table3[[#This Row],[SOL_A]]+Table3[[#This Row],[OTL_H]]+Table3[[#This Row],[SOL_H]]</f>
        <v>39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56</v>
      </c>
      <c r="AQ4" s="10">
        <f>Table3[[#This Row],[PTS]]/(2*Table3[[#This Row],[GP]])</f>
        <v>0.65</v>
      </c>
      <c r="AR4" s="10">
        <f>Table3[[#This Row],[PTS2]]/(3*Table3[[#This Row],[GP]])</f>
        <v>0.62222222222222223</v>
      </c>
      <c r="AS4">
        <f>(2*Table3[[#This Row],[GR]])+Table3[[#This Row],[PTS]]</f>
        <v>143</v>
      </c>
      <c r="AT4">
        <f>(3*Table3[[#This Row],[GR]])+Table3[[#This Row],[PTS2]]</f>
        <v>212</v>
      </c>
      <c r="AU4">
        <f>Table3[[#This Row],[PTS]]+(2 * Table3[[#This Row],[GR]] * Table3[[#This Row],[PTS%]])</f>
        <v>106.60000000000001</v>
      </c>
      <c r="AV4">
        <f>Table3[[#This Row],[PTS2]]+(3 * Table3[[#This Row],[GR]] * Table3[[#This Row],[PTS%2]])</f>
        <v>153.06666666666666</v>
      </c>
      <c r="AW4" s="15" t="str">
        <f>_xlfn.CONCAT(TEXT(Table3[[#This Row],[W]], "0"), "-", TEXT(Table3[[#This Row],[RL]],"0"), "-", TEXT(Table3[[#This Row],[OTL]]+Table3[[#This Row],[SOL]], "0"))</f>
        <v>18-9-3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50</v>
      </c>
      <c r="AZ4">
        <f>SUMIF(DataRegularSeason20242025!$D$3:$D$1315,$A4, DataRegularSeason20242025!$K$3:$K$1315)</f>
        <v>34</v>
      </c>
      <c r="BA4">
        <f>AY4-AZ4</f>
        <v>16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53</v>
      </c>
      <c r="BD4">
        <f>SUMIF(DataRegularSeason20242025!$E$3:$E$1315,$A4,DataRegularSeason20242025!$J$3:$J$1315)</f>
        <v>41</v>
      </c>
      <c r="BE4">
        <f>BC4-BD4</f>
        <v>12</v>
      </c>
      <c r="BF4">
        <f>AY4+BC4</f>
        <v>103</v>
      </c>
      <c r="BG4">
        <f>AZ4+BD4</f>
        <v>75</v>
      </c>
      <c r="BH4">
        <f>BF4-BG4</f>
        <v>28</v>
      </c>
      <c r="BI4" s="12">
        <f>Table3[[#This Row],[GF]]/Table3[[#This Row],[GP]]</f>
        <v>3.4333333333333331</v>
      </c>
      <c r="BJ4" s="12">
        <f>Table3[[#This Row],[GA]]/Table3[[#This Row],[GP]]</f>
        <v>2.5</v>
      </c>
      <c r="BK4" s="12">
        <f>(Table3[[#This Row],[GF]]-Table3[[#This Row],[GA]])/Table3[[#This Row],[GP]]</f>
        <v>0.93333333333333335</v>
      </c>
      <c r="BL4" s="42" t="str">
        <f>_xlfn.CONCAT(TEXT(Table3[[#This Row],[W_H]], "0"), "-", TEXT(Table3[[#This Row],[RL_H]],"0"), "-", TEXT(Table3[[#This Row],[OTL_H]]+Table3[[#This Row],[SOL_H]], "0"))</f>
        <v>10-5-1</v>
      </c>
      <c r="BM4" s="42" t="str">
        <f>_xlfn.CONCAT(TEXT(Table3[[#This Row],[W_A]], "0"), "-", TEXT(Table3[[#This Row],[RL_A]],"0"), "-", TEXT(Table3[[#This Row],[OTL_A]]+Table3[[#This Row],[SOL_A]], "0"))</f>
        <v>8-4-2</v>
      </c>
      <c r="BN4" s="42">
        <f>((2*(Table3[[#This Row],[W_H]]))+Table3[[#This Row],[OTL_H]]+Table3[[#This Row],[SOL_H]])/(2*Table3[[#This Row],[GP_H]])</f>
        <v>0.65625</v>
      </c>
      <c r="BO4" s="42">
        <f>((2*(Table3[[#This Row],[W_A]]))+Table3[[#This Row],[OTL_A]]+Table3[[#This Row],[SOL_A]])/(2*Table3[[#This Row],[GP_A]])</f>
        <v>0.6428571428571429</v>
      </c>
      <c r="BP4" s="16">
        <f>(Table3[[#This Row],[W]]*$CX$3)+(Table3[[#This Row],[L]]*$CX$4)+(Table3[[#This Row],[GF]]*$CX$5)+(Table3[[#This Row],[GA]]*$CX$6)</f>
        <v>35.549999999999997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99.455333333333328</v>
      </c>
      <c r="BR4" s="16">
        <f>(Table3[[#This Row],[W]]*0.7) + ((Table3[[#This Row],[GF]] - Table3[[#This Row],[GA]])*0.25)+(Table3[[#This Row],[GF]]*0.1)+(Table3[[#This Row],[GA]]*0.05)+(Table3[[#This Row],[L]]*0.3)</f>
        <v>37.250000000000007</v>
      </c>
      <c r="BS4" s="16">
        <f>Table3[[#This Row],[TeamCost83]]/Table3[[#This Row],[GP]]</f>
        <v>1.2416666666666669</v>
      </c>
      <c r="BT4">
        <f>COUNTIFS(Table2[AwayTeam],$A4,Table2[PredictedWinner], $A4, Table2[GameIsOver], 1)</f>
        <v>7</v>
      </c>
      <c r="BU4">
        <f>COUNTIFS(Table2[HomeTeam],$A4,Table2[PredictedWinner], $A4, Table2[GameIsOver], 1)</f>
        <v>15</v>
      </c>
      <c r="BV4">
        <f>BT4+BU4</f>
        <v>22</v>
      </c>
      <c r="BW4">
        <f>F4-BT4</f>
        <v>7</v>
      </c>
      <c r="BX4">
        <f>H4-BU4</f>
        <v>1</v>
      </c>
      <c r="BY4">
        <f>BW4+BX4</f>
        <v>8</v>
      </c>
      <c r="BZ4">
        <f>Table3[[#This Row],[TimesPredictedWinner]]/Table3[[#This Row],[GP]]</f>
        <v>0.73333333333333328</v>
      </c>
      <c r="CB4">
        <v>2018</v>
      </c>
      <c r="CD4" s="1">
        <v>45736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7.7000000000000011</v>
      </c>
      <c r="CJ4">
        <f>SUMIFS(Table2[GamePredictionScore], Table2[HomeTeam], Table3[[#This Row],[Teams]])</f>
        <v>7.9</v>
      </c>
      <c r="CK4">
        <f>Table3[[#This Row],[Column4]]+Table3[[#This Row],[Column3]]</f>
        <v>15.600000000000001</v>
      </c>
      <c r="CL4">
        <f>Table3[[#This Row],[Column5]]/Table3[[#This Row],[GP]]</f>
        <v>0.52</v>
      </c>
      <c r="CR4" t="s">
        <v>138</v>
      </c>
      <c r="CS4">
        <f>$CS$2-$CS$3</f>
        <v>74</v>
      </c>
      <c r="CW4" t="s">
        <v>119</v>
      </c>
      <c r="CX4" s="16">
        <v>0.3</v>
      </c>
      <c r="CY4">
        <f>INDEX($AD$2:$AD$33,MATCH("CGY",$A$2:$A$33,0),1)</f>
        <v>19</v>
      </c>
      <c r="DA4" s="16">
        <f>CX4*CY4</f>
        <v>5.7</v>
      </c>
      <c r="DB4" s="10">
        <f>DA4/$DA$7</f>
        <v>0.17404580152671756</v>
      </c>
    </row>
    <row r="5" spans="1:144" x14ac:dyDescent="0.25">
      <c r="A5" t="s">
        <v>41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24</v>
      </c>
      <c r="E5" s="10">
        <f>Table3[[#This Row],[Watched]]/Table3[[#This Row],[GP]]</f>
        <v>0.8571428571428571</v>
      </c>
      <c r="F5">
        <f>COUNTIFS(DataRegularSeason20242025!$N$3:$N$1315,1,DataRegularSeason20242025!$D$3:$D$1315,$A5)</f>
        <v>13</v>
      </c>
      <c r="G5">
        <f>41-Table3[[#This Row],[GP_A]]</f>
        <v>28</v>
      </c>
      <c r="H5">
        <f>COUNTIFS(DataRegularSeason20242025!$E$3:$E$1315,$A5,DataRegularSeason20242025!$N$3:$N$1315,1)</f>
        <v>15</v>
      </c>
      <c r="I5">
        <f>41-Table3[[#This Row],[GP_H]]</f>
        <v>26</v>
      </c>
      <c r="J5">
        <f>F5+H5</f>
        <v>28</v>
      </c>
      <c r="K5">
        <f>82-Table3[[#This Row],[GP]]</f>
        <v>54</v>
      </c>
      <c r="L5">
        <f>COUNTIFS(DataRegularSeason20242025!$D$3:$D$1315,$A5, DataRegularSeason20242025!$L$3:$L$1315, $A5,DataRegularSeason20242025!$N$3:$N$1315,1)</f>
        <v>8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>F5-L5</f>
        <v>5</v>
      </c>
      <c r="Q5">
        <f>COUNTIFS(DataRegularSeason20242025!$D$3:$D$1315,$A5, DataRegularSeason20242025!$S$3:$S$1315, $A5,DataRegularSeason20242025!$M$3:$M$1315,"REG")</f>
        <v>4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9</v>
      </c>
      <c r="U5">
        <f>COUNTIFS(DataRegularSeason20242025!$E$3:$E$1315,$A5, DataRegularSeason20242025!$L$3:$L$1315, $A5,DataRegularSeason20242025!$N$3:$N$1315,1,DataRegularSeason20242025!$M$3:$M$1315,"REG")</f>
        <v>6</v>
      </c>
      <c r="V5">
        <f>COUNTIFS(DataRegularSeason20242025!$E$3:$E$1315,$A5, DataRegularSeason20242025!$L$3:$L$1315, $A5,DataRegularSeason20242025!$N$3:$N$1315,1,DataRegularSeason20242025!$M$3:$M$1315,"OT")</f>
        <v>3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>H5-T5</f>
        <v>6</v>
      </c>
      <c r="Y5">
        <f>COUNTIFS(DataRegularSeason20242025!$E$3:$E$1315,$A5, DataRegularSeason20242025!$S$3:$S$1315, $A5,DataRegularSeason20242025!$M$3:$M$1315,"REG")</f>
        <v>5</v>
      </c>
      <c r="Z5">
        <f>COUNTIFS(DataRegularSeason20242025!$E$3:$E$1315,$A5, DataRegularSeason20242025!$S$3:$S$1315, $A5,DataRegularSeason20242025!$M$3:$M$1315,"OT")</f>
        <v>1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0.6071428571428571</v>
      </c>
      <c r="AC5">
        <f>Table3[[#This Row],[W_A]]+Table3[[#This Row],[W_H]]</f>
        <v>17</v>
      </c>
      <c r="AD5">
        <f>Table3[[#This Row],[L_A]]+Table3[[#This Row],[L_H]]</f>
        <v>11</v>
      </c>
      <c r="AE5">
        <f>Table3[[#This Row],[RW_A]]+Table3[[#This Row],[RW_H]]</f>
        <v>12</v>
      </c>
      <c r="AF5">
        <f>Table3[[#This Row],[RL_A]]+Table3[[#This Row],[RL_H]]</f>
        <v>9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1</v>
      </c>
      <c r="AK5" s="15" t="str">
        <f>_xlfn.CONCAT(TEXT(Table3[[#This Row],[OTW]]+Table3[[#This Row],[SOW]], "0"), "-", TEXT(Table3[[#This Row],[OTL]]+Table3[[#This Row],[SOL]],"0"))</f>
        <v>5-2</v>
      </c>
      <c r="AL5">
        <f>SUM(Table3[[#This Row],[OTW]],Table3[[#This Row],[OTL]],Table3[[#This Row],[SOW]],Table3[[#This Row],[SOL]])</f>
        <v>7</v>
      </c>
      <c r="AM5">
        <f>(Table3[[#This Row],[OTW]]+Table3[[#This Row],[SOW]])/IF(Table3[[#This Row],[Total_ExtraTimes]]=0,1,Table3[[#This Row],[Total_ExtraTimes]])</f>
        <v>0.7142857142857143</v>
      </c>
      <c r="AN5">
        <f>Table3[[#This Row],[Total_ExtraTimes]]/MAX(1,Table3[[#This Row],[GP]])</f>
        <v>0.25</v>
      </c>
      <c r="AO5">
        <f>(2*(Table3[[#This Row],[W_A]]+Table3[[#This Row],[W_H]]))+Table3[[#This Row],[OTL_A]]+Table3[[#This Row],[SOL_A]]+Table3[[#This Row],[OTL_H]]+Table3[[#This Row],[SOL_H]]</f>
        <v>36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5" s="10">
        <f>Table3[[#This Row],[PTS]]/(2*Table3[[#This Row],[GP]])</f>
        <v>0.6428571428571429</v>
      </c>
      <c r="AR5" s="10">
        <f>Table3[[#This Row],[PTS2]]/(3*Table3[[#This Row],[GP]])</f>
        <v>0.5714285714285714</v>
      </c>
      <c r="AS5">
        <f>(2*Table3[[#This Row],[GR]])+Table3[[#This Row],[PTS]]</f>
        <v>144</v>
      </c>
      <c r="AT5">
        <f>(3*Table3[[#This Row],[GR]])+Table3[[#This Row],[PTS2]]</f>
        <v>210</v>
      </c>
      <c r="AU5">
        <f>Table3[[#This Row],[PTS]]+(2 * Table3[[#This Row],[GR]] * Table3[[#This Row],[PTS%]])</f>
        <v>105.42857142857143</v>
      </c>
      <c r="AV5">
        <f>Table3[[#This Row],[PTS2]]+(3 * Table3[[#This Row],[GR]] * Table3[[#This Row],[PTS%2]])</f>
        <v>140.57142857142856</v>
      </c>
      <c r="AW5" s="15" t="str">
        <f>_xlfn.CONCAT(TEXT(Table3[[#This Row],[W]], "0"), "-", TEXT(Table3[[#This Row],[RL]],"0"), "-", TEXT(Table3[[#This Row],[OTL]]+Table3[[#This Row],[SOL]], "0"))</f>
        <v>17-9-2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41</v>
      </c>
      <c r="AZ5">
        <f>SUMIF(DataRegularSeason20242025!$D$3:$D$1315,$A5, DataRegularSeason20242025!$K$3:$K$1315)</f>
        <v>34</v>
      </c>
      <c r="BA5">
        <f>AY5-AZ5</f>
        <v>7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53</v>
      </c>
      <c r="BD5">
        <f>SUMIF(DataRegularSeason20242025!$E$3:$E$1315,$A5,DataRegularSeason20242025!$J$3:$J$1315)</f>
        <v>48</v>
      </c>
      <c r="BE5">
        <f>BC5-BD5</f>
        <v>5</v>
      </c>
      <c r="BF5">
        <f>AY5+BC5</f>
        <v>94</v>
      </c>
      <c r="BG5">
        <f>AZ5+BD5</f>
        <v>82</v>
      </c>
      <c r="BH5">
        <f>BF5-BG5</f>
        <v>12</v>
      </c>
      <c r="BI5" s="12">
        <f>Table3[[#This Row],[GF]]/Table3[[#This Row],[GP]]</f>
        <v>3.3571428571428572</v>
      </c>
      <c r="BJ5" s="12">
        <f>Table3[[#This Row],[GA]]/Table3[[#This Row],[GP]]</f>
        <v>2.9285714285714284</v>
      </c>
      <c r="BK5" s="12">
        <f>(Table3[[#This Row],[GF]]-Table3[[#This Row],[GA]])/Table3[[#This Row],[GP]]</f>
        <v>0.42857142857142855</v>
      </c>
      <c r="BL5" s="42" t="str">
        <f>_xlfn.CONCAT(TEXT(Table3[[#This Row],[W_H]], "0"), "-", TEXT(Table3[[#This Row],[RL_H]],"0"), "-", TEXT(Table3[[#This Row],[OTL_H]]+Table3[[#This Row],[SOL_H]], "0"))</f>
        <v>9-5-1</v>
      </c>
      <c r="BM5" s="42" t="str">
        <f>_xlfn.CONCAT(TEXT(Table3[[#This Row],[W_A]], "0"), "-", TEXT(Table3[[#This Row],[RL_A]],"0"), "-", TEXT(Table3[[#This Row],[OTL_A]]+Table3[[#This Row],[SOL_A]], "0"))</f>
        <v>8-4-1</v>
      </c>
      <c r="BN5" s="42">
        <f>((2*(Table3[[#This Row],[W_H]]))+Table3[[#This Row],[OTL_H]]+Table3[[#This Row],[SOL_H]])/(2*Table3[[#This Row],[GP_H]])</f>
        <v>0.6333333333333333</v>
      </c>
      <c r="BO5" s="42">
        <f>((2*(Table3[[#This Row],[W_A]]))+Table3[[#This Row],[OTL_A]]+Table3[[#This Row],[SOL_A]])/(2*Table3[[#This Row],[GP_A]])</f>
        <v>0.65384615384615385</v>
      </c>
      <c r="BP5" s="16">
        <f>(Table3[[#This Row],[W]]*$CX$3)+(Table3[[#This Row],[L]]*$CX$4)+(Table3[[#This Row],[GF]]*$CX$5)+(Table3[[#This Row],[GA]]*$CX$6)</f>
        <v>34.1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100.66224489795918</v>
      </c>
      <c r="BR5" s="16">
        <f>(Table3[[#This Row],[W]]*0.7) + ((Table3[[#This Row],[GF]] - Table3[[#This Row],[GA]])*0.25)+(Table3[[#This Row],[GF]]*0.1)+(Table3[[#This Row],[GA]]*0.05)+(Table3[[#This Row],[L]]*0.3)</f>
        <v>31.7</v>
      </c>
      <c r="BS5" s="16">
        <f>Table3[[#This Row],[TeamCost83]]/Table3[[#This Row],[GP]]</f>
        <v>1.1321428571428571</v>
      </c>
      <c r="BT5">
        <f>COUNTIFS(Table2[AwayTeam],$A5,Table2[PredictedWinner], $A5, Table2[GameIsOver], 1)</f>
        <v>9</v>
      </c>
      <c r="BU5">
        <f>COUNTIFS(Table2[HomeTeam],$A5,Table2[PredictedWinner], $A5, Table2[GameIsOver], 1)</f>
        <v>14</v>
      </c>
      <c r="BV5">
        <f>BT5+BU5</f>
        <v>23</v>
      </c>
      <c r="BW5">
        <f>F5-BT5</f>
        <v>4</v>
      </c>
      <c r="BX5">
        <f>H5-BU5</f>
        <v>1</v>
      </c>
      <c r="BY5">
        <f>BW5+BX5</f>
        <v>5</v>
      </c>
      <c r="BZ5">
        <f>Table3[[#This Row],[TimesPredictedWinner]]/Table3[[#This Row],[GP]]</f>
        <v>0.8214285714285714</v>
      </c>
      <c r="CB5">
        <v>2006</v>
      </c>
      <c r="CD5" s="1">
        <v>45749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6.8</v>
      </c>
      <c r="CJ5">
        <f>SUMIFS(Table2[GamePredictionScore], Table2[HomeTeam], Table3[[#This Row],[Teams]])</f>
        <v>6.6</v>
      </c>
      <c r="CK5">
        <f>Table3[[#This Row],[Column4]]+Table3[[#This Row],[Column3]]</f>
        <v>13.399999999999999</v>
      </c>
      <c r="CL5">
        <f>Table3[[#This Row],[Column5]]/Table3[[#This Row],[GP]]</f>
        <v>0.47857142857142854</v>
      </c>
      <c r="CR5" t="s">
        <v>140</v>
      </c>
      <c r="CS5">
        <f>SUM($BF$2:$BF$33)</f>
        <v>2843</v>
      </c>
      <c r="CW5" t="s">
        <v>67</v>
      </c>
      <c r="CX5" s="16">
        <v>0.15</v>
      </c>
      <c r="CY5">
        <f>INDEX($BF$2:$BF$33,MATCH("CGY",$A$2:$A$33,0),1)</f>
        <v>79</v>
      </c>
      <c r="CZ5">
        <f>CY5/CY2</f>
        <v>2.5483870967741935</v>
      </c>
      <c r="DA5" s="16">
        <f>CX5*CY5</f>
        <v>11.85</v>
      </c>
      <c r="DB5" s="10">
        <f>DA5/$DA$7</f>
        <v>0.3618320610687023</v>
      </c>
    </row>
    <row r="6" spans="1:144" ht="15.75" thickBot="1" x14ac:dyDescent="0.3">
      <c r="A6" t="s">
        <v>26</v>
      </c>
      <c r="B6" t="s">
        <v>90</v>
      </c>
      <c r="C6" t="s">
        <v>93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23</v>
      </c>
      <c r="E6" s="10">
        <f>Table3[[#This Row],[Watched]]/Table3[[#This Row],[GP]]</f>
        <v>0.8214285714285714</v>
      </c>
      <c r="F6">
        <f>COUNTIFS(DataRegularSeason20242025!$N$3:$N$1315,1,DataRegularSeason20242025!$D$3:$D$1315,$A6)</f>
        <v>13</v>
      </c>
      <c r="G6">
        <f>41-Table3[[#This Row],[GP_A]]</f>
        <v>28</v>
      </c>
      <c r="H6">
        <f>COUNTIFS(DataRegularSeason20242025!$E$3:$E$1315,$A6,DataRegularSeason20242025!$N$3:$N$1315,1)</f>
        <v>15</v>
      </c>
      <c r="I6">
        <f>41-Table3[[#This Row],[GP_H]]</f>
        <v>26</v>
      </c>
      <c r="J6">
        <f>F6+H6</f>
        <v>28</v>
      </c>
      <c r="K6">
        <f>82-Table3[[#This Row],[GP]]</f>
        <v>54</v>
      </c>
      <c r="L6">
        <f>COUNTIFS(DataRegularSeason20242025!$D$3:$D$1315,$A6, DataRegularSeason20242025!$L$3:$L$1315, $A6,DataRegularSeason20242025!$N$3:$N$1315,1)</f>
        <v>7</v>
      </c>
      <c r="M6">
        <f>COUNTIFS(DataRegularSeason20242025!$D$3:$D$1315,$A6, DataRegularSeason20242025!$L$3:$L$1315, $A6,DataRegularSeason20242025!$N$3:$N$1315,1,DataRegularSeason20242025!$M$3:$M$1315,"REG")</f>
        <v>5</v>
      </c>
      <c r="N6">
        <f>COUNTIFS(DataRegularSeason20242025!$D$3:$D$1315,$A6, DataRegularSeason20242025!$L$3:$L$1315, $A6,DataRegularSeason20242025!$N$3:$N$1315,1,DataRegularSeason20242025!$M$3:$M$1315,"OT")</f>
        <v>2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>F6-L6</f>
        <v>6</v>
      </c>
      <c r="Q6">
        <f>COUNTIFS(DataRegularSeason20242025!$D$3:$D$1315,$A6, DataRegularSeason20242025!$S$3:$S$1315, $A6,DataRegularSeason20242025!$M$3:$M$1315,"REG")</f>
        <v>2</v>
      </c>
      <c r="R6">
        <f>COUNTIFS(DataRegularSeason20242025!$D$3:$D$1315,$A6, DataRegularSeason20242025!$S$3:$S$1315, $A6,DataRegularSeason20242025!$M$3:$M$1315,"OT")</f>
        <v>4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7</v>
      </c>
      <c r="U6">
        <f>COUNTIFS(DataRegularSeason20242025!$E$3:$E$1315,$A6, DataRegularSeason20242025!$L$3:$L$1315, $A6,DataRegularSeason20242025!$N$3:$N$1315,1,DataRegularSeason20242025!$M$3:$M$1315,"REG")</f>
        <v>6</v>
      </c>
      <c r="V6">
        <f>COUNTIFS(DataRegularSeason20242025!$E$3:$E$1315,$A6, DataRegularSeason20242025!$L$3:$L$1315, $A6,DataRegularSeason20242025!$N$3:$N$1315,1,DataRegularSeason20242025!$M$3:$M$1315,"OT")</f>
        <v>0</v>
      </c>
      <c r="W6">
        <f>COUNTIFS(DataRegularSeason20242025!$E$3:$E$1315,$A6, DataRegularSeason20242025!$L$3:$L$1315, $A6,DataRegularSeason20242025!$N$3:$N$1315,1,DataRegularSeason20242025!$M$3:$M$1315,"SO")</f>
        <v>1</v>
      </c>
      <c r="X6">
        <f>H6-T6</f>
        <v>8</v>
      </c>
      <c r="Y6">
        <f>COUNTIFS(DataRegularSeason20242025!$E$3:$E$1315,$A6, DataRegularSeason20242025!$S$3:$S$1315, $A6,DataRegularSeason20242025!$M$3:$M$1315,"REG")</f>
        <v>4</v>
      </c>
      <c r="Z6">
        <f>COUNTIFS(DataRegularSeason20242025!$E$3:$E$1315,$A6, DataRegularSeason20242025!$S$3:$S$1315, $A6,DataRegularSeason20242025!$M$3:$M$1315,"OT")</f>
        <v>2</v>
      </c>
      <c r="AA6">
        <f>COUNTIFS(DataRegularSeason20242025!$E$3:$E$1315,$A6, DataRegularSeason20242025!$S$3:$S$1315, $A6,DataRegularSeason20242025!$M$3:$M$1315,"SO")</f>
        <v>2</v>
      </c>
      <c r="AB6">
        <f>Table3[[#This Row],[W]]/MAX(1,Table3[[#This Row],[W]]+Table3[[#This Row],[L]])</f>
        <v>0.5</v>
      </c>
      <c r="AC6">
        <f>Table3[[#This Row],[W_A]]+Table3[[#This Row],[W_H]]</f>
        <v>14</v>
      </c>
      <c r="AD6">
        <f>Table3[[#This Row],[L_A]]+Table3[[#This Row],[L_H]]</f>
        <v>14</v>
      </c>
      <c r="AE6">
        <f>Table3[[#This Row],[RW_A]]+Table3[[#This Row],[RW_H]]</f>
        <v>11</v>
      </c>
      <c r="AF6">
        <f>Table3[[#This Row],[RL_A]]+Table3[[#This Row],[RL_H]]</f>
        <v>6</v>
      </c>
      <c r="AG6">
        <f>Table3[[#This Row],[OTW_A]]+Table3[[#This Row],[OTW_H]]</f>
        <v>2</v>
      </c>
      <c r="AH6">
        <f>Table3[[#This Row],[OTL_A]]+Table3[[#This Row],[OTL_H]]</f>
        <v>6</v>
      </c>
      <c r="AI6">
        <f>Table3[[#This Row],[SOW_A]]+Table3[[#This Row],[SOW_H]]</f>
        <v>1</v>
      </c>
      <c r="AJ6">
        <f>Table3[[#This Row],[SOL_A]]+Table3[[#This Row],[SOL_H]]</f>
        <v>2</v>
      </c>
      <c r="AK6" s="15" t="str">
        <f>_xlfn.CONCAT(TEXT(Table3[[#This Row],[OTW]]+Table3[[#This Row],[SOW]], "0"), "-", TEXT(Table3[[#This Row],[OTL]]+Table3[[#This Row],[SOL]],"0"))</f>
        <v>3-8</v>
      </c>
      <c r="AL6">
        <f>SUM(Table3[[#This Row],[OTW]],Table3[[#This Row],[OTL]],Table3[[#This Row],[SOW]],Table3[[#This Row],[SOL]])</f>
        <v>11</v>
      </c>
      <c r="AM6">
        <f>(Table3[[#This Row],[OTW]]+Table3[[#This Row],[SOW]])/IF(Table3[[#This Row],[Total_ExtraTimes]]=0,1,Table3[[#This Row],[Total_ExtraTimes]])</f>
        <v>0.27272727272727271</v>
      </c>
      <c r="AN6">
        <f>Table3[[#This Row],[Total_ExtraTimes]]/MAX(1,Table3[[#This Row],[GP]])</f>
        <v>0.39285714285714285</v>
      </c>
      <c r="AO6">
        <f>(2*(Table3[[#This Row],[W_A]]+Table3[[#This Row],[W_H]]))+Table3[[#This Row],[OTL_A]]+Table3[[#This Row],[SOL_A]]+Table3[[#This Row],[OTL_H]]+Table3[[#This Row],[SOL_H]]</f>
        <v>36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6" s="10">
        <f>Table3[[#This Row],[PTS]]/(2*Table3[[#This Row],[GP]])</f>
        <v>0.6428571428571429</v>
      </c>
      <c r="AR6" s="10">
        <f>Table3[[#This Row],[PTS2]]/(3*Table3[[#This Row],[GP]])</f>
        <v>0.55952380952380953</v>
      </c>
      <c r="AS6">
        <f>(2*Table3[[#This Row],[GR]])+Table3[[#This Row],[PTS]]</f>
        <v>144</v>
      </c>
      <c r="AT6">
        <f>(3*Table3[[#This Row],[GR]])+Table3[[#This Row],[PTS2]]</f>
        <v>209</v>
      </c>
      <c r="AU6">
        <f>Table3[[#This Row],[PTS]]+(2 * Table3[[#This Row],[GR]] * Table3[[#This Row],[PTS%]])</f>
        <v>105.42857142857143</v>
      </c>
      <c r="AV6">
        <f>Table3[[#This Row],[PTS2]]+(3 * Table3[[#This Row],[GR]] * Table3[[#This Row],[PTS%2]])</f>
        <v>137.64285714285714</v>
      </c>
      <c r="AW6" s="15" t="str">
        <f>_xlfn.CONCAT(TEXT(Table3[[#This Row],[W]], "0"), "-", TEXT(Table3[[#This Row],[RL]],"0"), "-", TEXT(Table3[[#This Row],[OTL]]+Table3[[#This Row],[SOL]], "0"))</f>
        <v>14-6-8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36</v>
      </c>
      <c r="AZ6">
        <f>SUMIF(DataRegularSeason20242025!$D$3:$D$1315,$A6, DataRegularSeason20242025!$K$3:$K$1315)</f>
        <v>31</v>
      </c>
      <c r="BA6">
        <f>AY6-AZ6</f>
        <v>5</v>
      </c>
      <c r="BB6">
        <f>COUNTIFS(DataRegularSeason20242025!$E$3:$E$1315,Table3[[#This Row],[Teams]],DataRegularSeason20242025!$J$3:$J$1315,0)</f>
        <v>1</v>
      </c>
      <c r="BC6">
        <f>SUMIF(DataRegularSeason20242025!$E$3:$E$1315,$A6,DataRegularSeason20242025!$K$3:$K$1315)</f>
        <v>50</v>
      </c>
      <c r="BD6">
        <f>SUMIF(DataRegularSeason20242025!$E$3:$E$1315,$A6,DataRegularSeason20242025!$J$3:$J$1315)</f>
        <v>50</v>
      </c>
      <c r="BE6">
        <f>BC6-BD6</f>
        <v>0</v>
      </c>
      <c r="BF6">
        <f>AY6+BC6</f>
        <v>86</v>
      </c>
      <c r="BG6">
        <f>AZ6+BD6</f>
        <v>81</v>
      </c>
      <c r="BH6">
        <f>BF6-BG6</f>
        <v>5</v>
      </c>
      <c r="BI6" s="12">
        <f>Table3[[#This Row],[GF]]/Table3[[#This Row],[GP]]</f>
        <v>3.0714285714285716</v>
      </c>
      <c r="BJ6" s="12">
        <f>Table3[[#This Row],[GA]]/Table3[[#This Row],[GP]]</f>
        <v>2.8928571428571428</v>
      </c>
      <c r="BK6" s="12">
        <f>(Table3[[#This Row],[GF]]-Table3[[#This Row],[GA]])/Table3[[#This Row],[GP]]</f>
        <v>0.17857142857142858</v>
      </c>
      <c r="BL6" s="42" t="str">
        <f>_xlfn.CONCAT(TEXT(Table3[[#This Row],[W_H]], "0"), "-", TEXT(Table3[[#This Row],[RL_H]],"0"), "-", TEXT(Table3[[#This Row],[OTL_H]]+Table3[[#This Row],[SOL_H]], "0"))</f>
        <v>7-4-4</v>
      </c>
      <c r="BM6" s="42" t="str">
        <f>_xlfn.CONCAT(TEXT(Table3[[#This Row],[W_A]], "0"), "-", TEXT(Table3[[#This Row],[RL_A]],"0"), "-", TEXT(Table3[[#This Row],[OTL_A]]+Table3[[#This Row],[SOL_A]], "0"))</f>
        <v>7-2-4</v>
      </c>
      <c r="BN6" s="42">
        <f>((2*(Table3[[#This Row],[W_H]]))+Table3[[#This Row],[OTL_H]]+Table3[[#This Row],[SOL_H]])/(2*Table3[[#This Row],[GP_H]])</f>
        <v>0.6</v>
      </c>
      <c r="BO6" s="42">
        <f>((2*(Table3[[#This Row],[W_A]]))+Table3[[#This Row],[OTL_A]]+Table3[[#This Row],[SOL_A]])/(2*Table3[[#This Row],[GP_A]])</f>
        <v>0.69230769230769229</v>
      </c>
      <c r="BP6" s="16">
        <f>(Table3[[#This Row],[W]]*$CX$3)+(Table3[[#This Row],[L]]*$CX$4)+(Table3[[#This Row],[GF]]*$CX$5)+(Table3[[#This Row],[GA]]*$CX$6)</f>
        <v>32.200000000000003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94.955102040816328</v>
      </c>
      <c r="BR6" s="16">
        <f>(Table3[[#This Row],[W]]*0.7) + ((Table3[[#This Row],[GF]] - Table3[[#This Row],[GA]])*0.25)+(Table3[[#This Row],[GF]]*0.1)+(Table3[[#This Row],[GA]]*0.05)+(Table3[[#This Row],[L]]*0.3)</f>
        <v>27.9</v>
      </c>
      <c r="BS6" s="16">
        <f>Table3[[#This Row],[TeamCost83]]/Table3[[#This Row],[GP]]</f>
        <v>0.99642857142857133</v>
      </c>
      <c r="BT6">
        <f>COUNTIFS(Table2[AwayTeam],$A6,Table2[PredictedWinner], $A6, Table2[GameIsOver], 1)</f>
        <v>6</v>
      </c>
      <c r="BU6">
        <f>COUNTIFS(Table2[HomeTeam],$A6,Table2[PredictedWinner], $A6, Table2[GameIsOver], 1)</f>
        <v>6</v>
      </c>
      <c r="BV6">
        <f>BT6+BU6</f>
        <v>12</v>
      </c>
      <c r="BW6">
        <f>F6-BT6</f>
        <v>7</v>
      </c>
      <c r="BX6">
        <f>H6-BU6</f>
        <v>9</v>
      </c>
      <c r="BY6">
        <f>BW6+BX6</f>
        <v>16</v>
      </c>
      <c r="BZ6">
        <f>Table3[[#This Row],[TimesPredictedWinner]]/Table3[[#This Row],[GP]]</f>
        <v>0.42857142857142855</v>
      </c>
      <c r="CB6">
        <v>2023</v>
      </c>
      <c r="CD6" s="1">
        <v>45748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5.1999999999999993</v>
      </c>
      <c r="CJ6">
        <f>SUMIFS(Table2[GamePredictionScore], Table2[HomeTeam], Table3[[#This Row],[Teams]])</f>
        <v>6.8000000000000007</v>
      </c>
      <c r="CK6">
        <f>Table3[[#This Row],[Column4]]+Table3[[#This Row],[Column3]]</f>
        <v>12</v>
      </c>
      <c r="CL6">
        <f>Table3[[#This Row],[Column5]]/Table3[[#This Row],[GP]]</f>
        <v>0.42857142857142855</v>
      </c>
      <c r="CR6" t="s">
        <v>141</v>
      </c>
      <c r="CS6">
        <f>SUM($AX$2:$AX$33)+SUM($BB$2:$BB$33)</f>
        <v>46</v>
      </c>
      <c r="CW6" t="s">
        <v>68</v>
      </c>
      <c r="CX6" s="16">
        <v>0.1</v>
      </c>
      <c r="CY6">
        <f>INDEX($BG$2:$BG$33,MATCH("CGY",$A$2:$A$33,0),1)</f>
        <v>92</v>
      </c>
      <c r="CZ6">
        <f>CY6/CY2</f>
        <v>2.967741935483871</v>
      </c>
      <c r="DA6" s="16">
        <f>CX6*CY6</f>
        <v>9.2000000000000011</v>
      </c>
      <c r="DB6" s="10">
        <f>DA6/$DA$7</f>
        <v>0.28091603053435116</v>
      </c>
    </row>
    <row r="7" spans="1:144" ht="16.5" thickTop="1" thickBot="1" x14ac:dyDescent="0.3">
      <c r="A7" t="s">
        <v>44</v>
      </c>
      <c r="B7" t="s">
        <v>90</v>
      </c>
      <c r="C7" t="s">
        <v>93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22</v>
      </c>
      <c r="E7" s="10">
        <f>Table3[[#This Row],[Watched]]/Table3[[#This Row],[GP]]</f>
        <v>0.75862068965517238</v>
      </c>
      <c r="F7">
        <f>COUNTIFS(DataRegularSeason20242025!$N$3:$N$1315,1,DataRegularSeason20242025!$D$3:$D$1315,$A7)</f>
        <v>14</v>
      </c>
      <c r="G7">
        <f>41-Table3[[#This Row],[GP_A]]</f>
        <v>27</v>
      </c>
      <c r="H7">
        <f>COUNTIFS(DataRegularSeason20242025!$E$3:$E$1315,$A7,DataRegularSeason20242025!$N$3:$N$1315,1)</f>
        <v>15</v>
      </c>
      <c r="I7">
        <f>41-Table3[[#This Row],[GP_H]]</f>
        <v>26</v>
      </c>
      <c r="J7">
        <f>F7+H7</f>
        <v>29</v>
      </c>
      <c r="K7">
        <f>82-Table3[[#This Row],[GP]]</f>
        <v>53</v>
      </c>
      <c r="L7">
        <f>COUNTIFS(DataRegularSeason20242025!$D$3:$D$1315,$A7, DataRegularSeason20242025!$L$3:$L$1315, $A7,DataRegularSeason20242025!$N$3:$N$1315,1)</f>
        <v>7</v>
      </c>
      <c r="M7">
        <f>COUNTIFS(DataRegularSeason20242025!$D$3:$D$1315,$A7, DataRegularSeason20242025!$L$3:$L$1315, $A7,DataRegularSeason20242025!$N$3:$N$1315,1,DataRegularSeason20242025!$M$3:$M$1315,"REG")</f>
        <v>4</v>
      </c>
      <c r="N7">
        <f>COUNTIFS(DataRegularSeason20242025!$D$3:$D$1315,$A7, DataRegularSeason20242025!$L$3:$L$1315, $A7,DataRegularSeason20242025!$N$3:$N$1315,1,DataRegularSeason20242025!$M$3:$M$1315,"OT")</f>
        <v>2</v>
      </c>
      <c r="O7">
        <f>COUNTIFS(DataRegularSeason20242025!$D$3:$D$1315,$A7, DataRegularSeason20242025!$L$3:$L$1315, $A7,DataRegularSeason20242025!$N$3:$N$1315,1,DataRegularSeason20242025!$M$3:$M$1315,"SO")</f>
        <v>1</v>
      </c>
      <c r="P7">
        <f>F7-L7</f>
        <v>7</v>
      </c>
      <c r="Q7">
        <f>COUNTIFS(DataRegularSeason20242025!$D$3:$D$1315,$A7, DataRegularSeason20242025!$S$3:$S$1315, $A7,DataRegularSeason20242025!$M$3:$M$1315,"REG")</f>
        <v>6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11</v>
      </c>
      <c r="U7">
        <f>COUNTIFS(DataRegularSeason20242025!$E$3:$E$1315,$A7, DataRegularSeason20242025!$L$3:$L$1315, $A7,DataRegularSeason20242025!$N$3:$N$1315,1,DataRegularSeason20242025!$M$3:$M$1315,"REG")</f>
        <v>7</v>
      </c>
      <c r="V7">
        <f>COUNTIFS(DataRegularSeason20242025!$E$3:$E$1315,$A7, DataRegularSeason20242025!$L$3:$L$1315, $A7,DataRegularSeason20242025!$N$3:$N$1315,1,DataRegularSeason20242025!$M$3:$M$1315,"OT")</f>
        <v>2</v>
      </c>
      <c r="W7">
        <f>COUNTIFS(DataRegularSeason20242025!$E$3:$E$1315,$A7, DataRegularSeason20242025!$L$3:$L$1315, $A7,DataRegularSeason20242025!$N$3:$N$1315,1,DataRegularSeason20242025!$M$3:$M$1315,"SO")</f>
        <v>2</v>
      </c>
      <c r="X7">
        <f>H7-T7</f>
        <v>4</v>
      </c>
      <c r="Y7">
        <f>COUNTIFS(DataRegularSeason20242025!$E$3:$E$1315,$A7, DataRegularSeason20242025!$S$3:$S$1315, $A7,DataRegularSeason20242025!$M$3:$M$1315,"REG")</f>
        <v>4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0</v>
      </c>
      <c r="AB7">
        <f>Table3[[#This Row],[W]]/MAX(1,Table3[[#This Row],[W]]+Table3[[#This Row],[L]])</f>
        <v>0.62068965517241381</v>
      </c>
      <c r="AC7">
        <f>Table3[[#This Row],[W_A]]+Table3[[#This Row],[W_H]]</f>
        <v>18</v>
      </c>
      <c r="AD7">
        <f>Table3[[#This Row],[L_A]]+Table3[[#This Row],[L_H]]</f>
        <v>11</v>
      </c>
      <c r="AE7">
        <f>Table3[[#This Row],[RW_A]]+Table3[[#This Row],[RW_H]]</f>
        <v>11</v>
      </c>
      <c r="AF7">
        <f>Table3[[#This Row],[RL_A]]+Table3[[#This Row],[RL_H]]</f>
        <v>10</v>
      </c>
      <c r="AG7">
        <f>Table3[[#This Row],[OTW_A]]+Table3[[#This Row],[OTW_H]]</f>
        <v>4</v>
      </c>
      <c r="AH7">
        <f>Table3[[#This Row],[OTL_A]]+Table3[[#This Row],[OTL_H]]</f>
        <v>1</v>
      </c>
      <c r="AI7">
        <f>Table3[[#This Row],[SOW_A]]+Table3[[#This Row],[SOW_H]]</f>
        <v>3</v>
      </c>
      <c r="AJ7">
        <f>Table3[[#This Row],[SOL_A]]+Table3[[#This Row],[SOL_H]]</f>
        <v>0</v>
      </c>
      <c r="AK7" s="15" t="str">
        <f>_xlfn.CONCAT(TEXT(Table3[[#This Row],[OTW]]+Table3[[#This Row],[SOW]], "0"), "-", TEXT(Table3[[#This Row],[OTL]]+Table3[[#This Row],[SOL]],"0"))</f>
        <v>7-1</v>
      </c>
      <c r="AL7">
        <f>SUM(Table3[[#This Row],[OTW]],Table3[[#This Row],[OTL]],Table3[[#This Row],[SOW]],Table3[[#This Row],[SOL]])</f>
        <v>8</v>
      </c>
      <c r="AM7">
        <f>(Table3[[#This Row],[OTW]]+Table3[[#This Row],[SOW]])/IF(Table3[[#This Row],[Total_ExtraTimes]]=0,1,Table3[[#This Row],[Total_ExtraTimes]])</f>
        <v>0.875</v>
      </c>
      <c r="AN7">
        <f>Table3[[#This Row],[Total_ExtraTimes]]/MAX(1,Table3[[#This Row],[GP]])</f>
        <v>0.27586206896551724</v>
      </c>
      <c r="AO7">
        <f>(2*(Table3[[#This Row],[W_A]]+Table3[[#This Row],[W_H]]))+Table3[[#This Row],[OTL_A]]+Table3[[#This Row],[SOL_A]]+Table3[[#This Row],[OTL_H]]+Table3[[#This Row],[SOL_H]]</f>
        <v>37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7" s="10">
        <f>Table3[[#This Row],[PTS]]/(2*Table3[[#This Row],[GP]])</f>
        <v>0.63793103448275867</v>
      </c>
      <c r="AR7" s="10">
        <f>Table3[[#This Row],[PTS2]]/(3*Table3[[#This Row],[GP]])</f>
        <v>0.55172413793103448</v>
      </c>
      <c r="AS7">
        <f>(2*Table3[[#This Row],[GR]])+Table3[[#This Row],[PTS]]</f>
        <v>143</v>
      </c>
      <c r="AT7">
        <f>(3*Table3[[#This Row],[GR]])+Table3[[#This Row],[PTS2]]</f>
        <v>207</v>
      </c>
      <c r="AU7">
        <f>Table3[[#This Row],[PTS]]+(2 * Table3[[#This Row],[GR]] * Table3[[#This Row],[PTS%]])</f>
        <v>104.62068965517241</v>
      </c>
      <c r="AV7">
        <f>Table3[[#This Row],[PTS2]]+(3 * Table3[[#This Row],[GR]] * Table3[[#This Row],[PTS%2]])</f>
        <v>135.72413793103448</v>
      </c>
      <c r="AW7" s="15" t="str">
        <f>_xlfn.CONCAT(TEXT(Table3[[#This Row],[W]], "0"), "-", TEXT(Table3[[#This Row],[RL]],"0"), "-", TEXT(Table3[[#This Row],[OTL]]+Table3[[#This Row],[SOL]], "0"))</f>
        <v>18-10-1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49</v>
      </c>
      <c r="AZ7">
        <f>SUMIF(DataRegularSeason20242025!$D$3:$D$1315,$A7, DataRegularSeason20242025!$K$3:$K$1315)</f>
        <v>50</v>
      </c>
      <c r="BA7">
        <f>AY7-AZ7</f>
        <v>-1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58</v>
      </c>
      <c r="BD7">
        <f>SUMIF(DataRegularSeason20242025!$E$3:$E$1315,$A7,DataRegularSeason20242025!$J$3:$J$1315)</f>
        <v>45</v>
      </c>
      <c r="BE7">
        <f>BC7-BD7</f>
        <v>13</v>
      </c>
      <c r="BF7">
        <f>AY7+BC7</f>
        <v>107</v>
      </c>
      <c r="BG7">
        <f>AZ7+BD7</f>
        <v>95</v>
      </c>
      <c r="BH7">
        <f>BF7-BG7</f>
        <v>12</v>
      </c>
      <c r="BI7" s="12">
        <f>Table3[[#This Row],[GF]]/Table3[[#This Row],[GP]]</f>
        <v>3.6896551724137931</v>
      </c>
      <c r="BJ7" s="12">
        <f>Table3[[#This Row],[GA]]/Table3[[#This Row],[GP]]</f>
        <v>3.2758620689655173</v>
      </c>
      <c r="BK7" s="12">
        <f>(Table3[[#This Row],[GF]]-Table3[[#This Row],[GA]])/Table3[[#This Row],[GP]]</f>
        <v>0.41379310344827586</v>
      </c>
      <c r="BL7" s="42" t="str">
        <f>_xlfn.CONCAT(TEXT(Table3[[#This Row],[W_H]], "0"), "-", TEXT(Table3[[#This Row],[RL_H]],"0"), "-", TEXT(Table3[[#This Row],[OTL_H]]+Table3[[#This Row],[SOL_H]], "0"))</f>
        <v>11-4-0</v>
      </c>
      <c r="BM7" s="42" t="str">
        <f>_xlfn.CONCAT(TEXT(Table3[[#This Row],[W_A]], "0"), "-", TEXT(Table3[[#This Row],[RL_A]],"0"), "-", TEXT(Table3[[#This Row],[OTL_A]]+Table3[[#This Row],[SOL_A]], "0"))</f>
        <v>7-6-1</v>
      </c>
      <c r="BN7" s="42">
        <f>((2*(Table3[[#This Row],[W_H]]))+Table3[[#This Row],[OTL_H]]+Table3[[#This Row],[SOL_H]])/(2*Table3[[#This Row],[GP_H]])</f>
        <v>0.73333333333333328</v>
      </c>
      <c r="BO7" s="42">
        <f>((2*(Table3[[#This Row],[W_A]]))+Table3[[#This Row],[OTL_A]]+Table3[[#This Row],[SOL_A]])/(2*Table3[[#This Row],[GP_A]])</f>
        <v>0.5357142857142857</v>
      </c>
      <c r="BP7" s="16">
        <f>(Table3[[#This Row],[W]]*$CX$3)+(Table3[[#This Row],[L]]*$CX$4)+(Table3[[#This Row],[GF]]*$CX$5)+(Table3[[#This Row],[GA]]*$CX$6)</f>
        <v>37.85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111.30386444708681</v>
      </c>
      <c r="BR7" s="16">
        <f>(Table3[[#This Row],[W]]*0.7) + ((Table3[[#This Row],[GF]] - Table3[[#This Row],[GA]])*0.25)+(Table3[[#This Row],[GF]]*0.1)+(Table3[[#This Row],[GA]]*0.05)+(Table3[[#This Row],[L]]*0.3)</f>
        <v>34.35</v>
      </c>
      <c r="BS7" s="16">
        <f>Table3[[#This Row],[TeamCost83]]/Table3[[#This Row],[GP]]</f>
        <v>1.1844827586206896</v>
      </c>
      <c r="BT7">
        <f>COUNTIFS(Table2[AwayTeam],$A7,Table2[PredictedWinner], $A7, Table2[GameIsOver], 1)</f>
        <v>10</v>
      </c>
      <c r="BU7">
        <f>COUNTIFS(Table2[HomeTeam],$A7,Table2[PredictedWinner], $A7, Table2[GameIsOver], 1)</f>
        <v>8</v>
      </c>
      <c r="BV7">
        <f>BT7+BU7</f>
        <v>18</v>
      </c>
      <c r="BW7">
        <f>F7-BT7</f>
        <v>4</v>
      </c>
      <c r="BX7">
        <f>H7-BU7</f>
        <v>7</v>
      </c>
      <c r="BY7">
        <f>BW7+BX7</f>
        <v>11</v>
      </c>
      <c r="BZ7">
        <f>Table3[[#This Row],[TimesPredictedWinner]]/Table3[[#This Row],[GP]]</f>
        <v>0.62068965517241381</v>
      </c>
      <c r="CA7" s="4"/>
      <c r="CB7">
        <v>2007</v>
      </c>
      <c r="CC7" s="1">
        <v>45750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6.1000000000000005</v>
      </c>
      <c r="CJ7">
        <f>SUMIFS(Table2[GamePredictionScore], Table2[HomeTeam], Table3[[#This Row],[Teams]])</f>
        <v>6.6</v>
      </c>
      <c r="CK7">
        <f>Table3[[#This Row],[Column4]]+Table3[[#This Row],[Column3]]</f>
        <v>12.7</v>
      </c>
      <c r="CL7">
        <f>Table3[[#This Row],[Column5]]/Table3[[#This Row],[GP]]</f>
        <v>0.43793103448275861</v>
      </c>
      <c r="CR7" t="s">
        <v>142</v>
      </c>
      <c r="CS7">
        <f>SUM($AG$2:$AG$33)</f>
        <v>80</v>
      </c>
      <c r="CW7" t="s">
        <v>543</v>
      </c>
      <c r="CX7">
        <f>INDEX($AQ$2:$AQ$33,MATCH("CGY",$A$2:$A$33,0),1)</f>
        <v>0.45161290322580644</v>
      </c>
      <c r="CZ7" s="17">
        <f>(CX4+(ABS(CX3-CX4)*CX7))+(CX5*CZ5)+(CX6*CZ6)</f>
        <v>1.0693548387096774</v>
      </c>
      <c r="DA7" s="88">
        <f>SUM(DA3:DA6)</f>
        <v>32.75</v>
      </c>
      <c r="DD7" t="s">
        <v>763</v>
      </c>
    </row>
    <row r="8" spans="1:144" ht="15.75" thickTop="1" x14ac:dyDescent="0.25">
      <c r="A8" t="s">
        <v>20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23</v>
      </c>
      <c r="E8" s="10">
        <f>Table3[[#This Row],[Watched]]/Table3[[#This Row],[GP]]</f>
        <v>0.85185185185185186</v>
      </c>
      <c r="F8">
        <f>COUNTIFS(DataRegularSeason20242025!$N$3:$N$1315,1,DataRegularSeason20242025!$D$3:$D$1315,$A8)</f>
        <v>15</v>
      </c>
      <c r="G8">
        <f>41-Table3[[#This Row],[GP_A]]</f>
        <v>26</v>
      </c>
      <c r="H8">
        <f>COUNTIFS(DataRegularSeason20242025!$E$3:$E$1315,$A8,DataRegularSeason20242025!$N$3:$N$1315,1)</f>
        <v>12</v>
      </c>
      <c r="I8">
        <f>41-Table3[[#This Row],[GP_H]]</f>
        <v>29</v>
      </c>
      <c r="J8">
        <f>F8+H8</f>
        <v>27</v>
      </c>
      <c r="K8">
        <f>82-Table3[[#This Row],[GP]]</f>
        <v>55</v>
      </c>
      <c r="L8">
        <f>COUNTIFS(DataRegularSeason20242025!$D$3:$D$1315,$A8, DataRegularSeason20242025!$L$3:$L$1315, $A8,DataRegularSeason20242025!$N$3:$N$1315,1)</f>
        <v>8</v>
      </c>
      <c r="M8">
        <f>COUNTIFS(DataRegularSeason20242025!$D$3:$D$1315,$A8, DataRegularSeason20242025!$L$3:$L$1315, $A8,DataRegularSeason20242025!$N$3:$N$1315,1,DataRegularSeason20242025!$M$3:$M$1315,"REG")</f>
        <v>7</v>
      </c>
      <c r="N8">
        <f>COUNTIFS(DataRegularSeason20242025!$D$3:$D$1315,$A8, DataRegularSeason20242025!$L$3:$L$1315, $A8,DataRegularSeason20242025!$N$3:$N$1315,1,DataRegularSeason20242025!$M$3:$M$1315,"OT")</f>
        <v>1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>F8-L8</f>
        <v>7</v>
      </c>
      <c r="Q8">
        <f>COUNTIFS(DataRegularSeason20242025!$D$3:$D$1315,$A8, DataRegularSeason20242025!$S$3:$S$1315, $A8,DataRegularSeason20242025!$M$3:$M$1315,"REG")</f>
        <v>3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3</v>
      </c>
      <c r="T8">
        <f>COUNTIFS(DataRegularSeason20242025!$E$3:$E$1315,$A8, DataRegularSeason20242025!$L$3:$L$1315, $A8, DataRegularSeason20242025!$N$3:$N$1315,1)</f>
        <v>6</v>
      </c>
      <c r="U8">
        <f>COUNTIFS(DataRegularSeason20242025!$E$3:$E$1315,$A8, DataRegularSeason20242025!$L$3:$L$1315, $A8,DataRegularSeason20242025!$N$3:$N$1315,1,DataRegularSeason20242025!$M$3:$M$1315,"REG")</f>
        <v>6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>H8-T8</f>
        <v>6</v>
      </c>
      <c r="Y8">
        <f>COUNTIFS(DataRegularSeason20242025!$E$3:$E$1315,$A8, DataRegularSeason20242025!$S$3:$S$1315, $A8,DataRegularSeason20242025!$M$3:$M$1315,"REG")</f>
        <v>4</v>
      </c>
      <c r="Z8">
        <f>COUNTIFS(DataRegularSeason20242025!$E$3:$E$1315,$A8, DataRegularSeason20242025!$S$3:$S$1315, $A8,DataRegularSeason20242025!$M$3:$M$1315,"OT")</f>
        <v>1</v>
      </c>
      <c r="AA8">
        <f>COUNTIFS(DataRegularSeason20242025!$E$3:$E$1315,$A8, DataRegularSeason20242025!$S$3:$S$1315, $A8,DataRegularSeason20242025!$M$3:$M$1315,"SO")</f>
        <v>1</v>
      </c>
      <c r="AB8">
        <f>Table3[[#This Row],[W]]/MAX(1,Table3[[#This Row],[W]]+Table3[[#This Row],[L]])</f>
        <v>0.51851851851851849</v>
      </c>
      <c r="AC8">
        <f>Table3[[#This Row],[W_A]]+Table3[[#This Row],[W_H]]</f>
        <v>14</v>
      </c>
      <c r="AD8">
        <f>Table3[[#This Row],[L_A]]+Table3[[#This Row],[L_H]]</f>
        <v>13</v>
      </c>
      <c r="AE8">
        <f>Table3[[#This Row],[RW_A]]+Table3[[#This Row],[RW_H]]</f>
        <v>13</v>
      </c>
      <c r="AF8">
        <f>Table3[[#This Row],[RL_A]]+Table3[[#This Row],[RL_H]]</f>
        <v>7</v>
      </c>
      <c r="AG8">
        <f>Table3[[#This Row],[OTW_A]]+Table3[[#This Row],[OTW_H]]</f>
        <v>1</v>
      </c>
      <c r="AH8">
        <f>Table3[[#This Row],[OTL_A]]+Table3[[#This Row],[OTL_H]]</f>
        <v>2</v>
      </c>
      <c r="AI8">
        <f>Table3[[#This Row],[SOW_A]]+Table3[[#This Row],[SOW_H]]</f>
        <v>0</v>
      </c>
      <c r="AJ8">
        <f>Table3[[#This Row],[SOL_A]]+Table3[[#This Row],[SOL_H]]</f>
        <v>4</v>
      </c>
      <c r="AK8" s="15" t="str">
        <f>_xlfn.CONCAT(TEXT(Table3[[#This Row],[OTW]]+Table3[[#This Row],[SOW]], "0"), "-", TEXT(Table3[[#This Row],[OTL]]+Table3[[#This Row],[SOL]],"0"))</f>
        <v>1-6</v>
      </c>
      <c r="AL8">
        <f>SUM(Table3[[#This Row],[OTW]],Table3[[#This Row],[OTL]],Table3[[#This Row],[SOW]],Table3[[#This Row],[SOL]])</f>
        <v>7</v>
      </c>
      <c r="AM8">
        <f>(Table3[[#This Row],[OTW]]+Table3[[#This Row],[SOW]])/IF(Table3[[#This Row],[Total_ExtraTimes]]=0,1,Table3[[#This Row],[Total_ExtraTimes]])</f>
        <v>0.14285714285714285</v>
      </c>
      <c r="AN8">
        <f>Table3[[#This Row],[Total_ExtraTimes]]/MAX(1,Table3[[#This Row],[GP]])</f>
        <v>0.25925925925925924</v>
      </c>
      <c r="AO8">
        <f>(2*(Table3[[#This Row],[W_A]]+Table3[[#This Row],[W_H]]))+Table3[[#This Row],[OTL_A]]+Table3[[#This Row],[SOL_A]]+Table3[[#This Row],[OTL_H]]+Table3[[#This Row],[SOL_H]]</f>
        <v>34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8" s="10">
        <f>Table3[[#This Row],[PTS]]/(2*Table3[[#This Row],[GP]])</f>
        <v>0.62962962962962965</v>
      </c>
      <c r="AR8" s="10">
        <f>Table3[[#This Row],[PTS2]]/(3*Table3[[#This Row],[GP]])</f>
        <v>0.58024691358024694</v>
      </c>
      <c r="AS8">
        <f>(2*Table3[[#This Row],[GR]])+Table3[[#This Row],[PTS]]</f>
        <v>144</v>
      </c>
      <c r="AT8">
        <f>(3*Table3[[#This Row],[GR]])+Table3[[#This Row],[PTS2]]</f>
        <v>212</v>
      </c>
      <c r="AU8">
        <f>Table3[[#This Row],[PTS]]+(2 * Table3[[#This Row],[GR]] * Table3[[#This Row],[PTS%]])</f>
        <v>103.25925925925927</v>
      </c>
      <c r="AV8">
        <f>Table3[[#This Row],[PTS2]]+(3 * Table3[[#This Row],[GR]] * Table3[[#This Row],[PTS%2]])</f>
        <v>142.74074074074076</v>
      </c>
      <c r="AW8" s="15" t="str">
        <f>_xlfn.CONCAT(TEXT(Table3[[#This Row],[W]], "0"), "-", TEXT(Table3[[#This Row],[RL]],"0"), "-", TEXT(Table3[[#This Row],[OTL]]+Table3[[#This Row],[SOL]], "0"))</f>
        <v>14-7-6</v>
      </c>
      <c r="AX8">
        <f>COUNTIFS(DataRegularSeason20242025!$D$3:$D$1315,Table3[[#This Row],[Teams]],DataRegularSeason20242025!$K$3:$K$1315,0)</f>
        <v>2</v>
      </c>
      <c r="AY8">
        <f>SUMIF(DataRegularSeason20242025!$D$3:$D$1315,$A8, DataRegularSeason20242025!$J$3:$J$1315)</f>
        <v>46</v>
      </c>
      <c r="AZ8">
        <f>SUMIF(DataRegularSeason20242025!$D$3:$D$1315,$A8, DataRegularSeason20242025!$K$3:$K$1315)</f>
        <v>36</v>
      </c>
      <c r="BA8">
        <f>AY8-AZ8</f>
        <v>10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39</v>
      </c>
      <c r="BD8">
        <f>SUMIF(DataRegularSeason20242025!$E$3:$E$1315,$A8,DataRegularSeason20242025!$J$3:$J$1315)</f>
        <v>41</v>
      </c>
      <c r="BE8">
        <f>BC8-BD8</f>
        <v>-2</v>
      </c>
      <c r="BF8">
        <f>AY8+BC8</f>
        <v>85</v>
      </c>
      <c r="BG8">
        <f>AZ8+BD8</f>
        <v>77</v>
      </c>
      <c r="BH8">
        <f>BF8-BG8</f>
        <v>8</v>
      </c>
      <c r="BI8" s="12">
        <f>Table3[[#This Row],[GF]]/Table3[[#This Row],[GP]]</f>
        <v>3.1481481481481484</v>
      </c>
      <c r="BJ8" s="12">
        <f>Table3[[#This Row],[GA]]/Table3[[#This Row],[GP]]</f>
        <v>2.8518518518518516</v>
      </c>
      <c r="BK8" s="12">
        <f>(Table3[[#This Row],[GF]]-Table3[[#This Row],[GA]])/Table3[[#This Row],[GP]]</f>
        <v>0.29629629629629628</v>
      </c>
      <c r="BL8" s="42" t="str">
        <f>_xlfn.CONCAT(TEXT(Table3[[#This Row],[W_H]], "0"), "-", TEXT(Table3[[#This Row],[RL_H]],"0"), "-", TEXT(Table3[[#This Row],[OTL_H]]+Table3[[#This Row],[SOL_H]], "0"))</f>
        <v>6-4-2</v>
      </c>
      <c r="BM8" s="42" t="str">
        <f>_xlfn.CONCAT(TEXT(Table3[[#This Row],[W_A]], "0"), "-", TEXT(Table3[[#This Row],[RL_A]],"0"), "-", TEXT(Table3[[#This Row],[OTL_A]]+Table3[[#This Row],[SOL_A]], "0"))</f>
        <v>8-3-4</v>
      </c>
      <c r="BN8" s="42">
        <f>((2*(Table3[[#This Row],[W_H]]))+Table3[[#This Row],[OTL_H]]+Table3[[#This Row],[SOL_H]])/(2*Table3[[#This Row],[GP_H]])</f>
        <v>0.58333333333333337</v>
      </c>
      <c r="BO8" s="42">
        <f>((2*(Table3[[#This Row],[W_A]]))+Table3[[#This Row],[OTL_A]]+Table3[[#This Row],[SOL_A]])/(2*Table3[[#This Row],[GP_A]])</f>
        <v>0.66666666666666663</v>
      </c>
      <c r="BP8" s="16">
        <f>(Table3[[#This Row],[W]]*$CX$3)+(Table3[[#This Row],[L]]*$CX$4)+(Table3[[#This Row],[GF]]*$CX$5)+(Table3[[#This Row],[GA]]*$CX$6)</f>
        <v>31.349999999999998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94.750960219478756</v>
      </c>
      <c r="BR8" s="16">
        <f>(Table3[[#This Row],[W]]*0.7) + ((Table3[[#This Row],[GF]] - Table3[[#This Row],[GA]])*0.25)+(Table3[[#This Row],[GF]]*0.1)+(Table3[[#This Row],[GA]]*0.05)+(Table3[[#This Row],[L]]*0.3)</f>
        <v>28.049999999999997</v>
      </c>
      <c r="BS8" s="16">
        <f>Table3[[#This Row],[TeamCost83]]/Table3[[#This Row],[GP]]</f>
        <v>1.0388888888888888</v>
      </c>
      <c r="BT8">
        <f>COUNTIFS(Table2[AwayTeam],$A8,Table2[PredictedWinner], $A8, Table2[GameIsOver], 1)</f>
        <v>8</v>
      </c>
      <c r="BU8">
        <f>COUNTIFS(Table2[HomeTeam],$A8,Table2[PredictedWinner], $A8, Table2[GameIsOver], 1)</f>
        <v>10</v>
      </c>
      <c r="BV8">
        <f>BT8+BU8</f>
        <v>18</v>
      </c>
      <c r="BW8">
        <f>F8-BT8</f>
        <v>7</v>
      </c>
      <c r="BX8">
        <f>H8-BU8</f>
        <v>2</v>
      </c>
      <c r="BY8">
        <f>BW8+BX8</f>
        <v>9</v>
      </c>
      <c r="BZ8">
        <f>Table3[[#This Row],[TimesPredictedWinner]]/Table3[[#This Row],[GP]]</f>
        <v>0.66666666666666663</v>
      </c>
      <c r="CB8">
        <v>2017</v>
      </c>
      <c r="CC8" s="1">
        <v>45753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4.7</v>
      </c>
      <c r="CJ8">
        <f>SUMIFS(Table2[GamePredictionScore], Table2[HomeTeam], Table3[[#This Row],[Teams]])</f>
        <v>5</v>
      </c>
      <c r="CK8">
        <f>Table3[[#This Row],[Column4]]+Table3[[#This Row],[Column3]]</f>
        <v>9.6999999999999993</v>
      </c>
      <c r="CL8">
        <f>Table3[[#This Row],[Column5]]/Table3[[#This Row],[GP]]</f>
        <v>0.35925925925925922</v>
      </c>
      <c r="CR8" t="s">
        <v>143</v>
      </c>
      <c r="CS8">
        <f>SUM($AI$2:$AI$33)</f>
        <v>44</v>
      </c>
      <c r="CY8" t="s">
        <v>153</v>
      </c>
      <c r="CZ8" s="17">
        <f>CZ7*82</f>
        <v>87.687096774193549</v>
      </c>
      <c r="DA8" s="16">
        <f>DA7+((82-CY2)*CZ7)</f>
        <v>87.287096774193543</v>
      </c>
      <c r="DE8">
        <v>90.35</v>
      </c>
    </row>
    <row r="9" spans="1:144" x14ac:dyDescent="0.25">
      <c r="A9" t="s">
        <v>36</v>
      </c>
      <c r="B9" t="s">
        <v>90</v>
      </c>
      <c r="C9" t="s">
        <v>88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22</v>
      </c>
      <c r="E9" s="10">
        <f>Table3[[#This Row],[Watched]]/Table3[[#This Row],[GP]]</f>
        <v>0.73333333333333328</v>
      </c>
      <c r="F9">
        <f>COUNTIFS(DataRegularSeason20242025!$N$3:$N$1315,1,DataRegularSeason20242025!$D$3:$D$1315,$A9)</f>
        <v>15</v>
      </c>
      <c r="G9">
        <f>41-Table3[[#This Row],[GP_A]]</f>
        <v>26</v>
      </c>
      <c r="H9">
        <f>COUNTIFS(DataRegularSeason20242025!$E$3:$E$1315,$A9,DataRegularSeason20242025!$N$3:$N$1315,1)</f>
        <v>15</v>
      </c>
      <c r="I9">
        <f>41-Table3[[#This Row],[GP_H]]</f>
        <v>26</v>
      </c>
      <c r="J9">
        <f>F9+H9</f>
        <v>30</v>
      </c>
      <c r="K9">
        <f>82-Table3[[#This Row],[GP]]</f>
        <v>52</v>
      </c>
      <c r="L9">
        <f>COUNTIFS(DataRegularSeason20242025!$D$3:$D$1315,$A9, DataRegularSeason20242025!$L$3:$L$1315, $A9,DataRegularSeason20242025!$N$3:$N$1315,1)</f>
        <v>8</v>
      </c>
      <c r="M9">
        <f>COUNTIFS(DataRegularSeason20242025!$D$3:$D$1315,$A9, DataRegularSeason20242025!$L$3:$L$1315, $A9,DataRegularSeason20242025!$N$3:$N$1315,1,DataRegularSeason20242025!$M$3:$M$1315,"REG")</f>
        <v>7</v>
      </c>
      <c r="N9">
        <f>COUNTIFS(DataRegularSeason20242025!$D$3:$D$1315,$A9, DataRegularSeason20242025!$L$3:$L$1315, $A9,DataRegularSeason20242025!$N$3:$N$1315,1,DataRegularSeason20242025!$M$3:$M$1315,"OT")</f>
        <v>1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>F9-L9</f>
        <v>7</v>
      </c>
      <c r="Q9">
        <f>COUNTIFS(DataRegularSeason20242025!$D$3:$D$1315,$A9, DataRegularSeason20242025!$S$3:$S$1315, $A9,DataRegularSeason20242025!$M$3:$M$1315,"REG")</f>
        <v>6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8</v>
      </c>
      <c r="U9">
        <f>COUNTIFS(DataRegularSeason20242025!$E$3:$E$1315,$A9, DataRegularSeason20242025!$L$3:$L$1315, $A9,DataRegularSeason20242025!$N$3:$N$1315,1,DataRegularSeason20242025!$M$3:$M$1315,"REG")</f>
        <v>3</v>
      </c>
      <c r="V9">
        <f>COUNTIFS(DataRegularSeason20242025!$E$3:$E$1315,$A9, DataRegularSeason20242025!$L$3:$L$1315, $A9,DataRegularSeason20242025!$N$3:$N$1315,1,DataRegularSeason20242025!$M$3:$M$1315,"OT")</f>
        <v>2</v>
      </c>
      <c r="W9">
        <f>COUNTIFS(DataRegularSeason20242025!$E$3:$E$1315,$A9, DataRegularSeason20242025!$L$3:$L$1315, $A9,DataRegularSeason20242025!$N$3:$N$1315,1,DataRegularSeason20242025!$M$3:$M$1315,"SO")</f>
        <v>3</v>
      </c>
      <c r="X9">
        <f>H9-T9</f>
        <v>7</v>
      </c>
      <c r="Y9">
        <f>COUNTIFS(DataRegularSeason20242025!$E$3:$E$1315,$A9, DataRegularSeason20242025!$S$3:$S$1315, $A9,DataRegularSeason20242025!$M$3:$M$1315,"REG")</f>
        <v>3</v>
      </c>
      <c r="Z9">
        <f>COUNTIFS(DataRegularSeason20242025!$E$3:$E$1315,$A9, DataRegularSeason20242025!$S$3:$S$1315, $A9,DataRegularSeason20242025!$M$3:$M$1315,"OT")</f>
        <v>3</v>
      </c>
      <c r="AA9">
        <f>COUNTIFS(DataRegularSeason20242025!$E$3:$E$1315,$A9, DataRegularSeason20242025!$S$3:$S$1315, $A9,DataRegularSeason20242025!$M$3:$M$1315,"SO")</f>
        <v>1</v>
      </c>
      <c r="AB9">
        <f>Table3[[#This Row],[W]]/MAX(1,Table3[[#This Row],[W]]+Table3[[#This Row],[L]])</f>
        <v>0.53333333333333333</v>
      </c>
      <c r="AC9">
        <f>Table3[[#This Row],[W_A]]+Table3[[#This Row],[W_H]]</f>
        <v>16</v>
      </c>
      <c r="AD9">
        <f>Table3[[#This Row],[L_A]]+Table3[[#This Row],[L_H]]</f>
        <v>14</v>
      </c>
      <c r="AE9">
        <f>Table3[[#This Row],[RW_A]]+Table3[[#This Row],[RW_H]]</f>
        <v>10</v>
      </c>
      <c r="AF9">
        <f>Table3[[#This Row],[RL_A]]+Table3[[#This Row],[RL_H]]</f>
        <v>9</v>
      </c>
      <c r="AG9">
        <f>Table3[[#This Row],[OTW_A]]+Table3[[#This Row],[OTW_H]]</f>
        <v>3</v>
      </c>
      <c r="AH9">
        <f>Table3[[#This Row],[OTL_A]]+Table3[[#This Row],[OTL_H]]</f>
        <v>4</v>
      </c>
      <c r="AI9">
        <f>Table3[[#This Row],[SOW_A]]+Table3[[#This Row],[SOW_H]]</f>
        <v>3</v>
      </c>
      <c r="AJ9">
        <f>Table3[[#This Row],[SOL_A]]+Table3[[#This Row],[SOL_H]]</f>
        <v>1</v>
      </c>
      <c r="AK9" s="15" t="str">
        <f>_xlfn.CONCAT(TEXT(Table3[[#This Row],[OTW]]+Table3[[#This Row],[SOW]], "0"), "-", TEXT(Table3[[#This Row],[OTL]]+Table3[[#This Row],[SOL]],"0"))</f>
        <v>6-5</v>
      </c>
      <c r="AL9">
        <f>SUM(Table3[[#This Row],[OTW]],Table3[[#This Row],[OTL]],Table3[[#This Row],[SOW]],Table3[[#This Row],[SOL]])</f>
        <v>11</v>
      </c>
      <c r="AM9">
        <f>(Table3[[#This Row],[OTW]]+Table3[[#This Row],[SOW]])/IF(Table3[[#This Row],[Total_ExtraTimes]]=0,1,Table3[[#This Row],[Total_ExtraTimes]])</f>
        <v>0.54545454545454541</v>
      </c>
      <c r="AN9">
        <f>Table3[[#This Row],[Total_ExtraTimes]]/MAX(1,Table3[[#This Row],[GP]])</f>
        <v>0.36666666666666664</v>
      </c>
      <c r="AO9">
        <f>(2*(Table3[[#This Row],[W_A]]+Table3[[#This Row],[W_H]]))+Table3[[#This Row],[OTL_A]]+Table3[[#This Row],[SOL_A]]+Table3[[#This Row],[OTL_H]]+Table3[[#This Row],[SOL_H]]</f>
        <v>37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9" s="10">
        <f>Table3[[#This Row],[PTS]]/(2*Table3[[#This Row],[GP]])</f>
        <v>0.6166666666666667</v>
      </c>
      <c r="AR9" s="10">
        <f>Table3[[#This Row],[PTS2]]/(3*Table3[[#This Row],[GP]])</f>
        <v>0.52222222222222225</v>
      </c>
      <c r="AS9">
        <f>(2*Table3[[#This Row],[GR]])+Table3[[#This Row],[PTS]]</f>
        <v>141</v>
      </c>
      <c r="AT9">
        <f>(3*Table3[[#This Row],[GR]])+Table3[[#This Row],[PTS2]]</f>
        <v>203</v>
      </c>
      <c r="AU9">
        <f>Table3[[#This Row],[PTS]]+(2 * Table3[[#This Row],[GR]] * Table3[[#This Row],[PTS%]])</f>
        <v>101.13333333333334</v>
      </c>
      <c r="AV9">
        <f>Table3[[#This Row],[PTS2]]+(3 * Table3[[#This Row],[GR]] * Table3[[#This Row],[PTS%2]])</f>
        <v>128.46666666666667</v>
      </c>
      <c r="AW9" s="15" t="str">
        <f>_xlfn.CONCAT(TEXT(Table3[[#This Row],[W]], "0"), "-", TEXT(Table3[[#This Row],[RL]],"0"), "-", TEXT(Table3[[#This Row],[OTL]]+Table3[[#This Row],[SOL]], "0"))</f>
        <v>16-9-5</v>
      </c>
      <c r="AX9">
        <f>COUNTIFS(DataRegularSeason20242025!$D$3:$D$1315,Table3[[#This Row],[Teams]],DataRegularSeason20242025!$K$3:$K$1315,0)</f>
        <v>4</v>
      </c>
      <c r="AY9">
        <f>SUMIF(DataRegularSeason20242025!$D$3:$D$1315,$A9, DataRegularSeason20242025!$J$3:$J$1315)</f>
        <v>41</v>
      </c>
      <c r="AZ9">
        <f>SUMIF(DataRegularSeason20242025!$D$3:$D$1315,$A9, DataRegularSeason20242025!$K$3:$K$1315)</f>
        <v>35</v>
      </c>
      <c r="BA9">
        <f>AY9-AZ9</f>
        <v>6</v>
      </c>
      <c r="BB9">
        <f>COUNTIFS(DataRegularSeason20242025!$E$3:$E$1315,Table3[[#This Row],[Teams]],DataRegularSeason20242025!$J$3:$J$1315,0)</f>
        <v>2</v>
      </c>
      <c r="BC9">
        <f>SUMIF(DataRegularSeason20242025!$E$3:$E$1315,$A9,DataRegularSeason20242025!$K$3:$K$1315)</f>
        <v>43</v>
      </c>
      <c r="BD9">
        <f>SUMIF(DataRegularSeason20242025!$E$3:$E$1315,$A9,DataRegularSeason20242025!$J$3:$J$1315)</f>
        <v>46</v>
      </c>
      <c r="BE9">
        <f>BC9-BD9</f>
        <v>-3</v>
      </c>
      <c r="BF9">
        <f>AY9+BC9</f>
        <v>84</v>
      </c>
      <c r="BG9">
        <f>AZ9+BD9</f>
        <v>81</v>
      </c>
      <c r="BH9">
        <f>BF9-BG9</f>
        <v>3</v>
      </c>
      <c r="BI9" s="12">
        <f>Table3[[#This Row],[GF]]/Table3[[#This Row],[GP]]</f>
        <v>2.8</v>
      </c>
      <c r="BJ9" s="12">
        <f>Table3[[#This Row],[GA]]/Table3[[#This Row],[GP]]</f>
        <v>2.7</v>
      </c>
      <c r="BK9" s="12">
        <f>(Table3[[#This Row],[GF]]-Table3[[#This Row],[GA]])/Table3[[#This Row],[GP]]</f>
        <v>0.1</v>
      </c>
      <c r="BL9" s="42" t="str">
        <f>_xlfn.CONCAT(TEXT(Table3[[#This Row],[W_H]], "0"), "-", TEXT(Table3[[#This Row],[RL_H]],"0"), "-", TEXT(Table3[[#This Row],[OTL_H]]+Table3[[#This Row],[SOL_H]], "0"))</f>
        <v>8-3-4</v>
      </c>
      <c r="BM9" s="42" t="str">
        <f>_xlfn.CONCAT(TEXT(Table3[[#This Row],[W_A]], "0"), "-", TEXT(Table3[[#This Row],[RL_A]],"0"), "-", TEXT(Table3[[#This Row],[OTL_A]]+Table3[[#This Row],[SOL_A]], "0"))</f>
        <v>8-6-1</v>
      </c>
      <c r="BN9" s="42">
        <f>((2*(Table3[[#This Row],[W_H]]))+Table3[[#This Row],[OTL_H]]+Table3[[#This Row],[SOL_H]])/(2*Table3[[#This Row],[GP_H]])</f>
        <v>0.66666666666666663</v>
      </c>
      <c r="BO9" s="42">
        <f>((2*(Table3[[#This Row],[W_A]]))+Table3[[#This Row],[OTL_A]]+Table3[[#This Row],[SOL_A]])/(2*Table3[[#This Row],[GP_A]])</f>
        <v>0.56666666666666665</v>
      </c>
      <c r="BP9" s="16">
        <f>(Table3[[#This Row],[W]]*$CX$3)+(Table3[[#This Row],[L]]*$CX$4)+(Table3[[#This Row],[GF]]*$CX$5)+(Table3[[#This Row],[GA]]*$CX$6)</f>
        <v>32.9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90.637111111111111</v>
      </c>
      <c r="BR9" s="16">
        <f>(Table3[[#This Row],[W]]*0.7) + ((Table3[[#This Row],[GF]] - Table3[[#This Row],[GA]])*0.25)+(Table3[[#This Row],[GF]]*0.1)+(Table3[[#This Row],[GA]]*0.05)+(Table3[[#This Row],[L]]*0.3)</f>
        <v>28.6</v>
      </c>
      <c r="BS9" s="16">
        <f>Table3[[#This Row],[TeamCost83]]/Table3[[#This Row],[GP]]</f>
        <v>0.95333333333333337</v>
      </c>
      <c r="BT9">
        <f>COUNTIFS(Table2[AwayTeam],$A9,Table2[PredictedWinner], $A9, Table2[GameIsOver], 1)</f>
        <v>5</v>
      </c>
      <c r="BU9">
        <f>COUNTIFS(Table2[HomeTeam],$A9,Table2[PredictedWinner], $A9, Table2[GameIsOver], 1)</f>
        <v>10</v>
      </c>
      <c r="BV9">
        <f>BT9+BU9</f>
        <v>15</v>
      </c>
      <c r="BW9">
        <f>F9-BT9</f>
        <v>10</v>
      </c>
      <c r="BX9">
        <f>H9-BU9</f>
        <v>5</v>
      </c>
      <c r="BY9">
        <f>BW9+BX9</f>
        <v>15</v>
      </c>
      <c r="BZ9">
        <f>Table3[[#This Row],[TimesPredictedWinner]]/Table3[[#This Row],[GP]]</f>
        <v>0.5</v>
      </c>
      <c r="CD9" s="1">
        <v>45762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7.0000000000000009</v>
      </c>
      <c r="CJ9">
        <f>SUMIFS(Table2[GamePredictionScore], Table2[HomeTeam], Table3[[#This Row],[Teams]])</f>
        <v>6.2999999999999989</v>
      </c>
      <c r="CK9">
        <f>Table3[[#This Row],[Column4]]+Table3[[#This Row],[Column3]]</f>
        <v>13.3</v>
      </c>
      <c r="CL9">
        <f>Table3[[#This Row],[Column5]]/Table3[[#This Row],[GP]]</f>
        <v>0.44333333333333336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1.0693548387096774</v>
      </c>
      <c r="DC9" t="s">
        <v>764</v>
      </c>
      <c r="DE9" s="16">
        <f>DE8+DA7</f>
        <v>123.1</v>
      </c>
    </row>
    <row r="10" spans="1:144" x14ac:dyDescent="0.25">
      <c r="A10" t="s">
        <v>27</v>
      </c>
      <c r="B10" t="s">
        <v>90</v>
      </c>
      <c r="C10" t="s">
        <v>93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22</v>
      </c>
      <c r="E10" s="10">
        <f>Table3[[#This Row],[Watched]]/Table3[[#This Row],[GP]]</f>
        <v>0.75862068965517238</v>
      </c>
      <c r="F10">
        <f>COUNTIFS(DataRegularSeason20242025!$N$3:$N$1315,1,DataRegularSeason20242025!$D$3:$D$1315,$A10)</f>
        <v>16</v>
      </c>
      <c r="G10">
        <f>41-Table3[[#This Row],[GP_A]]</f>
        <v>25</v>
      </c>
      <c r="H10">
        <f>COUNTIFS(DataRegularSeason20242025!$E$3:$E$1315,$A10,DataRegularSeason20242025!$N$3:$N$1315,1)</f>
        <v>13</v>
      </c>
      <c r="I10">
        <f>41-Table3[[#This Row],[GP_H]]</f>
        <v>28</v>
      </c>
      <c r="J10">
        <f>F10+H10</f>
        <v>29</v>
      </c>
      <c r="K10">
        <f>82-Table3[[#This Row],[GP]]</f>
        <v>53</v>
      </c>
      <c r="L10">
        <f>COUNTIFS(DataRegularSeason20242025!$D$3:$D$1315,$A10, DataRegularSeason20242025!$L$3:$L$1315, $A10,DataRegularSeason20242025!$N$3:$N$1315,1)</f>
        <v>10</v>
      </c>
      <c r="M10">
        <f>COUNTIFS(DataRegularSeason20242025!$D$3:$D$1315,$A10, DataRegularSeason20242025!$L$3:$L$1315, $A10,DataRegularSeason20242025!$N$3:$N$1315,1,DataRegularSeason20242025!$M$3:$M$1315,"REG")</f>
        <v>6</v>
      </c>
      <c r="N10">
        <f>COUNTIFS(DataRegularSeason20242025!$D$3:$D$1315,$A10, DataRegularSeason20242025!$L$3:$L$1315, $A10,DataRegularSeason20242025!$N$3:$N$1315,1,DataRegularSeason20242025!$M$3:$M$1315,"OT")</f>
        <v>3</v>
      </c>
      <c r="O10">
        <f>COUNTIFS(DataRegularSeason20242025!$D$3:$D$1315,$A10, DataRegularSeason20242025!$L$3:$L$1315, $A10,DataRegularSeason20242025!$N$3:$N$1315,1,DataRegularSeason20242025!$M$3:$M$1315,"SO")</f>
        <v>1</v>
      </c>
      <c r="P10">
        <f>F10-L10</f>
        <v>6</v>
      </c>
      <c r="Q10">
        <f>COUNTIFS(DataRegularSeason20242025!$D$3:$D$1315,$A10, DataRegularSeason20242025!$S$3:$S$1315, $A10,DataRegularSeason20242025!$M$3:$M$1315,"REG")</f>
        <v>2</v>
      </c>
      <c r="R10">
        <f>COUNTIFS(DataRegularSeason20242025!$D$3:$D$1315,$A10, DataRegularSeason20242025!$S$3:$S$1315, $A10,DataRegularSeason20242025!$M$3:$M$1315,"OT")</f>
        <v>0</v>
      </c>
      <c r="S10">
        <f>COUNTIFS(DataRegularSeason20242025!$D$3:$D$1315,$A10, DataRegularSeason20242025!$S$3:$S$1315, $A10,DataRegularSeason20242025!$M$3:$M$1315,"SO")</f>
        <v>4</v>
      </c>
      <c r="T10">
        <f>COUNTIFS(DataRegularSeason20242025!$E$3:$E$1315,$A10, DataRegularSeason20242025!$L$3:$L$1315, $A10, DataRegularSeason20242025!$N$3:$N$1315,1)</f>
        <v>4</v>
      </c>
      <c r="U10">
        <f>COUNTIFS(DataRegularSeason20242025!$E$3:$E$1315,$A10, DataRegularSeason20242025!$L$3:$L$1315, $A10,DataRegularSeason20242025!$N$3:$N$1315,1,DataRegularSeason20242025!$M$3:$M$1315,"REG")</f>
        <v>3</v>
      </c>
      <c r="V10">
        <f>COUNTIFS(DataRegularSeason20242025!$E$3:$E$1315,$A10, DataRegularSeason20242025!$L$3:$L$1315, $A10,DataRegularSeason20242025!$N$3:$N$1315,1,DataRegularSeason20242025!$M$3:$M$1315,"OT")</f>
        <v>1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>H10-T10</f>
        <v>9</v>
      </c>
      <c r="Y10">
        <f>COUNTIFS(DataRegularSeason20242025!$E$3:$E$1315,$A10, DataRegularSeason20242025!$S$3:$S$1315, $A10,DataRegularSeason20242025!$M$3:$M$1315,"REG")</f>
        <v>6</v>
      </c>
      <c r="Z10">
        <f>COUNTIFS(DataRegularSeason20242025!$E$3:$E$1315,$A10, DataRegularSeason20242025!$S$3:$S$1315, $A10,DataRegularSeason20242025!$M$3:$M$1315,"OT")</f>
        <v>2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0.48275862068965519</v>
      </c>
      <c r="AC10">
        <f>Table3[[#This Row],[W_A]]+Table3[[#This Row],[W_H]]</f>
        <v>14</v>
      </c>
      <c r="AD10">
        <f>Table3[[#This Row],[L_A]]+Table3[[#This Row],[L_H]]</f>
        <v>15</v>
      </c>
      <c r="AE10">
        <f>Table3[[#This Row],[RW_A]]+Table3[[#This Row],[RW_H]]</f>
        <v>9</v>
      </c>
      <c r="AF10">
        <f>Table3[[#This Row],[RL_A]]+Table3[[#This Row],[RL_H]]</f>
        <v>8</v>
      </c>
      <c r="AG10">
        <f>Table3[[#This Row],[OTW_A]]+Table3[[#This Row],[OTW_H]]</f>
        <v>4</v>
      </c>
      <c r="AH10">
        <f>Table3[[#This Row],[OTL_A]]+Table3[[#This Row],[OTL_H]]</f>
        <v>2</v>
      </c>
      <c r="AI10">
        <f>Table3[[#This Row],[SOW_A]]+Table3[[#This Row],[SOW_H]]</f>
        <v>1</v>
      </c>
      <c r="AJ10">
        <f>Table3[[#This Row],[SOL_A]]+Table3[[#This Row],[SOL_H]]</f>
        <v>5</v>
      </c>
      <c r="AK10" s="15" t="str">
        <f>_xlfn.CONCAT(TEXT(Table3[[#This Row],[OTW]]+Table3[[#This Row],[SOW]], "0"), "-", TEXT(Table3[[#This Row],[OTL]]+Table3[[#This Row],[SOL]],"0"))</f>
        <v>5-7</v>
      </c>
      <c r="AL10">
        <f>SUM(Table3[[#This Row],[OTW]],Table3[[#This Row],[OTL]],Table3[[#This Row],[SOW]],Table3[[#This Row],[SOL]])</f>
        <v>12</v>
      </c>
      <c r="AM10">
        <f>(Table3[[#This Row],[OTW]]+Table3[[#This Row],[SOW]])/IF(Table3[[#This Row],[Total_ExtraTimes]]=0,1,Table3[[#This Row],[Total_ExtraTimes]])</f>
        <v>0.41666666666666669</v>
      </c>
      <c r="AN10">
        <f>Table3[[#This Row],[Total_ExtraTimes]]/MAX(1,Table3[[#This Row],[GP]])</f>
        <v>0.41379310344827586</v>
      </c>
      <c r="AO10">
        <f>(2*(Table3[[#This Row],[W_A]]+Table3[[#This Row],[W_H]]))+Table3[[#This Row],[OTL_A]]+Table3[[#This Row],[SOL_A]]+Table3[[#This Row],[OTL_H]]+Table3[[#This Row],[SOL_H]]</f>
        <v>35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10" s="10">
        <f>Table3[[#This Row],[PTS]]/(2*Table3[[#This Row],[GP]])</f>
        <v>0.60344827586206895</v>
      </c>
      <c r="AR10" s="10">
        <f>Table3[[#This Row],[PTS2]]/(3*Table3[[#This Row],[GP]])</f>
        <v>0.50574712643678166</v>
      </c>
      <c r="AS10">
        <f>(2*Table3[[#This Row],[GR]])+Table3[[#This Row],[PTS]]</f>
        <v>141</v>
      </c>
      <c r="AT10">
        <f>(3*Table3[[#This Row],[GR]])+Table3[[#This Row],[PTS2]]</f>
        <v>203</v>
      </c>
      <c r="AU10">
        <f>Table3[[#This Row],[PTS]]+(2 * Table3[[#This Row],[GR]] * Table3[[#This Row],[PTS%]])</f>
        <v>98.965517241379303</v>
      </c>
      <c r="AV10">
        <f>Table3[[#This Row],[PTS2]]+(3 * Table3[[#This Row],[GR]] * Table3[[#This Row],[PTS%2]])</f>
        <v>124.41379310344828</v>
      </c>
      <c r="AW10" s="15" t="str">
        <f>_xlfn.CONCAT(TEXT(Table3[[#This Row],[W]], "0"), "-", TEXT(Table3[[#This Row],[RL]],"0"), "-", TEXT(Table3[[#This Row],[OTL]]+Table3[[#This Row],[SOL]], "0"))</f>
        <v>14-8-7</v>
      </c>
      <c r="AX10">
        <f>COUNTIFS(DataRegularSeason20242025!$D$3:$D$1315,Table3[[#This Row],[Teams]],DataRegularSeason20242025!$K$3:$K$1315,0)</f>
        <v>1</v>
      </c>
      <c r="AY10">
        <f>SUMIF(DataRegularSeason20242025!$D$3:$D$1315,$A10, DataRegularSeason20242025!$J$3:$J$1315)</f>
        <v>52</v>
      </c>
      <c r="AZ10">
        <f>SUMIF(DataRegularSeason20242025!$D$3:$D$1315,$A10, DataRegularSeason20242025!$K$3:$K$1315)</f>
        <v>43</v>
      </c>
      <c r="BA10">
        <f>AY10-AZ10</f>
        <v>9</v>
      </c>
      <c r="BB10">
        <f>COUNTIFS(DataRegularSeason20242025!$E$3:$E$1315,Table3[[#This Row],[Teams]],DataRegularSeason20242025!$J$3:$J$1315,0)</f>
        <v>2</v>
      </c>
      <c r="BC10">
        <f>SUMIF(DataRegularSeason20242025!$E$3:$E$1315,$A10,DataRegularSeason20242025!$K$3:$K$1315)</f>
        <v>28</v>
      </c>
      <c r="BD10">
        <f>SUMIF(DataRegularSeason20242025!$E$3:$E$1315,$A10,DataRegularSeason20242025!$J$3:$J$1315)</f>
        <v>34</v>
      </c>
      <c r="BE10">
        <f>BC10-BD10</f>
        <v>-6</v>
      </c>
      <c r="BF10">
        <f>AY10+BC10</f>
        <v>80</v>
      </c>
      <c r="BG10">
        <f>AZ10+BD10</f>
        <v>77</v>
      </c>
      <c r="BH10">
        <f>BF10-BG10</f>
        <v>3</v>
      </c>
      <c r="BI10" s="12">
        <f>Table3[[#This Row],[GF]]/Table3[[#This Row],[GP]]</f>
        <v>2.7586206896551726</v>
      </c>
      <c r="BJ10" s="12">
        <f>Table3[[#This Row],[GA]]/Table3[[#This Row],[GP]]</f>
        <v>2.6551724137931036</v>
      </c>
      <c r="BK10" s="12">
        <f>(Table3[[#This Row],[GF]]-Table3[[#This Row],[GA]])/Table3[[#This Row],[GP]]</f>
        <v>0.10344827586206896</v>
      </c>
      <c r="BL10" s="42" t="str">
        <f>_xlfn.CONCAT(TEXT(Table3[[#This Row],[W_H]], "0"), "-", TEXT(Table3[[#This Row],[RL_H]],"0"), "-", TEXT(Table3[[#This Row],[OTL_H]]+Table3[[#This Row],[SOL_H]], "0"))</f>
        <v>4-6-3</v>
      </c>
      <c r="BM10" s="42" t="str">
        <f>_xlfn.CONCAT(TEXT(Table3[[#This Row],[W_A]], "0"), "-", TEXT(Table3[[#This Row],[RL_A]],"0"), "-", TEXT(Table3[[#This Row],[OTL_A]]+Table3[[#This Row],[SOL_A]], "0"))</f>
        <v>10-2-4</v>
      </c>
      <c r="BN10" s="42">
        <f>((2*(Table3[[#This Row],[W_H]]))+Table3[[#This Row],[OTL_H]]+Table3[[#This Row],[SOL_H]])/(2*Table3[[#This Row],[GP_H]])</f>
        <v>0.42307692307692307</v>
      </c>
      <c r="BO10" s="42">
        <f>((2*(Table3[[#This Row],[W_A]]))+Table3[[#This Row],[OTL_A]]+Table3[[#This Row],[SOL_A]])/(2*Table3[[#This Row],[GP_A]])</f>
        <v>0.75</v>
      </c>
      <c r="BP10" s="16">
        <f>(Table3[[#This Row],[W]]*$CX$3)+(Table3[[#This Row],[L]]*$CX$4)+(Table3[[#This Row],[GF]]*$CX$5)+(Table3[[#This Row],[GA]]*$CX$6)</f>
        <v>31.2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88.092984542211653</v>
      </c>
      <c r="BR10" s="16">
        <f>(Table3[[#This Row],[W]]*0.7) + ((Table3[[#This Row],[GF]] - Table3[[#This Row],[GA]])*0.25)+(Table3[[#This Row],[GF]]*0.1)+(Table3[[#This Row],[GA]]*0.05)+(Table3[[#This Row],[L]]*0.3)</f>
        <v>26.9</v>
      </c>
      <c r="BS10" s="16">
        <f>Table3[[#This Row],[TeamCost83]]/Table3[[#This Row],[GP]]</f>
        <v>0.92758620689655169</v>
      </c>
      <c r="BT10">
        <f>COUNTIFS(Table2[AwayTeam],$A10,Table2[PredictedWinner], $A10, Table2[GameIsOver], 1)</f>
        <v>4</v>
      </c>
      <c r="BU10">
        <f>COUNTIFS(Table2[HomeTeam],$A10,Table2[PredictedWinner], $A10, Table2[GameIsOver], 1)</f>
        <v>5</v>
      </c>
      <c r="BV10">
        <f>BT10+BU10</f>
        <v>9</v>
      </c>
      <c r="BW10">
        <f>F10-BT10</f>
        <v>12</v>
      </c>
      <c r="BX10">
        <f>H10-BU10</f>
        <v>8</v>
      </c>
      <c r="BY10">
        <f>BW10+BX10</f>
        <v>20</v>
      </c>
      <c r="BZ10">
        <f>Table3[[#This Row],[TimesPredictedWinner]]/Table3[[#This Row],[GP]]</f>
        <v>0.31034482758620691</v>
      </c>
      <c r="CB10">
        <v>2014</v>
      </c>
      <c r="CD10" s="1">
        <v>45752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7.3000000000000007</v>
      </c>
      <c r="CJ10">
        <f>SUMIFS(Table2[GamePredictionScore], Table2[HomeTeam], Table3[[#This Row],[Teams]])</f>
        <v>6.8000000000000007</v>
      </c>
      <c r="CK10">
        <f>Table3[[#This Row],[Column4]]+Table3[[#This Row],[Column3]]</f>
        <v>14.100000000000001</v>
      </c>
      <c r="CL10">
        <f>Table3[[#This Row],[Column5]]/Table3[[#This Row],[GP]]</f>
        <v>0.48620689655172417</v>
      </c>
      <c r="CR10" t="s">
        <v>147</v>
      </c>
      <c r="CS10" s="1">
        <f>_xlfn.MAXIFS(DataRegularSeason20242025!$B$3:$B$1315,DataRegularSeason20242025!$N$3:$N$1315,1)</f>
        <v>45999</v>
      </c>
      <c r="CW10" t="s">
        <v>153</v>
      </c>
      <c r="CX10" s="16">
        <f>CW9*82</f>
        <v>87.687096774193549</v>
      </c>
    </row>
    <row r="11" spans="1:144" x14ac:dyDescent="0.25">
      <c r="A11" t="s">
        <v>42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20</v>
      </c>
      <c r="E11" s="10">
        <f>Table3[[#This Row],[Watched]]/Table3[[#This Row],[GP]]</f>
        <v>0.7407407407407407</v>
      </c>
      <c r="F11">
        <f>COUNTIFS(DataRegularSeason20242025!$N$3:$N$1315,1,DataRegularSeason20242025!$D$3:$D$1315,$A11)</f>
        <v>11</v>
      </c>
      <c r="G11">
        <f>41-Table3[[#This Row],[GP_A]]</f>
        <v>30</v>
      </c>
      <c r="H11">
        <f>COUNTIFS(DataRegularSeason20242025!$E$3:$E$1315,$A11,DataRegularSeason20242025!$N$3:$N$1315,1)</f>
        <v>16</v>
      </c>
      <c r="I11">
        <f>41-Table3[[#This Row],[GP_H]]</f>
        <v>25</v>
      </c>
      <c r="J11">
        <f>F11+H11</f>
        <v>27</v>
      </c>
      <c r="K11">
        <f>82-Table3[[#This Row],[GP]]</f>
        <v>55</v>
      </c>
      <c r="L11">
        <f>COUNTIFS(DataRegularSeason20242025!$D$3:$D$1315,$A11, DataRegularSeason20242025!$L$3:$L$1315, $A11,DataRegularSeason20242025!$N$3:$N$1315,1)</f>
        <v>5</v>
      </c>
      <c r="M11">
        <f>COUNTIFS(DataRegularSeason20242025!$D$3:$D$1315,$A11, DataRegularSeason20242025!$L$3:$L$1315, $A11,DataRegularSeason20242025!$N$3:$N$1315,1,DataRegularSeason20242025!$M$3:$M$1315,"REG")</f>
        <v>3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2</v>
      </c>
      <c r="P11">
        <f>F11-L11</f>
        <v>6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1</v>
      </c>
      <c r="T11">
        <f>COUNTIFS(DataRegularSeason20242025!$E$3:$E$1315,$A11, DataRegularSeason20242025!$L$3:$L$1315, $A11, DataRegularSeason20242025!$N$3:$N$1315,1)</f>
        <v>9</v>
      </c>
      <c r="U11">
        <f>COUNTIFS(DataRegularSeason20242025!$E$3:$E$1315,$A11, DataRegularSeason20242025!$L$3:$L$1315, $A11,DataRegularSeason20242025!$N$3:$N$1315,1,DataRegularSeason20242025!$M$3:$M$1315,"REG")</f>
        <v>5</v>
      </c>
      <c r="V11">
        <f>COUNTIFS(DataRegularSeason20242025!$E$3:$E$1315,$A11, DataRegularSeason20242025!$L$3:$L$1315, $A11,DataRegularSeason20242025!$N$3:$N$1315,1,DataRegularSeason20242025!$M$3:$M$1315,"OT")</f>
        <v>2</v>
      </c>
      <c r="W11">
        <f>COUNTIFS(DataRegularSeason20242025!$E$3:$E$1315,$A11, DataRegularSeason20242025!$L$3:$L$1315, $A11,DataRegularSeason20242025!$N$3:$N$1315,1,DataRegularSeason20242025!$M$3:$M$1315,"SO")</f>
        <v>2</v>
      </c>
      <c r="X11">
        <f>H11-T11</f>
        <v>7</v>
      </c>
      <c r="Y11">
        <f>COUNTIFS(DataRegularSeason20242025!$E$3:$E$1315,$A11, DataRegularSeason20242025!$S$3:$S$1315, $A11,DataRegularSeason20242025!$M$3:$M$1315,"REG")</f>
        <v>5</v>
      </c>
      <c r="Z11">
        <f>COUNTIFS(DataRegularSeason20242025!$E$3:$E$1315,$A11, DataRegularSeason20242025!$S$3:$S$1315, $A11,DataRegularSeason20242025!$M$3:$M$1315,"OT")</f>
        <v>2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0.51851851851851849</v>
      </c>
      <c r="AC11">
        <f>Table3[[#This Row],[W_A]]+Table3[[#This Row],[W_H]]</f>
        <v>14</v>
      </c>
      <c r="AD11">
        <f>Table3[[#This Row],[L_A]]+Table3[[#This Row],[L_H]]</f>
        <v>13</v>
      </c>
      <c r="AE11">
        <f>Table3[[#This Row],[RW_A]]+Table3[[#This Row],[RW_H]]</f>
        <v>8</v>
      </c>
      <c r="AF11">
        <f>Table3[[#This Row],[RL_A]]+Table3[[#This Row],[RL_H]]</f>
        <v>9</v>
      </c>
      <c r="AG11">
        <f>Table3[[#This Row],[OTW_A]]+Table3[[#This Row],[OTW_H]]</f>
        <v>2</v>
      </c>
      <c r="AH11">
        <f>Table3[[#This Row],[OTL_A]]+Table3[[#This Row],[OTL_H]]</f>
        <v>3</v>
      </c>
      <c r="AI11">
        <f>Table3[[#This Row],[SOW_A]]+Table3[[#This Row],[SOW_H]]</f>
        <v>4</v>
      </c>
      <c r="AJ11">
        <f>Table3[[#This Row],[SOL_A]]+Table3[[#This Row],[SOL_H]]</f>
        <v>1</v>
      </c>
      <c r="AK11" s="15" t="str">
        <f>_xlfn.CONCAT(TEXT(Table3[[#This Row],[OTW]]+Table3[[#This Row],[SOW]], "0"), "-", TEXT(Table3[[#This Row],[OTL]]+Table3[[#This Row],[SOL]],"0"))</f>
        <v>6-4</v>
      </c>
      <c r="AL11">
        <f>SUM(Table3[[#This Row],[OTW]],Table3[[#This Row],[OTL]],Table3[[#This Row],[SOW]],Table3[[#This Row],[SOL]])</f>
        <v>10</v>
      </c>
      <c r="AM11">
        <f>(Table3[[#This Row],[OTW]]+Table3[[#This Row],[SOW]])/IF(Table3[[#This Row],[Total_ExtraTimes]]=0,1,Table3[[#This Row],[Total_ExtraTimes]])</f>
        <v>0.6</v>
      </c>
      <c r="AN11">
        <f>Table3[[#This Row],[Total_ExtraTimes]]/MAX(1,Table3[[#This Row],[GP]])</f>
        <v>0.37037037037037035</v>
      </c>
      <c r="AO11">
        <f>(2*(Table3[[#This Row],[W_A]]+Table3[[#This Row],[W_H]]))+Table3[[#This Row],[OTL_A]]+Table3[[#This Row],[SOL_A]]+Table3[[#This Row],[OTL_H]]+Table3[[#This Row],[SOL_H]]</f>
        <v>32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11" s="10">
        <f>Table3[[#This Row],[PTS]]/(2*Table3[[#This Row],[GP]])</f>
        <v>0.59259259259259256</v>
      </c>
      <c r="AR11" s="10">
        <f>Table3[[#This Row],[PTS2]]/(3*Table3[[#This Row],[GP]])</f>
        <v>0.49382716049382713</v>
      </c>
      <c r="AS11">
        <f>(2*Table3[[#This Row],[GR]])+Table3[[#This Row],[PTS]]</f>
        <v>142</v>
      </c>
      <c r="AT11">
        <f>(3*Table3[[#This Row],[GR]])+Table3[[#This Row],[PTS2]]</f>
        <v>205</v>
      </c>
      <c r="AU11">
        <f>Table3[[#This Row],[PTS]]+(2 * Table3[[#This Row],[GR]] * Table3[[#This Row],[PTS%]])</f>
        <v>97.185185185185176</v>
      </c>
      <c r="AV11">
        <f>Table3[[#This Row],[PTS2]]+(3 * Table3[[#This Row],[GR]] * Table3[[#This Row],[PTS%2]])</f>
        <v>121.48148148148148</v>
      </c>
      <c r="AW11" s="15" t="str">
        <f>_xlfn.CONCAT(TEXT(Table3[[#This Row],[W]], "0"), "-", TEXT(Table3[[#This Row],[RL]],"0"), "-", TEXT(Table3[[#This Row],[OTL]]+Table3[[#This Row],[SOL]], "0"))</f>
        <v>14-9-4</v>
      </c>
      <c r="AX11">
        <f>COUNTIFS(DataRegularSeason20242025!$D$3:$D$1315,Table3[[#This Row],[Teams]],DataRegularSeason20242025!$K$3:$K$1315,0)</f>
        <v>0</v>
      </c>
      <c r="AY11">
        <f>SUMIF(DataRegularSeason20242025!$D$3:$D$1315,$A11, DataRegularSeason20242025!$J$3:$J$1315)</f>
        <v>32</v>
      </c>
      <c r="AZ11">
        <f>SUMIF(DataRegularSeason20242025!$D$3:$D$1315,$A11, DataRegularSeason20242025!$K$3:$K$1315)</f>
        <v>35</v>
      </c>
      <c r="BA11">
        <f>AY11-AZ11</f>
        <v>-3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48</v>
      </c>
      <c r="BD11">
        <f>SUMIF(DataRegularSeason20242025!$E$3:$E$1315,$A11,DataRegularSeason20242025!$J$3:$J$1315)</f>
        <v>43</v>
      </c>
      <c r="BE11">
        <f>BC11-BD11</f>
        <v>5</v>
      </c>
      <c r="BF11">
        <f>AY11+BC11</f>
        <v>80</v>
      </c>
      <c r="BG11">
        <f>AZ11+BD11</f>
        <v>78</v>
      </c>
      <c r="BH11">
        <f>BF11-BG11</f>
        <v>2</v>
      </c>
      <c r="BI11" s="12">
        <f>Table3[[#This Row],[GF]]/Table3[[#This Row],[GP]]</f>
        <v>2.9629629629629628</v>
      </c>
      <c r="BJ11" s="12">
        <f>Table3[[#This Row],[GA]]/Table3[[#This Row],[GP]]</f>
        <v>2.8888888888888888</v>
      </c>
      <c r="BK11" s="12">
        <f>(Table3[[#This Row],[GF]]-Table3[[#This Row],[GA]])/Table3[[#This Row],[GP]]</f>
        <v>7.407407407407407E-2</v>
      </c>
      <c r="BL11" s="42" t="str">
        <f>_xlfn.CONCAT(TEXT(Table3[[#This Row],[W_H]], "0"), "-", TEXT(Table3[[#This Row],[RL_H]],"0"), "-", TEXT(Table3[[#This Row],[OTL_H]]+Table3[[#This Row],[SOL_H]], "0"))</f>
        <v>9-5-2</v>
      </c>
      <c r="BM11" s="42" t="str">
        <f>_xlfn.CONCAT(TEXT(Table3[[#This Row],[W_A]], "0"), "-", TEXT(Table3[[#This Row],[RL_A]],"0"), "-", TEXT(Table3[[#This Row],[OTL_A]]+Table3[[#This Row],[SOL_A]], "0"))</f>
        <v>5-4-2</v>
      </c>
      <c r="BN11" s="42">
        <f>((2*(Table3[[#This Row],[W_H]]))+Table3[[#This Row],[OTL_H]]+Table3[[#This Row],[SOL_H]])/(2*Table3[[#This Row],[GP_H]])</f>
        <v>0.625</v>
      </c>
      <c r="BO11" s="42">
        <f>((2*(Table3[[#This Row],[W_A]]))+Table3[[#This Row],[OTL_A]]+Table3[[#This Row],[SOL_A]])/(2*Table3[[#This Row],[GP_A]])</f>
        <v>0.54545454545454541</v>
      </c>
      <c r="BP11" s="16">
        <f>(Table3[[#This Row],[W]]*$CX$3)+(Table3[[#This Row],[L]]*$CX$4)+(Table3[[#This Row],[GF]]*$CX$5)+(Table3[[#This Row],[GA]]*$CX$6)</f>
        <v>30.7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92.104389574759935</v>
      </c>
      <c r="BR11" s="16">
        <f>(Table3[[#This Row],[W]]*0.7) + ((Table3[[#This Row],[GF]] - Table3[[#This Row],[GA]])*0.25)+(Table3[[#This Row],[GF]]*0.1)+(Table3[[#This Row],[GA]]*0.05)+(Table3[[#This Row],[L]]*0.3)</f>
        <v>26.099999999999994</v>
      </c>
      <c r="BS11" s="16">
        <f>Table3[[#This Row],[TeamCost83]]/Table3[[#This Row],[GP]]</f>
        <v>0.96666666666666645</v>
      </c>
      <c r="BT11">
        <f>COUNTIFS(Table2[AwayTeam],$A11,Table2[PredictedWinner], $A11, Table2[GameIsOver], 1)</f>
        <v>2</v>
      </c>
      <c r="BU11">
        <f>COUNTIFS(Table2[HomeTeam],$A11,Table2[PredictedWinner], $A11, Table2[GameIsOver], 1)</f>
        <v>6</v>
      </c>
      <c r="BV11">
        <f>BT11+BU11</f>
        <v>8</v>
      </c>
      <c r="BW11">
        <f>F11-BT11</f>
        <v>9</v>
      </c>
      <c r="BX11">
        <f>H11-BU11</f>
        <v>10</v>
      </c>
      <c r="BY11">
        <f>BW11+BX11</f>
        <v>19</v>
      </c>
      <c r="BZ11">
        <f>Table3[[#This Row],[TimesPredictedWinner]]/Table3[[#This Row],[GP]]</f>
        <v>0.29629629629629628</v>
      </c>
      <c r="CB11">
        <v>1975</v>
      </c>
      <c r="CC11" s="1">
        <v>45752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5.3000000000000007</v>
      </c>
      <c r="CJ11">
        <f>SUMIFS(Table2[GamePredictionScore], Table2[HomeTeam], Table3[[#This Row],[Teams]])</f>
        <v>7.9</v>
      </c>
      <c r="CK11">
        <f>Table3[[#This Row],[Column4]]+Table3[[#This Row],[Column3]]</f>
        <v>13.200000000000001</v>
      </c>
      <c r="CL11">
        <f>Table3[[#This Row],[Column5]]/Table3[[#This Row],[GP]]</f>
        <v>0.48888888888888893</v>
      </c>
      <c r="CR11" t="s">
        <v>148</v>
      </c>
      <c r="CS11">
        <f>$CS$2/($CS$10-$CS$9)</f>
        <v>7.5</v>
      </c>
      <c r="CW11">
        <f>ROUND(CZ5,0)</f>
        <v>3</v>
      </c>
    </row>
    <row r="12" spans="1:144" x14ac:dyDescent="0.25">
      <c r="A12" t="s">
        <v>18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27</v>
      </c>
      <c r="E12" s="10">
        <f>Table3[[#This Row],[Watched]]/Table3[[#This Row],[GP]]</f>
        <v>0.9642857142857143</v>
      </c>
      <c r="F12">
        <f>COUNTIFS(DataRegularSeason20242025!$N$3:$N$1315,1,DataRegularSeason20242025!$D$3:$D$1315,$A12)</f>
        <v>13</v>
      </c>
      <c r="G12">
        <f>41-Table3[[#This Row],[GP_A]]</f>
        <v>28</v>
      </c>
      <c r="H12">
        <f>COUNTIFS(DataRegularSeason20242025!$E$3:$E$1315,$A12,DataRegularSeason20242025!$N$3:$N$1315,1)</f>
        <v>15</v>
      </c>
      <c r="I12">
        <f>41-Table3[[#This Row],[GP_H]]</f>
        <v>26</v>
      </c>
      <c r="J12">
        <f>F12+H12</f>
        <v>28</v>
      </c>
      <c r="K12">
        <f>82-Table3[[#This Row],[GP]]</f>
        <v>54</v>
      </c>
      <c r="L12">
        <f>COUNTIFS(DataRegularSeason20242025!$D$3:$D$1315,$A12, DataRegularSeason20242025!$L$3:$L$1315, $A12,DataRegularSeason20242025!$N$3:$N$1315,1)</f>
        <v>8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2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>F12-L12</f>
        <v>5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7</v>
      </c>
      <c r="U12">
        <f>COUNTIFS(DataRegularSeason20242025!$E$3:$E$1315,$A12, DataRegularSeason20242025!$L$3:$L$1315, $A12,DataRegularSeason20242025!$N$3:$N$1315,1,DataRegularSeason20242025!$M$3:$M$1315,"REG")</f>
        <v>3</v>
      </c>
      <c r="V12">
        <f>COUNTIFS(DataRegularSeason20242025!$E$3:$E$1315,$A12, DataRegularSeason20242025!$L$3:$L$1315, $A12,DataRegularSeason20242025!$N$3:$N$1315,1,DataRegularSeason20242025!$M$3:$M$1315,"OT")</f>
        <v>3</v>
      </c>
      <c r="W12">
        <f>COUNTIFS(DataRegularSeason20242025!$E$3:$E$1315,$A12, DataRegularSeason20242025!$L$3:$L$1315, $A12,DataRegularSeason20242025!$N$3:$N$1315,1,DataRegularSeason20242025!$M$3:$M$1315,"SO")</f>
        <v>1</v>
      </c>
      <c r="X12">
        <f>H12-T12</f>
        <v>8</v>
      </c>
      <c r="Y12">
        <f>COUNTIFS(DataRegularSeason20242025!$E$3:$E$1315,$A12, DataRegularSeason20242025!$S$3:$S$1315, $A12,DataRegularSeason20242025!$M$3:$M$1315,"REG")</f>
        <v>7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0.5357142857142857</v>
      </c>
      <c r="AC12">
        <f>Table3[[#This Row],[W_A]]+Table3[[#This Row],[W_H]]</f>
        <v>15</v>
      </c>
      <c r="AD12">
        <f>Table3[[#This Row],[L_A]]+Table3[[#This Row],[L_H]]</f>
        <v>13</v>
      </c>
      <c r="AE12">
        <f>Table3[[#This Row],[RW_A]]+Table3[[#This Row],[RW_H]]</f>
        <v>8</v>
      </c>
      <c r="AF12">
        <f>Table3[[#This Row],[RL_A]]+Table3[[#This Row],[RL_H]]</f>
        <v>10</v>
      </c>
      <c r="AG12">
        <f>Table3[[#This Row],[OTW_A]]+Table3[[#This Row],[OTW_H]]</f>
        <v>5</v>
      </c>
      <c r="AH12">
        <f>Table3[[#This Row],[OTL_A]]+Table3[[#This Row],[OTL_H]]</f>
        <v>1</v>
      </c>
      <c r="AI12">
        <f>Table3[[#This Row],[SOW_A]]+Table3[[#This Row],[SOW_H]]</f>
        <v>2</v>
      </c>
      <c r="AJ12">
        <f>Table3[[#This Row],[SOL_A]]+Table3[[#This Row],[SOL_H]]</f>
        <v>2</v>
      </c>
      <c r="AK12" s="15" t="str">
        <f>_xlfn.CONCAT(TEXT(Table3[[#This Row],[OTW]]+Table3[[#This Row],[SOW]], "0"), "-", TEXT(Table3[[#This Row],[OTL]]+Table3[[#This Row],[SOL]],"0"))</f>
        <v>7-3</v>
      </c>
      <c r="AL12">
        <f>SUM(Table3[[#This Row],[OTW]],Table3[[#This Row],[OTL]],Table3[[#This Row],[SOW]],Table3[[#This Row],[SOL]])</f>
        <v>10</v>
      </c>
      <c r="AM12">
        <f>(Table3[[#This Row],[OTW]]+Table3[[#This Row],[SOW]])/IF(Table3[[#This Row],[Total_ExtraTimes]]=0,1,Table3[[#This Row],[Total_ExtraTimes]])</f>
        <v>0.7</v>
      </c>
      <c r="AN12">
        <f>Table3[[#This Row],[Total_ExtraTimes]]/MAX(1,Table3[[#This Row],[GP]])</f>
        <v>0.35714285714285715</v>
      </c>
      <c r="AO12">
        <f>(2*(Table3[[#This Row],[W_A]]+Table3[[#This Row],[W_H]]))+Table3[[#This Row],[OTL_A]]+Table3[[#This Row],[SOL_A]]+Table3[[#This Row],[OTL_H]]+Table3[[#This Row],[SOL_H]]</f>
        <v>33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12" s="10">
        <f>Table3[[#This Row],[PTS]]/(2*Table3[[#This Row],[GP]])</f>
        <v>0.5892857142857143</v>
      </c>
      <c r="AR12" s="10">
        <f>Table3[[#This Row],[PTS2]]/(3*Table3[[#This Row],[GP]])</f>
        <v>0.48809523809523808</v>
      </c>
      <c r="AS12">
        <f>(2*Table3[[#This Row],[GR]])+Table3[[#This Row],[PTS]]</f>
        <v>141</v>
      </c>
      <c r="AT12">
        <f>(3*Table3[[#This Row],[GR]])+Table3[[#This Row],[PTS2]]</f>
        <v>203</v>
      </c>
      <c r="AU12">
        <f>Table3[[#This Row],[PTS]]+(2 * Table3[[#This Row],[GR]] * Table3[[#This Row],[PTS%]])</f>
        <v>96.642857142857139</v>
      </c>
      <c r="AV12">
        <f>Table3[[#This Row],[PTS2]]+(3 * Table3[[#This Row],[GR]] * Table3[[#This Row],[PTS%2]])</f>
        <v>120.07142857142857</v>
      </c>
      <c r="AW12" s="15" t="str">
        <f>_xlfn.CONCAT(TEXT(Table3[[#This Row],[W]], "0"), "-", TEXT(Table3[[#This Row],[RL]],"0"), "-", TEXT(Table3[[#This Row],[OTL]]+Table3[[#This Row],[SOL]], "0"))</f>
        <v>15-10-3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43</v>
      </c>
      <c r="AZ12">
        <f>SUMIF(DataRegularSeason20242025!$D$3:$D$1315,$A12, DataRegularSeason20242025!$K$3:$K$1315)</f>
        <v>41</v>
      </c>
      <c r="BA12">
        <f>AY12-AZ12</f>
        <v>2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49</v>
      </c>
      <c r="BD12">
        <f>SUMIF(DataRegularSeason20242025!$E$3:$E$1315,$A12,DataRegularSeason20242025!$J$3:$J$1315)</f>
        <v>58</v>
      </c>
      <c r="BE12">
        <f>BC12-BD12</f>
        <v>-9</v>
      </c>
      <c r="BF12">
        <f>AY12+BC12</f>
        <v>92</v>
      </c>
      <c r="BG12">
        <f>AZ12+BD12</f>
        <v>99</v>
      </c>
      <c r="BH12">
        <f>BF12-BG12</f>
        <v>-7</v>
      </c>
      <c r="BI12" s="12">
        <f>Table3[[#This Row],[GF]]/Table3[[#This Row],[GP]]</f>
        <v>3.2857142857142856</v>
      </c>
      <c r="BJ12" s="12">
        <f>Table3[[#This Row],[GA]]/Table3[[#This Row],[GP]]</f>
        <v>3.5357142857142856</v>
      </c>
      <c r="BK12" s="12">
        <f>(Table3[[#This Row],[GF]]-Table3[[#This Row],[GA]])/Table3[[#This Row],[GP]]</f>
        <v>-0.25</v>
      </c>
      <c r="BL12" s="42" t="str">
        <f>_xlfn.CONCAT(TEXT(Table3[[#This Row],[W_H]], "0"), "-", TEXT(Table3[[#This Row],[RL_H]],"0"), "-", TEXT(Table3[[#This Row],[OTL_H]]+Table3[[#This Row],[SOL_H]], "0"))</f>
        <v>7-7-1</v>
      </c>
      <c r="BM12" s="42" t="str">
        <f>_xlfn.CONCAT(TEXT(Table3[[#This Row],[W_A]], "0"), "-", TEXT(Table3[[#This Row],[RL_A]],"0"), "-", TEXT(Table3[[#This Row],[OTL_A]]+Table3[[#This Row],[SOL_A]], "0"))</f>
        <v>8-3-2</v>
      </c>
      <c r="BN12" s="42">
        <f>((2*(Table3[[#This Row],[W_H]]))+Table3[[#This Row],[OTL_H]]+Table3[[#This Row],[SOL_H]])/(2*Table3[[#This Row],[GP_H]])</f>
        <v>0.5</v>
      </c>
      <c r="BO12" s="42">
        <f>((2*(Table3[[#This Row],[W_A]]))+Table3[[#This Row],[OTL_A]]+Table3[[#This Row],[SOL_A]])/(2*Table3[[#This Row],[GP_A]])</f>
        <v>0.69230769230769229</v>
      </c>
      <c r="BP12" s="16">
        <f>(Table3[[#This Row],[W]]*$CX$3)+(Table3[[#This Row],[L]]*$CX$4)+(Table3[[#This Row],[GF]]*$CX$5)+(Table3[[#This Row],[GA]]*$CX$6)</f>
        <v>35.1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105.73086734693878</v>
      </c>
      <c r="BR12" s="16">
        <f>(Table3[[#This Row],[W]]*0.7) + ((Table3[[#This Row],[GF]] - Table3[[#This Row],[GA]])*0.25)+(Table3[[#This Row],[GF]]*0.1)+(Table3[[#This Row],[GA]]*0.05)+(Table3[[#This Row],[L]]*0.3)</f>
        <v>26.8</v>
      </c>
      <c r="BS12" s="16">
        <f>Table3[[#This Row],[TeamCost83]]/Table3[[#This Row],[GP]]</f>
        <v>0.95714285714285718</v>
      </c>
      <c r="BT12">
        <f>COUNTIFS(Table2[AwayTeam],$A12,Table2[PredictedWinner], $A12, Table2[GameIsOver], 1)</f>
        <v>4</v>
      </c>
      <c r="BU12">
        <f>COUNTIFS(Table2[HomeTeam],$A12,Table2[PredictedWinner], $A12, Table2[GameIsOver], 1)</f>
        <v>10</v>
      </c>
      <c r="BV12">
        <f>BT12+BU12</f>
        <v>14</v>
      </c>
      <c r="BW12">
        <f>F12-BT12</f>
        <v>9</v>
      </c>
      <c r="BX12">
        <f>H12-BU12</f>
        <v>5</v>
      </c>
      <c r="BY12">
        <f>BW12+BX12</f>
        <v>14</v>
      </c>
      <c r="BZ12">
        <f>Table3[[#This Row],[TimesPredictedWinner]]/Table3[[#This Row],[GP]]</f>
        <v>0.5</v>
      </c>
      <c r="CB12">
        <v>1993</v>
      </c>
      <c r="CD12" s="1">
        <v>45763</v>
      </c>
      <c r="CE12" t="str">
        <f>INDEX(Table2[AwayTeam], Table3[[#This Row],[Column2]])</f>
        <v>CHI</v>
      </c>
      <c r="CF12">
        <f>LARGE((Table2[[#This Row],[AwayTeam]]=Table3[[#This Row],[Teams]]), 1)</f>
        <v>1</v>
      </c>
      <c r="CI12">
        <f>SUMIFS(Table2[GamePredictionScore], Table2[AwayTeam], Table3[[#This Row],[Teams]])</f>
        <v>7.7</v>
      </c>
      <c r="CJ12">
        <f>SUMIFS(Table2[GamePredictionScore], Table2[HomeTeam], Table3[[#This Row],[Teams]])</f>
        <v>6.6999999999999993</v>
      </c>
      <c r="CK12">
        <f>Table3[[#This Row],[Column4]]+Table3[[#This Row],[Column3]]</f>
        <v>14.399999999999999</v>
      </c>
      <c r="CL12">
        <f>Table3[[#This Row],[Column5]]/Table3[[#This Row],[GP]]</f>
        <v>0.51428571428571423</v>
      </c>
      <c r="CR12" t="s">
        <v>149</v>
      </c>
      <c r="CS12">
        <f>$CS$3/($CS$10-$CS$9)</f>
        <v>6.306451612903226</v>
      </c>
    </row>
    <row r="13" spans="1:144" x14ac:dyDescent="0.25">
      <c r="A13" t="s">
        <v>40</v>
      </c>
      <c r="B13" t="s">
        <v>91</v>
      </c>
      <c r="C13" t="s">
        <v>74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23</v>
      </c>
      <c r="E13" s="10">
        <f>Table3[[#This Row],[Watched]]/Table3[[#This Row],[GP]]</f>
        <v>0.7931034482758621</v>
      </c>
      <c r="F13">
        <f>COUNTIFS(DataRegularSeason20242025!$N$3:$N$1315,1,DataRegularSeason20242025!$D$3:$D$1315,$A13)</f>
        <v>14</v>
      </c>
      <c r="G13">
        <f>41-Table3[[#This Row],[GP_A]]</f>
        <v>27</v>
      </c>
      <c r="H13">
        <f>COUNTIFS(DataRegularSeason20242025!$E$3:$E$1315,$A13,DataRegularSeason20242025!$N$3:$N$1315,1)</f>
        <v>15</v>
      </c>
      <c r="I13">
        <f>41-Table3[[#This Row],[GP_H]]</f>
        <v>26</v>
      </c>
      <c r="J13">
        <f>F13+H13</f>
        <v>29</v>
      </c>
      <c r="K13">
        <f>82-Table3[[#This Row],[GP]]</f>
        <v>53</v>
      </c>
      <c r="L13">
        <f>COUNTIFS(DataRegularSeason20242025!$D$3:$D$1315,$A13, DataRegularSeason20242025!$L$3:$L$1315, $A13,DataRegularSeason20242025!$N$3:$N$1315,1)</f>
        <v>8</v>
      </c>
      <c r="M13">
        <f>COUNTIFS(DataRegularSeason20242025!$D$3:$D$1315,$A13, DataRegularSeason20242025!$L$3:$L$1315, $A13,DataRegularSeason20242025!$N$3:$N$1315,1,DataRegularSeason20242025!$M$3:$M$1315,"REG")</f>
        <v>8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>F13-L13</f>
        <v>6</v>
      </c>
      <c r="Q13">
        <f>COUNTIFS(DataRegularSeason20242025!$D$3:$D$1315,$A13, DataRegularSeason20242025!$S$3:$S$1315, $A13,DataRegularSeason20242025!$M$3:$M$1315,"REG")</f>
        <v>4</v>
      </c>
      <c r="R13">
        <f>COUNTIFS(DataRegularSeason20242025!$D$3:$D$1315,$A13, DataRegularSeason20242025!$S$3:$S$1315, $A13,DataRegularSeason20242025!$M$3:$M$1315,"OT")</f>
        <v>2</v>
      </c>
      <c r="S13">
        <f>COUNTIFS(DataRegularSeason20242025!$D$3:$D$1315,$A13, DataRegularSeason20242025!$S$3:$S$1315, $A13,DataRegularSeason20242025!$M$3:$M$1315,"SO")</f>
        <v>0</v>
      </c>
      <c r="T13">
        <f>COUNTIFS(DataRegularSeason20242025!$E$3:$E$1315,$A13, DataRegularSeason20242025!$L$3:$L$1315, $A13, DataRegularSeason20242025!$N$3:$N$1315,1)</f>
        <v>8</v>
      </c>
      <c r="U13">
        <f>COUNTIFS(DataRegularSeason20242025!$E$3:$E$1315,$A13, DataRegularSeason20242025!$L$3:$L$1315, $A13,DataRegularSeason20242025!$N$3:$N$1315,1,DataRegularSeason20242025!$M$3:$M$1315,"REG")</f>
        <v>5</v>
      </c>
      <c r="V13">
        <f>COUNTIFS(DataRegularSeason20242025!$E$3:$E$1315,$A13, DataRegularSeason20242025!$L$3:$L$1315, $A13,DataRegularSeason20242025!$N$3:$N$1315,1,DataRegularSeason20242025!$M$3:$M$1315,"OT")</f>
        <v>3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7</v>
      </c>
      <c r="Y13">
        <f>COUNTIFS(DataRegularSeason20242025!$E$3:$E$1315,$A13, DataRegularSeason20242025!$S$3:$S$1315, $A13,DataRegularSeason20242025!$M$3:$M$1315,"REG")</f>
        <v>7</v>
      </c>
      <c r="Z13">
        <f>COUNTIFS(DataRegularSeason20242025!$E$3:$E$1315,$A13, DataRegularSeason20242025!$S$3:$S$1315, $A13,DataRegularSeason20242025!$M$3:$M$1315,"OT")</f>
        <v>0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0.55172413793103448</v>
      </c>
      <c r="AC13">
        <f>Table3[[#This Row],[W_A]]+Table3[[#This Row],[W_H]]</f>
        <v>16</v>
      </c>
      <c r="AD13">
        <f>Table3[[#This Row],[L_A]]+Table3[[#This Row],[L_H]]</f>
        <v>13</v>
      </c>
      <c r="AE13">
        <f>Table3[[#This Row],[RW_A]]+Table3[[#This Row],[RW_H]]</f>
        <v>13</v>
      </c>
      <c r="AF13">
        <f>Table3[[#This Row],[RL_A]]+Table3[[#This Row],[RL_H]]</f>
        <v>11</v>
      </c>
      <c r="AG13">
        <f>Table3[[#This Row],[OTW_A]]+Table3[[#This Row],[OTW_H]]</f>
        <v>3</v>
      </c>
      <c r="AH13">
        <f>Table3[[#This Row],[OTL_A]]+Table3[[#This Row],[OTL_H]]</f>
        <v>2</v>
      </c>
      <c r="AI13">
        <f>Table3[[#This Row],[SOW_A]]+Table3[[#This Row],[SOW_H]]</f>
        <v>0</v>
      </c>
      <c r="AJ13">
        <f>Table3[[#This Row],[SOL_A]]+Table3[[#This Row],[SOL_H]]</f>
        <v>0</v>
      </c>
      <c r="AK13" s="15" t="str">
        <f>_xlfn.CONCAT(TEXT(Table3[[#This Row],[OTW]]+Table3[[#This Row],[SOW]], "0"), "-", TEXT(Table3[[#This Row],[OTL]]+Table3[[#This Row],[SOL]],"0"))</f>
        <v>3-2</v>
      </c>
      <c r="AL13">
        <f>SUM(Table3[[#This Row],[OTW]],Table3[[#This Row],[OTL]],Table3[[#This Row],[SOW]],Table3[[#This Row],[SOL]])</f>
        <v>5</v>
      </c>
      <c r="AM13">
        <f>(Table3[[#This Row],[OTW]]+Table3[[#This Row],[SOW]])/IF(Table3[[#This Row],[Total_ExtraTimes]]=0,1,Table3[[#This Row],[Total_ExtraTimes]])</f>
        <v>0.6</v>
      </c>
      <c r="AN13">
        <f>Table3[[#This Row],[Total_ExtraTimes]]/MAX(1,Table3[[#This Row],[GP]])</f>
        <v>0.17241379310344829</v>
      </c>
      <c r="AO13">
        <f>(2*(Table3[[#This Row],[W_A]]+Table3[[#This Row],[W_H]]))+Table3[[#This Row],[OTL_A]]+Table3[[#This Row],[SOL_A]]+Table3[[#This Row],[OTL_H]]+Table3[[#This Row],[SOL_H]]</f>
        <v>34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13" s="10">
        <f>Table3[[#This Row],[PTS]]/(2*Table3[[#This Row],[GP]])</f>
        <v>0.58620689655172409</v>
      </c>
      <c r="AR13" s="10">
        <f>Table3[[#This Row],[PTS2]]/(3*Table3[[#This Row],[GP]])</f>
        <v>0.54022988505747127</v>
      </c>
      <c r="AS13">
        <f>(2*Table3[[#This Row],[GR]])+Table3[[#This Row],[PTS]]</f>
        <v>140</v>
      </c>
      <c r="AT13">
        <f>(3*Table3[[#This Row],[GR]])+Table3[[#This Row],[PTS2]]</f>
        <v>206</v>
      </c>
      <c r="AU13">
        <f>Table3[[#This Row],[PTS]]+(2 * Table3[[#This Row],[GR]] * Table3[[#This Row],[PTS%]])</f>
        <v>96.137931034482762</v>
      </c>
      <c r="AV13">
        <f>Table3[[#This Row],[PTS2]]+(3 * Table3[[#This Row],[GR]] * Table3[[#This Row],[PTS%2]])</f>
        <v>132.89655172413794</v>
      </c>
      <c r="AW13" s="15" t="str">
        <f>_xlfn.CONCAT(TEXT(Table3[[#This Row],[W]], "0"), "-", TEXT(Table3[[#This Row],[RL]],"0"), "-", TEXT(Table3[[#This Row],[OTL]]+Table3[[#This Row],[SOL]], "0"))</f>
        <v>16-11-2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45</v>
      </c>
      <c r="AZ13">
        <f>SUMIF(DataRegularSeason20242025!$D$3:$D$1315,$A13, DataRegularSeason20242025!$K$3:$K$1315)</f>
        <v>33</v>
      </c>
      <c r="BA13">
        <f>AY13-AZ13</f>
        <v>12</v>
      </c>
      <c r="BB13">
        <f>COUNTIFS(DataRegularSeason20242025!$E$3:$E$1315,Table3[[#This Row],[Teams]],DataRegularSeason20242025!$J$3:$J$1315,0)</f>
        <v>1</v>
      </c>
      <c r="BC13">
        <f>SUMIF(DataRegularSeason20242025!$E$3:$E$1315,$A13,DataRegularSeason20242025!$K$3:$K$1315)</f>
        <v>43</v>
      </c>
      <c r="BD13">
        <f>SUMIF(DataRegularSeason20242025!$E$3:$E$1315,$A13,DataRegularSeason20242025!$J$3:$J$1315)</f>
        <v>42</v>
      </c>
      <c r="BE13">
        <f>BC13-BD13</f>
        <v>1</v>
      </c>
      <c r="BF13">
        <f>AY13+BC13</f>
        <v>88</v>
      </c>
      <c r="BG13">
        <f>AZ13+BD13</f>
        <v>75</v>
      </c>
      <c r="BH13">
        <f>BF13-BG13</f>
        <v>13</v>
      </c>
      <c r="BI13" s="12">
        <f>Table3[[#This Row],[GF]]/Table3[[#This Row],[GP]]</f>
        <v>3.0344827586206895</v>
      </c>
      <c r="BJ13" s="12">
        <f>Table3[[#This Row],[GA]]/Table3[[#This Row],[GP]]</f>
        <v>2.5862068965517242</v>
      </c>
      <c r="BK13" s="12">
        <f>(Table3[[#This Row],[GF]]-Table3[[#This Row],[GA]])/Table3[[#This Row],[GP]]</f>
        <v>0.44827586206896552</v>
      </c>
      <c r="BL13" s="42" t="str">
        <f>_xlfn.CONCAT(TEXT(Table3[[#This Row],[W_H]], "0"), "-", TEXT(Table3[[#This Row],[RL_H]],"0"), "-", TEXT(Table3[[#This Row],[OTL_H]]+Table3[[#This Row],[SOL_H]], "0"))</f>
        <v>8-7-0</v>
      </c>
      <c r="BM13" s="42" t="str">
        <f>_xlfn.CONCAT(TEXT(Table3[[#This Row],[W_A]], "0"), "-", TEXT(Table3[[#This Row],[RL_A]],"0"), "-", TEXT(Table3[[#This Row],[OTL_A]]+Table3[[#This Row],[SOL_A]], "0"))</f>
        <v>8-4-2</v>
      </c>
      <c r="BN13" s="42">
        <f>((2*(Table3[[#This Row],[W_H]]))+Table3[[#This Row],[OTL_H]]+Table3[[#This Row],[SOL_H]])/(2*Table3[[#This Row],[GP_H]])</f>
        <v>0.53333333333333333</v>
      </c>
      <c r="BO13" s="42">
        <f>((2*(Table3[[#This Row],[W_A]]))+Table3[[#This Row],[OTL_A]]+Table3[[#This Row],[SOL_A]])/(2*Table3[[#This Row],[GP_A]])</f>
        <v>0.6428571428571429</v>
      </c>
      <c r="BP13" s="16">
        <f>(Table3[[#This Row],[W]]*$CX$3)+(Table3[[#This Row],[L]]*$CX$4)+(Table3[[#This Row],[GF]]*$CX$5)+(Table3[[#This Row],[GA]]*$CX$6)</f>
        <v>32.6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92.310820451843043</v>
      </c>
      <c r="BR13" s="16">
        <f>(Table3[[#This Row],[W]]*0.7) + ((Table3[[#This Row],[GF]] - Table3[[#This Row],[GA]])*0.25)+(Table3[[#This Row],[GF]]*0.1)+(Table3[[#This Row],[GA]]*0.05)+(Table3[[#This Row],[L]]*0.3)</f>
        <v>30.9</v>
      </c>
      <c r="BS13" s="16">
        <f>Table3[[#This Row],[TeamCost83]]/Table3[[#This Row],[GP]]</f>
        <v>1.0655172413793104</v>
      </c>
      <c r="BT13">
        <f>COUNTIFS(Table2[AwayTeam],$A13,Table2[PredictedWinner], $A13, Table2[GameIsOver], 1)</f>
        <v>6</v>
      </c>
      <c r="BU13">
        <f>COUNTIFS(Table2[HomeTeam],$A13,Table2[PredictedWinner], $A13, Table2[GameIsOver], 1)</f>
        <v>7</v>
      </c>
      <c r="BV13">
        <f>BT13+BU13</f>
        <v>13</v>
      </c>
      <c r="BW13">
        <f>F13-BT13</f>
        <v>8</v>
      </c>
      <c r="BX13">
        <f>H13-BU13</f>
        <v>8</v>
      </c>
      <c r="BY13">
        <f>BW13+BX13</f>
        <v>16</v>
      </c>
      <c r="BZ13">
        <f>Table3[[#This Row],[TimesPredictedWinner]]/Table3[[#This Row],[GP]]</f>
        <v>0.44827586206896552</v>
      </c>
      <c r="CB13">
        <v>2021</v>
      </c>
      <c r="CD13" s="1">
        <v>45751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5.3</v>
      </c>
      <c r="CJ13">
        <f>SUMIFS(Table2[GamePredictionScore], Table2[HomeTeam], Table3[[#This Row],[Teams]])</f>
        <v>8.8000000000000007</v>
      </c>
      <c r="CK13">
        <f>Table3[[#This Row],[Column4]]+Table3[[#This Row],[Column3]]</f>
        <v>14.100000000000001</v>
      </c>
      <c r="CL13">
        <f>Table3[[#This Row],[Column5]]/Table3[[#This Row],[GP]]</f>
        <v>0.48620689655172417</v>
      </c>
      <c r="CR13" t="s">
        <v>154</v>
      </c>
      <c r="CS13">
        <f>(CS5/CS2)/2</f>
        <v>3.0569892473118281</v>
      </c>
      <c r="DB13" s="156" t="s">
        <v>761</v>
      </c>
    </row>
    <row r="14" spans="1:144" x14ac:dyDescent="0.25">
      <c r="A14" t="s">
        <v>32</v>
      </c>
      <c r="B14" t="s">
        <v>91</v>
      </c>
      <c r="C14" t="s">
        <v>92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22</v>
      </c>
      <c r="E14" s="10">
        <f>Table3[[#This Row],[Watched]]/Table3[[#This Row],[GP]]</f>
        <v>0.73333333333333328</v>
      </c>
      <c r="F14">
        <f>COUNTIFS(DataRegularSeason20242025!$N$3:$N$1315,1,DataRegularSeason20242025!$D$3:$D$1315,$A14)</f>
        <v>15</v>
      </c>
      <c r="G14">
        <f>41-Table3[[#This Row],[GP_A]]</f>
        <v>26</v>
      </c>
      <c r="H14">
        <f>COUNTIFS(DataRegularSeason20242025!$E$3:$E$1315,$A14,DataRegularSeason20242025!$N$3:$N$1315,1)</f>
        <v>15</v>
      </c>
      <c r="I14">
        <f>41-Table3[[#This Row],[GP_H]]</f>
        <v>26</v>
      </c>
      <c r="J14">
        <f>F14+H14</f>
        <v>30</v>
      </c>
      <c r="K14">
        <f>82-Table3[[#This Row],[GP]]</f>
        <v>52</v>
      </c>
      <c r="L14">
        <f>COUNTIFS(DataRegularSeason20242025!$D$3:$D$1315,$A14, DataRegularSeason20242025!$L$3:$L$1315, $A14,DataRegularSeason20242025!$N$3:$N$1315,1)</f>
        <v>9</v>
      </c>
      <c r="M14">
        <f>COUNTIFS(DataRegularSeason20242025!$D$3:$D$1315,$A14, DataRegularSeason20242025!$L$3:$L$1315, $A14,DataRegularSeason20242025!$N$3:$N$1315,1,DataRegularSeason20242025!$M$3:$M$1315,"REG")</f>
        <v>6</v>
      </c>
      <c r="N14">
        <f>COUNTIFS(DataRegularSeason20242025!$D$3:$D$1315,$A14, DataRegularSeason20242025!$L$3:$L$1315, $A14,DataRegularSeason20242025!$N$3:$N$1315,1,DataRegularSeason20242025!$M$3:$M$1315,"OT")</f>
        <v>3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>F14-L14</f>
        <v>6</v>
      </c>
      <c r="Q14">
        <f>COUNTIFS(DataRegularSeason20242025!$D$3:$D$1315,$A14, DataRegularSeason20242025!$S$3:$S$1315, $A14,DataRegularSeason20242025!$M$3:$M$1315,"REG")</f>
        <v>5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1</v>
      </c>
      <c r="T14">
        <f>COUNTIFS(DataRegularSeason20242025!$E$3:$E$1315,$A14, DataRegularSeason20242025!$L$3:$L$1315, $A14, DataRegularSeason20242025!$N$3:$N$1315,1)</f>
        <v>7</v>
      </c>
      <c r="U14">
        <f>COUNTIFS(DataRegularSeason20242025!$E$3:$E$1315,$A14, DataRegularSeason20242025!$L$3:$L$1315, $A14,DataRegularSeason20242025!$N$3:$N$1315,1,DataRegularSeason20242025!$M$3:$M$1315,"REG")</f>
        <v>6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1</v>
      </c>
      <c r="X14">
        <f>H14-T14</f>
        <v>8</v>
      </c>
      <c r="Y14">
        <f>COUNTIFS(DataRegularSeason20242025!$E$3:$E$1315,$A14, DataRegularSeason20242025!$S$3:$S$1315, $A14,DataRegularSeason20242025!$M$3:$M$1315,"REG")</f>
        <v>6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2</v>
      </c>
      <c r="AB14">
        <f>Table3[[#This Row],[W]]/MAX(1,Table3[[#This Row],[W]]+Table3[[#This Row],[L]])</f>
        <v>0.53333333333333333</v>
      </c>
      <c r="AC14">
        <f>Table3[[#This Row],[W_A]]+Table3[[#This Row],[W_H]]</f>
        <v>16</v>
      </c>
      <c r="AD14">
        <f>Table3[[#This Row],[L_A]]+Table3[[#This Row],[L_H]]</f>
        <v>14</v>
      </c>
      <c r="AE14">
        <f>Table3[[#This Row],[RW_A]]+Table3[[#This Row],[RW_H]]</f>
        <v>12</v>
      </c>
      <c r="AF14">
        <f>Table3[[#This Row],[RL_A]]+Table3[[#This Row],[RL_H]]</f>
        <v>11</v>
      </c>
      <c r="AG14">
        <f>Table3[[#This Row],[OTW_A]]+Table3[[#This Row],[OTW_H]]</f>
        <v>3</v>
      </c>
      <c r="AH14">
        <f>Table3[[#This Row],[OTL_A]]+Table3[[#This Row],[OTL_H]]</f>
        <v>0</v>
      </c>
      <c r="AI14">
        <f>Table3[[#This Row],[SOW_A]]+Table3[[#This Row],[SOW_H]]</f>
        <v>1</v>
      </c>
      <c r="AJ14">
        <f>Table3[[#This Row],[SOL_A]]+Table3[[#This Row],[SOL_H]]</f>
        <v>3</v>
      </c>
      <c r="AK14" s="15" t="str">
        <f>_xlfn.CONCAT(TEXT(Table3[[#This Row],[OTW]]+Table3[[#This Row],[SOW]], "0"), "-", TEXT(Table3[[#This Row],[OTL]]+Table3[[#This Row],[SOL]],"0"))</f>
        <v>4-3</v>
      </c>
      <c r="AL14">
        <f>SUM(Table3[[#This Row],[OTW]],Table3[[#This Row],[OTL]],Table3[[#This Row],[SOW]],Table3[[#This Row],[SOL]])</f>
        <v>7</v>
      </c>
      <c r="AM14">
        <f>(Table3[[#This Row],[OTW]]+Table3[[#This Row],[SOW]])/IF(Table3[[#This Row],[Total_ExtraTimes]]=0,1,Table3[[#This Row],[Total_ExtraTimes]])</f>
        <v>0.5714285714285714</v>
      </c>
      <c r="AN14">
        <f>Table3[[#This Row],[Total_ExtraTimes]]/MAX(1,Table3[[#This Row],[GP]])</f>
        <v>0.23333333333333334</v>
      </c>
      <c r="AO14">
        <f>(2*(Table3[[#This Row],[W_A]]+Table3[[#This Row],[W_H]]))+Table3[[#This Row],[OTL_A]]+Table3[[#This Row],[SOL_A]]+Table3[[#This Row],[OTL_H]]+Table3[[#This Row],[SOL_H]]</f>
        <v>35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14" s="10">
        <f>Table3[[#This Row],[PTS]]/(2*Table3[[#This Row],[GP]])</f>
        <v>0.58333333333333337</v>
      </c>
      <c r="AR14" s="10">
        <f>Table3[[#This Row],[PTS2]]/(3*Table3[[#This Row],[GP]])</f>
        <v>0.52222222222222225</v>
      </c>
      <c r="AS14">
        <f>(2*Table3[[#This Row],[GR]])+Table3[[#This Row],[PTS]]</f>
        <v>139</v>
      </c>
      <c r="AT14">
        <f>(3*Table3[[#This Row],[GR]])+Table3[[#This Row],[PTS2]]</f>
        <v>203</v>
      </c>
      <c r="AU14">
        <f>Table3[[#This Row],[PTS]]+(2 * Table3[[#This Row],[GR]] * Table3[[#This Row],[PTS%]])</f>
        <v>95.666666666666671</v>
      </c>
      <c r="AV14">
        <f>Table3[[#This Row],[PTS2]]+(3 * Table3[[#This Row],[GR]] * Table3[[#This Row],[PTS%2]])</f>
        <v>128.46666666666667</v>
      </c>
      <c r="AW14" s="15" t="str">
        <f>_xlfn.CONCAT(TEXT(Table3[[#This Row],[W]], "0"), "-", TEXT(Table3[[#This Row],[RL]],"0"), "-", TEXT(Table3[[#This Row],[OTL]]+Table3[[#This Row],[SOL]], "0"))</f>
        <v>16-11-3</v>
      </c>
      <c r="AX14">
        <f>COUNTIFS(DataRegularSeason20242025!$D$3:$D$1315,Table3[[#This Row],[Teams]],DataRegularSeason20242025!$K$3:$K$1315,0)</f>
        <v>3</v>
      </c>
      <c r="AY14">
        <f>SUMIF(DataRegularSeason20242025!$D$3:$D$1315,$A14, DataRegularSeason20242025!$J$3:$J$1315)</f>
        <v>45</v>
      </c>
      <c r="AZ14">
        <f>SUMIF(DataRegularSeason20242025!$D$3:$D$1315,$A14, DataRegularSeason20242025!$K$3:$K$1315)</f>
        <v>41</v>
      </c>
      <c r="BA14">
        <f>AY14-AZ14</f>
        <v>4</v>
      </c>
      <c r="BB14">
        <f>COUNTIFS(DataRegularSeason20242025!$E$3:$E$1315,Table3[[#This Row],[Teams]],DataRegularSeason20242025!$J$3:$J$1315,0)</f>
        <v>1</v>
      </c>
      <c r="BC14">
        <f>SUMIF(DataRegularSeason20242025!$E$3:$E$1315,$A14,DataRegularSeason20242025!$K$3:$K$1315)</f>
        <v>42</v>
      </c>
      <c r="BD14">
        <f>SUMIF(DataRegularSeason20242025!$E$3:$E$1315,$A14,DataRegularSeason20242025!$J$3:$J$1315)</f>
        <v>44</v>
      </c>
      <c r="BE14">
        <f>BC14-BD14</f>
        <v>-2</v>
      </c>
      <c r="BF14">
        <f>AY14+BC14</f>
        <v>87</v>
      </c>
      <c r="BG14">
        <f>AZ14+BD14</f>
        <v>85</v>
      </c>
      <c r="BH14">
        <f>BF14-BG14</f>
        <v>2</v>
      </c>
      <c r="BI14" s="12">
        <f>Table3[[#This Row],[GF]]/Table3[[#This Row],[GP]]</f>
        <v>2.9</v>
      </c>
      <c r="BJ14" s="12">
        <f>Table3[[#This Row],[GA]]/Table3[[#This Row],[GP]]</f>
        <v>2.8333333333333335</v>
      </c>
      <c r="BK14" s="12">
        <f>(Table3[[#This Row],[GF]]-Table3[[#This Row],[GA]])/Table3[[#This Row],[GP]]</f>
        <v>6.6666666666666666E-2</v>
      </c>
      <c r="BL14" s="42" t="str">
        <f>_xlfn.CONCAT(TEXT(Table3[[#This Row],[W_H]], "0"), "-", TEXT(Table3[[#This Row],[RL_H]],"0"), "-", TEXT(Table3[[#This Row],[OTL_H]]+Table3[[#This Row],[SOL_H]], "0"))</f>
        <v>7-6-2</v>
      </c>
      <c r="BM14" s="42" t="str">
        <f>_xlfn.CONCAT(TEXT(Table3[[#This Row],[W_A]], "0"), "-", TEXT(Table3[[#This Row],[RL_A]],"0"), "-", TEXT(Table3[[#This Row],[OTL_A]]+Table3[[#This Row],[SOL_A]], "0"))</f>
        <v>9-5-1</v>
      </c>
      <c r="BN14" s="42">
        <f>((2*(Table3[[#This Row],[W_H]]))+Table3[[#This Row],[OTL_H]]+Table3[[#This Row],[SOL_H]])/(2*Table3[[#This Row],[GP_H]])</f>
        <v>0.53333333333333333</v>
      </c>
      <c r="BO14" s="42">
        <f>((2*(Table3[[#This Row],[W_A]]))+Table3[[#This Row],[OTL_A]]+Table3[[#This Row],[SOL_A]])/(2*Table3[[#This Row],[GP_A]])</f>
        <v>0.6333333333333333</v>
      </c>
      <c r="BP14" s="16">
        <f>(Table3[[#This Row],[W]]*$CX$3)+(Table3[[#This Row],[L]]*$CX$4)+(Table3[[#This Row],[GF]]*$CX$5)+(Table3[[#This Row],[GA]]*$CX$6)</f>
        <v>33.75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93.792222222222222</v>
      </c>
      <c r="BR14" s="16">
        <f>(Table3[[#This Row],[W]]*0.7) + ((Table3[[#This Row],[GF]] - Table3[[#This Row],[GA]])*0.25)+(Table3[[#This Row],[GF]]*0.1)+(Table3[[#This Row],[GA]]*0.05)+(Table3[[#This Row],[L]]*0.3)</f>
        <v>28.849999999999998</v>
      </c>
      <c r="BS14" s="16">
        <f>Table3[[#This Row],[TeamCost83]]/Table3[[#This Row],[GP]]</f>
        <v>0.96166666666666656</v>
      </c>
      <c r="BT14">
        <f>COUNTIFS(Table2[AwayTeam],$A14,Table2[PredictedWinner], $A14, Table2[GameIsOver], 1)</f>
        <v>2</v>
      </c>
      <c r="BU14">
        <f>COUNTIFS(Table2[HomeTeam],$A14,Table2[PredictedWinner], $A14, Table2[GameIsOver], 1)</f>
        <v>8</v>
      </c>
      <c r="BV14">
        <f>BT14+BU14</f>
        <v>10</v>
      </c>
      <c r="BW14">
        <f>F14-BT14</f>
        <v>13</v>
      </c>
      <c r="BX14">
        <f>H14-BU14</f>
        <v>7</v>
      </c>
      <c r="BY14">
        <f>BW14+BX14</f>
        <v>20</v>
      </c>
      <c r="BZ14">
        <f>Table3[[#This Row],[TimesPredictedWinner]]/Table3[[#This Row],[GP]]</f>
        <v>0.33333333333333331</v>
      </c>
      <c r="CB14">
        <v>1983</v>
      </c>
      <c r="CC14" s="1">
        <v>45759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6.7</v>
      </c>
      <c r="CJ14">
        <f>SUMIFS(Table2[GamePredictionScore], Table2[HomeTeam], Table3[[#This Row],[Teams]])</f>
        <v>5.6</v>
      </c>
      <c r="CK14">
        <f>Table3[[#This Row],[Column4]]+Table3[[#This Row],[Column3]]</f>
        <v>12.3</v>
      </c>
      <c r="CL14">
        <f>Table3[[#This Row],[Column5]]/Table3[[#This Row],[GP]]</f>
        <v>0.41000000000000003</v>
      </c>
      <c r="CR14" t="s">
        <v>460</v>
      </c>
      <c r="CS14">
        <f>CS7+CS8</f>
        <v>124</v>
      </c>
      <c r="DB14">
        <v>4.7474747474747404E+75</v>
      </c>
    </row>
    <row r="15" spans="1:144" ht="15.75" thickBot="1" x14ac:dyDescent="0.3">
      <c r="A15" t="s">
        <v>30</v>
      </c>
      <c r="B15" t="s">
        <v>91</v>
      </c>
      <c r="C15" t="s">
        <v>74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29</v>
      </c>
      <c r="E15" s="10">
        <f>Table3[[#This Row],[Watched]]/Table3[[#This Row],[GP]]</f>
        <v>0.96666666666666667</v>
      </c>
      <c r="F15">
        <f>COUNTIFS(DataRegularSeason20242025!$N$3:$N$1315,1,DataRegularSeason20242025!$D$3:$D$1315,$A15)</f>
        <v>14</v>
      </c>
      <c r="G15">
        <f>41-Table3[[#This Row],[GP_A]]</f>
        <v>27</v>
      </c>
      <c r="H15">
        <f>COUNTIFS(DataRegularSeason20242025!$E$3:$E$1315,$A15,DataRegularSeason20242025!$N$3:$N$1315,1)</f>
        <v>16</v>
      </c>
      <c r="I15">
        <f>41-Table3[[#This Row],[GP_H]]</f>
        <v>25</v>
      </c>
      <c r="J15">
        <f>F15+H15</f>
        <v>30</v>
      </c>
      <c r="K15">
        <f>82-Table3[[#This Row],[GP]]</f>
        <v>52</v>
      </c>
      <c r="L15">
        <f>COUNTIFS(DataRegularSeason20242025!$D$3:$D$1315,$A15, DataRegularSeason20242025!$L$3:$L$1315, $A15,DataRegularSeason20242025!$N$3:$N$1315,1)</f>
        <v>7</v>
      </c>
      <c r="M15">
        <f>COUNTIFS(DataRegularSeason20242025!$D$3:$D$1315,$A15, DataRegularSeason20242025!$L$3:$L$1315, $A15,DataRegularSeason20242025!$N$3:$N$1315,1,DataRegularSeason20242025!$M$3:$M$1315,"REG")</f>
        <v>5</v>
      </c>
      <c r="N15">
        <f>COUNTIFS(DataRegularSeason20242025!$D$3:$D$1315,$A15, DataRegularSeason20242025!$L$3:$L$1315, $A15,DataRegularSeason20242025!$N$3:$N$1315,1,DataRegularSeason20242025!$M$3:$M$1315,"OT")</f>
        <v>0</v>
      </c>
      <c r="O15">
        <f>COUNTIFS(DataRegularSeason20242025!$D$3:$D$1315,$A15, DataRegularSeason20242025!$L$3:$L$1315, $A15,DataRegularSeason20242025!$N$3:$N$1315,1,DataRegularSeason20242025!$M$3:$M$1315,"SO")</f>
        <v>2</v>
      </c>
      <c r="P15">
        <f>F15-L15</f>
        <v>7</v>
      </c>
      <c r="Q15">
        <f>COUNTIFS(DataRegularSeason20242025!$D$3:$D$1315,$A15, DataRegularSeason20242025!$S$3:$S$1315, $A15,DataRegularSeason20242025!$M$3:$M$1315,"REG")</f>
        <v>5</v>
      </c>
      <c r="R15">
        <f>COUNTIFS(DataRegularSeason20242025!$D$3:$D$1315,$A15, DataRegularSeason20242025!$S$3:$S$1315, $A15,DataRegularSeason20242025!$M$3:$M$1315,"OT")</f>
        <v>0</v>
      </c>
      <c r="S15">
        <f>COUNTIFS(DataRegularSeason20242025!$D$3:$D$1315,$A15, DataRegularSeason20242025!$S$3:$S$1315, $A15,DataRegularSeason20242025!$M$3:$M$1315,"SO")</f>
        <v>2</v>
      </c>
      <c r="T15">
        <f>COUNTIFS(DataRegularSeason20242025!$E$3:$E$1315,$A15, DataRegularSeason20242025!$L$3:$L$1315, $A15, DataRegularSeason20242025!$N$3:$N$1315,1)</f>
        <v>9</v>
      </c>
      <c r="U15">
        <f>COUNTIFS(DataRegularSeason20242025!$E$3:$E$1315,$A15, DataRegularSeason20242025!$L$3:$L$1315, $A15,DataRegularSeason20242025!$N$3:$N$1315,1,DataRegularSeason20242025!$M$3:$M$1315,"REG")</f>
        <v>7</v>
      </c>
      <c r="V15">
        <f>COUNTIFS(DataRegularSeason20242025!$E$3:$E$1315,$A15, DataRegularSeason20242025!$L$3:$L$1315, $A15,DataRegularSeason20242025!$N$3:$N$1315,1,DataRegularSeason20242025!$M$3:$M$1315,"OT")</f>
        <v>2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>H15-T15</f>
        <v>7</v>
      </c>
      <c r="Y15">
        <f>COUNTIFS(DataRegularSeason20242025!$E$3:$E$1315,$A15, DataRegularSeason20242025!$S$3:$S$1315, $A15,DataRegularSeason20242025!$M$3:$M$1315,"REG")</f>
        <v>6</v>
      </c>
      <c r="Z15">
        <f>COUNTIFS(DataRegularSeason20242025!$E$3:$E$1315,$A15, DataRegularSeason20242025!$S$3:$S$1315, $A15,DataRegularSeason20242025!$M$3:$M$1315,"OT")</f>
        <v>1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0.53333333333333333</v>
      </c>
      <c r="AC15">
        <f>Table3[[#This Row],[W_A]]+Table3[[#This Row],[W_H]]</f>
        <v>16</v>
      </c>
      <c r="AD15">
        <f>Table3[[#This Row],[L_A]]+Table3[[#This Row],[L_H]]</f>
        <v>14</v>
      </c>
      <c r="AE15">
        <f>Table3[[#This Row],[RW_A]]+Table3[[#This Row],[RW_H]]</f>
        <v>12</v>
      </c>
      <c r="AF15">
        <f>Table3[[#This Row],[RL_A]]+Table3[[#This Row],[RL_H]]</f>
        <v>11</v>
      </c>
      <c r="AG15">
        <f>Table3[[#This Row],[OTW_A]]+Table3[[#This Row],[OTW_H]]</f>
        <v>2</v>
      </c>
      <c r="AH15">
        <f>Table3[[#This Row],[OTL_A]]+Table3[[#This Row],[OTL_H]]</f>
        <v>1</v>
      </c>
      <c r="AI15">
        <f>Table3[[#This Row],[SOW_A]]+Table3[[#This Row],[SOW_H]]</f>
        <v>2</v>
      </c>
      <c r="AJ15">
        <f>Table3[[#This Row],[SOL_A]]+Table3[[#This Row],[SOL_H]]</f>
        <v>2</v>
      </c>
      <c r="AK15" s="15" t="str">
        <f>_xlfn.CONCAT(TEXT(Table3[[#This Row],[OTW]]+Table3[[#This Row],[SOW]], "0"), "-", TEXT(Table3[[#This Row],[OTL]]+Table3[[#This Row],[SOL]],"0"))</f>
        <v>4-3</v>
      </c>
      <c r="AL15">
        <f>SUM(Table3[[#This Row],[OTW]],Table3[[#This Row],[OTL]],Table3[[#This Row],[SOW]],Table3[[#This Row],[SOL]])</f>
        <v>7</v>
      </c>
      <c r="AM15">
        <f>(Table3[[#This Row],[OTW]]+Table3[[#This Row],[SOW]])/IF(Table3[[#This Row],[Total_ExtraTimes]]=0,1,Table3[[#This Row],[Total_ExtraTimes]])</f>
        <v>0.5714285714285714</v>
      </c>
      <c r="AN15">
        <f>Table3[[#This Row],[Total_ExtraTimes]]/MAX(1,Table3[[#This Row],[GP]])</f>
        <v>0.23333333333333334</v>
      </c>
      <c r="AO15">
        <f>(2*(Table3[[#This Row],[W_A]]+Table3[[#This Row],[W_H]]))+Table3[[#This Row],[OTL_A]]+Table3[[#This Row],[SOL_A]]+Table3[[#This Row],[OTL_H]]+Table3[[#This Row],[SOL_H]]</f>
        <v>35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15" s="10">
        <f>Table3[[#This Row],[PTS]]/(2*Table3[[#This Row],[GP]])</f>
        <v>0.58333333333333337</v>
      </c>
      <c r="AR15" s="10">
        <f>Table3[[#This Row],[PTS2]]/(3*Table3[[#This Row],[GP]])</f>
        <v>0.52222222222222225</v>
      </c>
      <c r="AS15">
        <f>(2*Table3[[#This Row],[GR]])+Table3[[#This Row],[PTS]]</f>
        <v>139</v>
      </c>
      <c r="AT15">
        <f>(3*Table3[[#This Row],[GR]])+Table3[[#This Row],[PTS2]]</f>
        <v>203</v>
      </c>
      <c r="AU15">
        <f>Table3[[#This Row],[PTS]]+(2 * Table3[[#This Row],[GR]] * Table3[[#This Row],[PTS%]])</f>
        <v>95.666666666666671</v>
      </c>
      <c r="AV15">
        <f>Table3[[#This Row],[PTS2]]+(3 * Table3[[#This Row],[GR]] * Table3[[#This Row],[PTS%2]])</f>
        <v>128.46666666666667</v>
      </c>
      <c r="AW15" s="15" t="str">
        <f>_xlfn.CONCAT(TEXT(Table3[[#This Row],[W]], "0"), "-", TEXT(Table3[[#This Row],[RL]],"0"), "-", TEXT(Table3[[#This Row],[OTL]]+Table3[[#This Row],[SOL]], "0"))</f>
        <v>16-11-3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41</v>
      </c>
      <c r="AZ15">
        <f>SUMIF(DataRegularSeason20242025!$D$3:$D$1315,$A15, DataRegularSeason20242025!$K$3:$K$1315)</f>
        <v>43</v>
      </c>
      <c r="BA15">
        <f>AY15-AZ15</f>
        <v>-2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54</v>
      </c>
      <c r="BD15">
        <f>SUMIF(DataRegularSeason20242025!$E$3:$E$1315,$A15,DataRegularSeason20242025!$J$3:$J$1315)</f>
        <v>59</v>
      </c>
      <c r="BE15">
        <f>BC15-BD15</f>
        <v>-5</v>
      </c>
      <c r="BF15">
        <f>AY15+BC15</f>
        <v>95</v>
      </c>
      <c r="BG15">
        <f>AZ15+BD15</f>
        <v>102</v>
      </c>
      <c r="BH15">
        <f>BF15-BG15</f>
        <v>-7</v>
      </c>
      <c r="BI15" s="12">
        <f>Table3[[#This Row],[GF]]/Table3[[#This Row],[GP]]</f>
        <v>3.1666666666666665</v>
      </c>
      <c r="BJ15" s="12">
        <f>Table3[[#This Row],[GA]]/Table3[[#This Row],[GP]]</f>
        <v>3.4</v>
      </c>
      <c r="BK15" s="12">
        <f>(Table3[[#This Row],[GF]]-Table3[[#This Row],[GA]])/Table3[[#This Row],[GP]]</f>
        <v>-0.23333333333333334</v>
      </c>
      <c r="BL15" s="42" t="str">
        <f>_xlfn.CONCAT(TEXT(Table3[[#This Row],[W_H]], "0"), "-", TEXT(Table3[[#This Row],[RL_H]],"0"), "-", TEXT(Table3[[#This Row],[OTL_H]]+Table3[[#This Row],[SOL_H]], "0"))</f>
        <v>9-6-1</v>
      </c>
      <c r="BM15" s="42" t="str">
        <f>_xlfn.CONCAT(TEXT(Table3[[#This Row],[W_A]], "0"), "-", TEXT(Table3[[#This Row],[RL_A]],"0"), "-", TEXT(Table3[[#This Row],[OTL_A]]+Table3[[#This Row],[SOL_A]], "0"))</f>
        <v>7-5-2</v>
      </c>
      <c r="BN15" s="42">
        <f>((2*(Table3[[#This Row],[W_H]]))+Table3[[#This Row],[OTL_H]]+Table3[[#This Row],[SOL_H]])/(2*Table3[[#This Row],[GP_H]])</f>
        <v>0.59375</v>
      </c>
      <c r="BO15" s="42">
        <f>((2*(Table3[[#This Row],[W_A]]))+Table3[[#This Row],[OTL_A]]+Table3[[#This Row],[SOL_A]])/(2*Table3[[#This Row],[GP_A]])</f>
        <v>0.5714285714285714</v>
      </c>
      <c r="BP15" s="16">
        <f>(Table3[[#This Row],[W]]*$CX$3)+(Table3[[#This Row],[L]]*$CX$4)+(Table3[[#This Row],[GF]]*$CX$5)+(Table3[[#This Row],[GA]]*$CX$6)</f>
        <v>36.65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104.61888888888889</v>
      </c>
      <c r="BR15" s="16">
        <f>(Table3[[#This Row],[W]]*0.7) + ((Table3[[#This Row],[GF]] - Table3[[#This Row],[GA]])*0.25)+(Table3[[#This Row],[GF]]*0.1)+(Table3[[#This Row],[GA]]*0.05)+(Table3[[#This Row],[L]]*0.3)</f>
        <v>28.25</v>
      </c>
      <c r="BS15" s="16">
        <f>Table3[[#This Row],[TeamCost83]]/Table3[[#This Row],[GP]]</f>
        <v>0.94166666666666665</v>
      </c>
      <c r="BT15">
        <f>COUNTIFS(Table2[AwayTeam],$A15,Table2[PredictedWinner], $A15, Table2[GameIsOver], 1)</f>
        <v>8</v>
      </c>
      <c r="BU15">
        <f>COUNTIFS(Table2[HomeTeam],$A15,Table2[PredictedWinner], $A15, Table2[GameIsOver], 1)</f>
        <v>9</v>
      </c>
      <c r="BV15">
        <f>BT15+BU15</f>
        <v>17</v>
      </c>
      <c r="BW15">
        <f>F15-BT15</f>
        <v>6</v>
      </c>
      <c r="BX15">
        <f>H15-BU15</f>
        <v>7</v>
      </c>
      <c r="BY15">
        <f>BW15+BX15</f>
        <v>13</v>
      </c>
      <c r="BZ15">
        <f>Table3[[#This Row],[TimesPredictedWinner]]/Table3[[#This Row],[GP]]</f>
        <v>0.56666666666666665</v>
      </c>
      <c r="CB15">
        <v>2008</v>
      </c>
      <c r="CC15" s="1">
        <v>45759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5.8</v>
      </c>
      <c r="CJ15">
        <f>SUMIFS(Table2[GamePredictionScore], Table2[HomeTeam], Table3[[#This Row],[Teams]])</f>
        <v>5.2</v>
      </c>
      <c r="CK15">
        <f>Table3[[#This Row],[Column4]]+Table3[[#This Row],[Column3]]</f>
        <v>11</v>
      </c>
      <c r="CL15">
        <f>Table3[[#This Row],[Column5]]/Table3[[#This Row],[GP]]</f>
        <v>0.36666666666666664</v>
      </c>
      <c r="CR15" t="s">
        <v>461</v>
      </c>
      <c r="CS15">
        <f>CS14/CS2</f>
        <v>0.26666666666666666</v>
      </c>
    </row>
    <row r="16" spans="1:144" x14ac:dyDescent="0.25">
      <c r="A16" t="s">
        <v>31</v>
      </c>
      <c r="B16" t="s">
        <v>91</v>
      </c>
      <c r="C16" t="s">
        <v>92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23</v>
      </c>
      <c r="E16" s="10">
        <f>Table3[[#This Row],[Watched]]/Table3[[#This Row],[GP]]</f>
        <v>0.7931034482758621</v>
      </c>
      <c r="F16">
        <f>COUNTIFS(DataRegularSeason20242025!$N$3:$N$1315,1,DataRegularSeason20242025!$D$3:$D$1315,$A16)</f>
        <v>15</v>
      </c>
      <c r="G16">
        <f>41-Table3[[#This Row],[GP_A]]</f>
        <v>26</v>
      </c>
      <c r="H16">
        <f>COUNTIFS(DataRegularSeason20242025!$E$3:$E$1315,$A16,DataRegularSeason20242025!$N$3:$N$1315,1)</f>
        <v>14</v>
      </c>
      <c r="I16">
        <f>41-Table3[[#This Row],[GP_H]]</f>
        <v>27</v>
      </c>
      <c r="J16">
        <f>F16+H16</f>
        <v>29</v>
      </c>
      <c r="K16">
        <f>82-Table3[[#This Row],[GP]]</f>
        <v>53</v>
      </c>
      <c r="L16">
        <f>COUNTIFS(DataRegularSeason20242025!$D$3:$D$1315,$A16, DataRegularSeason20242025!$L$3:$L$1315, $A16,DataRegularSeason20242025!$N$3:$N$1315,1)</f>
        <v>7</v>
      </c>
      <c r="M16">
        <f>COUNTIFS(DataRegularSeason20242025!$D$3:$D$1315,$A16, DataRegularSeason20242025!$L$3:$L$1315, $A16,DataRegularSeason20242025!$N$3:$N$1315,1,DataRegularSeason20242025!$M$3:$M$1315,"REG")</f>
        <v>5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>F16-L16</f>
        <v>8</v>
      </c>
      <c r="Q16">
        <f>COUNTIFS(DataRegularSeason20242025!$D$3:$D$1315,$A16, DataRegularSeason20242025!$S$3:$S$1315, $A16,DataRegularSeason20242025!$M$3:$M$1315,"REG")</f>
        <v>8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9</v>
      </c>
      <c r="U16">
        <f>COUNTIFS(DataRegularSeason20242025!$E$3:$E$1315,$A16, DataRegularSeason20242025!$L$3:$L$1315, $A16,DataRegularSeason20242025!$N$3:$N$1315,1,DataRegularSeason20242025!$M$3:$M$1315,"REG")</f>
        <v>5</v>
      </c>
      <c r="V16">
        <f>COUNTIFS(DataRegularSeason20242025!$E$3:$E$1315,$A16, DataRegularSeason20242025!$L$3:$L$1315, $A16,DataRegularSeason20242025!$N$3:$N$1315,1,DataRegularSeason20242025!$M$3:$M$1315,"OT")</f>
        <v>3</v>
      </c>
      <c r="W16">
        <f>COUNTIFS(DataRegularSeason20242025!$E$3:$E$1315,$A16, DataRegularSeason20242025!$L$3:$L$1315, $A16,DataRegularSeason20242025!$N$3:$N$1315,1,DataRegularSeason20242025!$M$3:$M$1315,"SO")</f>
        <v>1</v>
      </c>
      <c r="X16">
        <f>H16-T16</f>
        <v>5</v>
      </c>
      <c r="Y16">
        <f>COUNTIFS(DataRegularSeason20242025!$E$3:$E$1315,$A16, DataRegularSeason20242025!$S$3:$S$1315, $A16,DataRegularSeason20242025!$M$3:$M$1315,"REG")</f>
        <v>4</v>
      </c>
      <c r="Z16">
        <f>COUNTIFS(DataRegularSeason20242025!$E$3:$E$1315,$A16, DataRegularSeason20242025!$S$3:$S$1315, $A16,DataRegularSeason20242025!$M$3:$M$1315,"OT")</f>
        <v>1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0.55172413793103448</v>
      </c>
      <c r="AC16">
        <f>Table3[[#This Row],[W_A]]+Table3[[#This Row],[W_H]]</f>
        <v>16</v>
      </c>
      <c r="AD16">
        <f>Table3[[#This Row],[L_A]]+Table3[[#This Row],[L_H]]</f>
        <v>13</v>
      </c>
      <c r="AE16">
        <f>Table3[[#This Row],[RW_A]]+Table3[[#This Row],[RW_H]]</f>
        <v>10</v>
      </c>
      <c r="AF16">
        <f>Table3[[#This Row],[RL_A]]+Table3[[#This Row],[RL_H]]</f>
        <v>12</v>
      </c>
      <c r="AG16">
        <f>Table3[[#This Row],[OTW_A]]+Table3[[#This Row],[OTW_H]]</f>
        <v>4</v>
      </c>
      <c r="AH16">
        <f>Table3[[#This Row],[OTL_A]]+Table3[[#This Row],[OTL_H]]</f>
        <v>1</v>
      </c>
      <c r="AI16">
        <f>Table3[[#This Row],[SOW_A]]+Table3[[#This Row],[SOW_H]]</f>
        <v>2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6-1</v>
      </c>
      <c r="AL16">
        <f>SUM(Table3[[#This Row],[OTW]],Table3[[#This Row],[OTL]],Table3[[#This Row],[SOW]],Table3[[#This Row],[SOL]])</f>
        <v>7</v>
      </c>
      <c r="AM16">
        <f>(Table3[[#This Row],[OTW]]+Table3[[#This Row],[SOW]])/IF(Table3[[#This Row],[Total_ExtraTimes]]=0,1,Table3[[#This Row],[Total_ExtraTimes]])</f>
        <v>0.8571428571428571</v>
      </c>
      <c r="AN16">
        <f>Table3[[#This Row],[Total_ExtraTimes]]/MAX(1,Table3[[#This Row],[GP]])</f>
        <v>0.2413793103448276</v>
      </c>
      <c r="AO16">
        <f>(2*(Table3[[#This Row],[W_A]]+Table3[[#This Row],[W_H]]))+Table3[[#This Row],[OTL_A]]+Table3[[#This Row],[SOL_A]]+Table3[[#This Row],[OTL_H]]+Table3[[#This Row],[SOL_H]]</f>
        <v>33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16" s="10">
        <f>Table3[[#This Row],[PTS]]/(2*Table3[[#This Row],[GP]])</f>
        <v>0.56896551724137934</v>
      </c>
      <c r="AR16" s="10">
        <f>Table3[[#This Row],[PTS2]]/(3*Table3[[#This Row],[GP]])</f>
        <v>0.4942528735632184</v>
      </c>
      <c r="AS16">
        <f>(2*Table3[[#This Row],[GR]])+Table3[[#This Row],[PTS]]</f>
        <v>139</v>
      </c>
      <c r="AT16">
        <f>(3*Table3[[#This Row],[GR]])+Table3[[#This Row],[PTS2]]</f>
        <v>202</v>
      </c>
      <c r="AU16">
        <f>Table3[[#This Row],[PTS]]+(2 * Table3[[#This Row],[GR]] * Table3[[#This Row],[PTS%]])</f>
        <v>93.310344827586206</v>
      </c>
      <c r="AV16">
        <f>Table3[[#This Row],[PTS2]]+(3 * Table3[[#This Row],[GR]] * Table3[[#This Row],[PTS%2]])</f>
        <v>121.58620689655173</v>
      </c>
      <c r="AW16" s="15" t="str">
        <f>_xlfn.CONCAT(TEXT(Table3[[#This Row],[W]], "0"), "-", TEXT(Table3[[#This Row],[RL]],"0"), "-", TEXT(Table3[[#This Row],[OTL]]+Table3[[#This Row],[SOL]], "0"))</f>
        <v>16-12-1</v>
      </c>
      <c r="AX16">
        <f>COUNTIFS(DataRegularSeason20242025!$D$3:$D$1315,Table3[[#This Row],[Teams]],DataRegularSeason20242025!$K$3:$K$1315,0)</f>
        <v>1</v>
      </c>
      <c r="AY16">
        <f>SUMIF(DataRegularSeason20242025!$D$3:$D$1315,$A16, DataRegularSeason20242025!$J$3:$J$1315)</f>
        <v>44</v>
      </c>
      <c r="AZ16">
        <f>SUMIF(DataRegularSeason20242025!$D$3:$D$1315,$A16, DataRegularSeason20242025!$K$3:$K$1315)</f>
        <v>52</v>
      </c>
      <c r="BA16">
        <f>AY16-AZ16</f>
        <v>-8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40</v>
      </c>
      <c r="BD16">
        <f>SUMIF(DataRegularSeason20242025!$E$3:$E$1315,$A16,DataRegularSeason20242025!$J$3:$J$1315)</f>
        <v>37</v>
      </c>
      <c r="BE16">
        <f>BC16-BD16</f>
        <v>3</v>
      </c>
      <c r="BF16">
        <f>AY16+BC16</f>
        <v>84</v>
      </c>
      <c r="BG16">
        <f>AZ16+BD16</f>
        <v>89</v>
      </c>
      <c r="BH16">
        <f>BF16-BG16</f>
        <v>-5</v>
      </c>
      <c r="BI16" s="12">
        <f>Table3[[#This Row],[GF]]/Table3[[#This Row],[GP]]</f>
        <v>2.896551724137931</v>
      </c>
      <c r="BJ16" s="12">
        <f>Table3[[#This Row],[GA]]/Table3[[#This Row],[GP]]</f>
        <v>3.0689655172413794</v>
      </c>
      <c r="BK16" s="12">
        <f>(Table3[[#This Row],[GF]]-Table3[[#This Row],[GA]])/Table3[[#This Row],[GP]]</f>
        <v>-0.17241379310344829</v>
      </c>
      <c r="BL16" s="42" t="str">
        <f>_xlfn.CONCAT(TEXT(Table3[[#This Row],[W_H]], "0"), "-", TEXT(Table3[[#This Row],[RL_H]],"0"), "-", TEXT(Table3[[#This Row],[OTL_H]]+Table3[[#This Row],[SOL_H]], "0"))</f>
        <v>9-4-1</v>
      </c>
      <c r="BM16" s="42" t="str">
        <f>_xlfn.CONCAT(TEXT(Table3[[#This Row],[W_A]], "0"), "-", TEXT(Table3[[#This Row],[RL_A]],"0"), "-", TEXT(Table3[[#This Row],[OTL_A]]+Table3[[#This Row],[SOL_A]], "0"))</f>
        <v>7-8-0</v>
      </c>
      <c r="BN16" s="42">
        <f>((2*(Table3[[#This Row],[W_H]]))+Table3[[#This Row],[OTL_H]]+Table3[[#This Row],[SOL_H]])/(2*Table3[[#This Row],[GP_H]])</f>
        <v>0.6785714285714286</v>
      </c>
      <c r="BO16" s="42">
        <f>((2*(Table3[[#This Row],[W_A]]))+Table3[[#This Row],[OTL_A]]+Table3[[#This Row],[SOL_A]])/(2*Table3[[#This Row],[GP_A]])</f>
        <v>0.46666666666666667</v>
      </c>
      <c r="BP16" s="16">
        <f>(Table3[[#This Row],[W]]*$CX$3)+(Table3[[#This Row],[L]]*$CX$4)+(Table3[[#This Row],[GF]]*$CX$5)+(Table3[[#This Row],[GA]]*$CX$6)</f>
        <v>33.4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95.363139120095127</v>
      </c>
      <c r="BR16" s="16">
        <f>(Table3[[#This Row],[W]]*0.7) + ((Table3[[#This Row],[GF]] - Table3[[#This Row],[GA]])*0.25)+(Table3[[#This Row],[GF]]*0.1)+(Table3[[#This Row],[GA]]*0.05)+(Table3[[#This Row],[L]]*0.3)</f>
        <v>26.7</v>
      </c>
      <c r="BS16" s="16">
        <f>Table3[[#This Row],[TeamCost83]]/Table3[[#This Row],[GP]]</f>
        <v>0.92068965517241375</v>
      </c>
      <c r="BT16">
        <f>COUNTIFS(Table2[AwayTeam],$A16,Table2[PredictedWinner], $A16, Table2[GameIsOver], 1)</f>
        <v>8</v>
      </c>
      <c r="BU16">
        <f>COUNTIFS(Table2[HomeTeam],$A16,Table2[PredictedWinner], $A16, Table2[GameIsOver], 1)</f>
        <v>13</v>
      </c>
      <c r="BV16">
        <f>BT16+BU16</f>
        <v>21</v>
      </c>
      <c r="BW16">
        <f>F16-BT16</f>
        <v>7</v>
      </c>
      <c r="BX16">
        <f>H16-BU16</f>
        <v>1</v>
      </c>
      <c r="BY16">
        <f>BW16+BX16</f>
        <v>8</v>
      </c>
      <c r="BZ16">
        <f>Table3[[#This Row],[TimesPredictedWinner]]/Table3[[#This Row],[GP]]</f>
        <v>0.72413793103448276</v>
      </c>
      <c r="CB16">
        <v>2003</v>
      </c>
      <c r="CD16" s="1">
        <v>45755</v>
      </c>
      <c r="CE16" t="str">
        <f>INDEX(Table2[AwayTeam], Table3[[#This Row],[Column2]])</f>
        <v>CHI</v>
      </c>
      <c r="CF16">
        <f>LARGE((Table2[[#This Row],[AwayTeam]]=Table3[[#This Row],[Teams]]), 1)</f>
        <v>1</v>
      </c>
      <c r="CI16">
        <f>SUMIFS(Table2[GamePredictionScore], Table2[AwayTeam], Table3[[#This Row],[Teams]])</f>
        <v>6.7999999999999989</v>
      </c>
      <c r="CJ16">
        <f>SUMIFS(Table2[GamePredictionScore], Table2[HomeTeam], Table3[[#This Row],[Teams]])</f>
        <v>6.9999999999999991</v>
      </c>
      <c r="CK16">
        <f>Table3[[#This Row],[Column4]]+Table3[[#This Row],[Column3]]</f>
        <v>13.799999999999997</v>
      </c>
      <c r="CL16">
        <f>Table3[[#This Row],[Column5]]/Table3[[#This Row],[GP]]</f>
        <v>0.47586206896551714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15</v>
      </c>
      <c r="B17" t="s">
        <v>91</v>
      </c>
      <c r="C17" t="s">
        <v>74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24</v>
      </c>
      <c r="E17" s="10">
        <f>Table3[[#This Row],[Watched]]/Table3[[#This Row],[GP]]</f>
        <v>0.8</v>
      </c>
      <c r="F17">
        <f>COUNTIFS(DataRegularSeason20242025!$N$3:$N$1315,1,DataRegularSeason20242025!$D$3:$D$1315,$A17)</f>
        <v>14</v>
      </c>
      <c r="G17">
        <f>41-Table3[[#This Row],[GP_A]]</f>
        <v>27</v>
      </c>
      <c r="H17">
        <f>COUNTIFS(DataRegularSeason20242025!$E$3:$E$1315,$A17,DataRegularSeason20242025!$N$3:$N$1315,1)</f>
        <v>16</v>
      </c>
      <c r="I17">
        <f>41-Table3[[#This Row],[GP_H]]</f>
        <v>25</v>
      </c>
      <c r="J17">
        <f>F17+H17</f>
        <v>30</v>
      </c>
      <c r="K17">
        <f>82-Table3[[#This Row],[GP]]</f>
        <v>52</v>
      </c>
      <c r="L17">
        <f>COUNTIFS(DataRegularSeason20242025!$D$3:$D$1315,$A17, DataRegularSeason20242025!$L$3:$L$1315, $A17,DataRegularSeason20242025!$N$3:$N$1315,1)</f>
        <v>6</v>
      </c>
      <c r="M17">
        <f>COUNTIFS(DataRegularSeason20242025!$D$3:$D$1315,$A17, DataRegularSeason20242025!$L$3:$L$1315, $A17,DataRegularSeason20242025!$N$3:$N$1315,1,DataRegularSeason20242025!$M$3:$M$1315,"REG")</f>
        <v>4</v>
      </c>
      <c r="N17">
        <f>COUNTIFS(DataRegularSeason20242025!$D$3:$D$1315,$A17, DataRegularSeason20242025!$L$3:$L$1315, $A17,DataRegularSeason20242025!$N$3:$N$1315,1,DataRegularSeason20242025!$M$3:$M$1315,"OT")</f>
        <v>1</v>
      </c>
      <c r="O17">
        <f>COUNTIFS(DataRegularSeason20242025!$D$3:$D$1315,$A17, DataRegularSeason20242025!$L$3:$L$1315, $A17,DataRegularSeason20242025!$N$3:$N$1315,1,DataRegularSeason20242025!$M$3:$M$1315,"SO")</f>
        <v>1</v>
      </c>
      <c r="P17">
        <f>F17-L17</f>
        <v>8</v>
      </c>
      <c r="Q17">
        <f>COUNTIFS(DataRegularSeason20242025!$D$3:$D$1315,$A17, DataRegularSeason20242025!$S$3:$S$1315, $A17,DataRegularSeason20242025!$M$3:$M$1315,"REG")</f>
        <v>8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11</v>
      </c>
      <c r="U17">
        <f>COUNTIFS(DataRegularSeason20242025!$E$3:$E$1315,$A17, DataRegularSeason20242025!$L$3:$L$1315, $A17,DataRegularSeason20242025!$N$3:$N$1315,1,DataRegularSeason20242025!$M$3:$M$1315,"REG")</f>
        <v>7</v>
      </c>
      <c r="V17">
        <f>COUNTIFS(DataRegularSeason20242025!$E$3:$E$1315,$A17, DataRegularSeason20242025!$L$3:$L$1315, $A17,DataRegularSeason20242025!$N$3:$N$1315,1,DataRegularSeason20242025!$M$3:$M$1315,"OT")</f>
        <v>3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>H17-T17</f>
        <v>5</v>
      </c>
      <c r="Y17">
        <f>COUNTIFS(DataRegularSeason20242025!$E$3:$E$1315,$A17, DataRegularSeason20242025!$S$3:$S$1315, $A17,DataRegularSeason20242025!$M$3:$M$1315,"REG")</f>
        <v>5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0.56666666666666665</v>
      </c>
      <c r="AC17">
        <f>Table3[[#This Row],[W_A]]+Table3[[#This Row],[W_H]]</f>
        <v>17</v>
      </c>
      <c r="AD17">
        <f>Table3[[#This Row],[L_A]]+Table3[[#This Row],[L_H]]</f>
        <v>13</v>
      </c>
      <c r="AE17">
        <f>Table3[[#This Row],[RW_A]]+Table3[[#This Row],[RW_H]]</f>
        <v>11</v>
      </c>
      <c r="AF17">
        <f>Table3[[#This Row],[RL_A]]+Table3[[#This Row],[RL_H]]</f>
        <v>13</v>
      </c>
      <c r="AG17">
        <f>Table3[[#This Row],[OTW_A]]+Table3[[#This Row],[OTW_H]]</f>
        <v>4</v>
      </c>
      <c r="AH17">
        <f>Table3[[#This Row],[OTL_A]]+Table3[[#This Row],[OTL_H]]</f>
        <v>0</v>
      </c>
      <c r="AI17">
        <f>Table3[[#This Row],[SOW_A]]+Table3[[#This Row],[SOW_H]]</f>
        <v>2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6-0</v>
      </c>
      <c r="AL17">
        <f>SUM(Table3[[#This Row],[OTW]],Table3[[#This Row],[OTL]],Table3[[#This Row],[SOW]],Table3[[#This Row],[SOL]])</f>
        <v>6</v>
      </c>
      <c r="AM17">
        <f>(Table3[[#This Row],[OTW]]+Table3[[#This Row],[SOW]])/IF(Table3[[#This Row],[Total_ExtraTimes]]=0,1,Table3[[#This Row],[Total_ExtraTimes]])</f>
        <v>1</v>
      </c>
      <c r="AN17">
        <f>Table3[[#This Row],[Total_ExtraTimes]]/MAX(1,Table3[[#This Row],[GP]])</f>
        <v>0.2</v>
      </c>
      <c r="AO17">
        <f>(2*(Table3[[#This Row],[W_A]]+Table3[[#This Row],[W_H]]))+Table3[[#This Row],[OTL_A]]+Table3[[#This Row],[SOL_A]]+Table3[[#This Row],[OTL_H]]+Table3[[#This Row],[SOL_H]]</f>
        <v>34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17" s="10">
        <f>Table3[[#This Row],[PTS]]/(2*Table3[[#This Row],[GP]])</f>
        <v>0.56666666666666665</v>
      </c>
      <c r="AR17" s="10">
        <f>Table3[[#This Row],[PTS2]]/(3*Table3[[#This Row],[GP]])</f>
        <v>0.5</v>
      </c>
      <c r="AS17">
        <f>(2*Table3[[#This Row],[GR]])+Table3[[#This Row],[PTS]]</f>
        <v>138</v>
      </c>
      <c r="AT17">
        <f>(3*Table3[[#This Row],[GR]])+Table3[[#This Row],[PTS2]]</f>
        <v>201</v>
      </c>
      <c r="AU17">
        <f>Table3[[#This Row],[PTS]]+(2 * Table3[[#This Row],[GR]] * Table3[[#This Row],[PTS%]])</f>
        <v>92.933333333333337</v>
      </c>
      <c r="AV17">
        <f>Table3[[#This Row],[PTS2]]+(3 * Table3[[#This Row],[GR]] * Table3[[#This Row],[PTS%2]])</f>
        <v>123</v>
      </c>
      <c r="AW17" s="15" t="str">
        <f>_xlfn.CONCAT(TEXT(Table3[[#This Row],[W]], "0"), "-", TEXT(Table3[[#This Row],[RL]],"0"), "-", TEXT(Table3[[#This Row],[OTL]]+Table3[[#This Row],[SOL]], "0"))</f>
        <v>17-13-0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41</v>
      </c>
      <c r="AZ17">
        <f>SUMIF(DataRegularSeason20242025!$D$3:$D$1315,$A17, DataRegularSeason20242025!$K$3:$K$1315)</f>
        <v>48</v>
      </c>
      <c r="BA17">
        <f>AY17-AZ17</f>
        <v>-7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55</v>
      </c>
      <c r="BD17">
        <f>SUMIF(DataRegularSeason20242025!$E$3:$E$1315,$A17,DataRegularSeason20242025!$J$3:$J$1315)</f>
        <v>46</v>
      </c>
      <c r="BE17">
        <f>BC17-BD17</f>
        <v>9</v>
      </c>
      <c r="BF17">
        <f>AY17+BC17</f>
        <v>96</v>
      </c>
      <c r="BG17">
        <f>AZ17+BD17</f>
        <v>94</v>
      </c>
      <c r="BH17">
        <f>BF17-BG17</f>
        <v>2</v>
      </c>
      <c r="BI17" s="12">
        <f>Table3[[#This Row],[GF]]/Table3[[#This Row],[GP]]</f>
        <v>3.2</v>
      </c>
      <c r="BJ17" s="12">
        <f>Table3[[#This Row],[GA]]/Table3[[#This Row],[GP]]</f>
        <v>3.1333333333333333</v>
      </c>
      <c r="BK17" s="12">
        <f>(Table3[[#This Row],[GF]]-Table3[[#This Row],[GA]])/Table3[[#This Row],[GP]]</f>
        <v>6.6666666666666666E-2</v>
      </c>
      <c r="BL17" s="42" t="str">
        <f>_xlfn.CONCAT(TEXT(Table3[[#This Row],[W_H]], "0"), "-", TEXT(Table3[[#This Row],[RL_H]],"0"), "-", TEXT(Table3[[#This Row],[OTL_H]]+Table3[[#This Row],[SOL_H]], "0"))</f>
        <v>11-5-0</v>
      </c>
      <c r="BM17" s="42" t="str">
        <f>_xlfn.CONCAT(TEXT(Table3[[#This Row],[W_A]], "0"), "-", TEXT(Table3[[#This Row],[RL_A]],"0"), "-", TEXT(Table3[[#This Row],[OTL_A]]+Table3[[#This Row],[SOL_A]], "0"))</f>
        <v>6-8-0</v>
      </c>
      <c r="BN17" s="42">
        <f>((2*(Table3[[#This Row],[W_H]]))+Table3[[#This Row],[OTL_H]]+Table3[[#This Row],[SOL_H]])/(2*Table3[[#This Row],[GP_H]])</f>
        <v>0.6875</v>
      </c>
      <c r="BO17" s="42">
        <f>((2*(Table3[[#This Row],[W_A]]))+Table3[[#This Row],[OTL_A]]+Table3[[#This Row],[SOL_A]])/(2*Table3[[#This Row],[GP_A]])</f>
        <v>0.42857142857142855</v>
      </c>
      <c r="BP17" s="16">
        <f>(Table3[[#This Row],[W]]*$CX$3)+(Table3[[#This Row],[L]]*$CX$4)+(Table3[[#This Row],[GF]]*$CX$5)+(Table3[[#This Row],[GA]]*$CX$6)</f>
        <v>36.199999999999996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102.38311111111111</v>
      </c>
      <c r="BR17" s="16">
        <f>(Table3[[#This Row],[W]]*0.7) + ((Table3[[#This Row],[GF]] - Table3[[#This Row],[GA]])*0.25)+(Table3[[#This Row],[GF]]*0.1)+(Table3[[#This Row],[GA]]*0.05)+(Table3[[#This Row],[L]]*0.3)</f>
        <v>30.599999999999998</v>
      </c>
      <c r="BS17" s="16">
        <f>Table3[[#This Row],[TeamCost83]]/Table3[[#This Row],[GP]]</f>
        <v>1.02</v>
      </c>
      <c r="BT17">
        <f>COUNTIFS(Table2[AwayTeam],$A17,Table2[PredictedWinner], $A17, Table2[GameIsOver], 1)</f>
        <v>4</v>
      </c>
      <c r="BU17">
        <f>COUNTIFS(Table2[HomeTeam],$A17,Table2[PredictedWinner], $A17, Table2[GameIsOver], 1)</f>
        <v>7</v>
      </c>
      <c r="BV17">
        <f>BT17+BU17</f>
        <v>11</v>
      </c>
      <c r="BW17">
        <f>F17-BT17</f>
        <v>10</v>
      </c>
      <c r="BX17">
        <f>H17-BU17</f>
        <v>9</v>
      </c>
      <c r="BY17">
        <f>BW17+BX17</f>
        <v>19</v>
      </c>
      <c r="BZ17">
        <f>Table3[[#This Row],[TimesPredictedWinner]]/Table3[[#This Row],[GP]]</f>
        <v>0.36666666666666664</v>
      </c>
      <c r="CB17">
        <v>2011</v>
      </c>
      <c r="CC17" s="1">
        <v>45752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5.5</v>
      </c>
      <c r="CJ17">
        <f>SUMIFS(Table2[GamePredictionScore], Table2[HomeTeam], Table3[[#This Row],[Teams]])</f>
        <v>8.5</v>
      </c>
      <c r="CK17">
        <f>Table3[[#This Row],[Column4]]+Table3[[#This Row],[Column3]]</f>
        <v>14</v>
      </c>
      <c r="CL17">
        <f>Table3[[#This Row],[Column5]]/Table3[[#This Row],[GP]]</f>
        <v>0.46666666666666667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35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21</v>
      </c>
      <c r="E18" s="10">
        <f>Table3[[#This Row],[Watched]]/Table3[[#This Row],[GP]]</f>
        <v>0.72413793103448276</v>
      </c>
      <c r="F18">
        <f>COUNTIFS(DataRegularSeason20242025!$N$3:$N$1315,1,DataRegularSeason20242025!$D$3:$D$1315,$A18)</f>
        <v>17</v>
      </c>
      <c r="G18">
        <f>41-Table3[[#This Row],[GP_A]]</f>
        <v>24</v>
      </c>
      <c r="H18">
        <f>COUNTIFS(DataRegularSeason20242025!$E$3:$E$1315,$A18,DataRegularSeason20242025!$N$3:$N$1315,1)</f>
        <v>12</v>
      </c>
      <c r="I18">
        <f>41-Table3[[#This Row],[GP_H]]</f>
        <v>29</v>
      </c>
      <c r="J18">
        <f>F18+H18</f>
        <v>29</v>
      </c>
      <c r="K18">
        <f>82-Table3[[#This Row],[GP]]</f>
        <v>53</v>
      </c>
      <c r="L18">
        <f>COUNTIFS(DataRegularSeason20242025!$D$3:$D$1315,$A18, DataRegularSeason20242025!$L$3:$L$1315, $A18,DataRegularSeason20242025!$N$3:$N$1315,1)</f>
        <v>7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2</v>
      </c>
      <c r="O18">
        <f>COUNTIFS(DataRegularSeason20242025!$D$3:$D$1315,$A18, DataRegularSeason20242025!$L$3:$L$1315, $A18,DataRegularSeason20242025!$N$3:$N$1315,1,DataRegularSeason20242025!$M$3:$M$1315,"SO")</f>
        <v>2</v>
      </c>
      <c r="P18">
        <f>F18-L18</f>
        <v>10</v>
      </c>
      <c r="Q18">
        <f>COUNTIFS(DataRegularSeason20242025!$D$3:$D$1315,$A18, DataRegularSeason20242025!$S$3:$S$1315, $A18,DataRegularSeason20242025!$M$3:$M$1315,"REG")</f>
        <v>7</v>
      </c>
      <c r="R18">
        <f>COUNTIFS(DataRegularSeason20242025!$D$3:$D$1315,$A18, DataRegularSeason20242025!$S$3:$S$1315, $A18,DataRegularSeason20242025!$M$3:$M$1315,"OT")</f>
        <v>3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6</v>
      </c>
      <c r="U18">
        <f>COUNTIFS(DataRegularSeason20242025!$E$3:$E$1315,$A18, DataRegularSeason20242025!$L$3:$L$1315, $A18,DataRegularSeason20242025!$N$3:$N$1315,1,DataRegularSeason20242025!$M$3:$M$1315,"REG")</f>
        <v>4</v>
      </c>
      <c r="V18">
        <f>COUNTIFS(DataRegularSeason20242025!$E$3:$E$1315,$A18, DataRegularSeason20242025!$L$3:$L$1315, $A18,DataRegularSeason20242025!$N$3:$N$1315,1,DataRegularSeason20242025!$M$3:$M$1315,"OT")</f>
        <v>0</v>
      </c>
      <c r="W18">
        <f>COUNTIFS(DataRegularSeason20242025!$E$3:$E$1315,$A18, DataRegularSeason20242025!$L$3:$L$1315, $A18,DataRegularSeason20242025!$N$3:$N$1315,1,DataRegularSeason20242025!$M$3:$M$1315,"SO")</f>
        <v>2</v>
      </c>
      <c r="X18">
        <f>H18-T18</f>
        <v>6</v>
      </c>
      <c r="Y18">
        <f>COUNTIFS(DataRegularSeason20242025!$E$3:$E$1315,$A18, DataRegularSeason20242025!$S$3:$S$1315, $A18,DataRegularSeason20242025!$M$3:$M$1315,"REG")</f>
        <v>3</v>
      </c>
      <c r="Z18">
        <f>COUNTIFS(DataRegularSeason20242025!$E$3:$E$1315,$A18, DataRegularSeason20242025!$S$3:$S$1315, $A18,DataRegularSeason20242025!$M$3:$M$1315,"OT")</f>
        <v>2</v>
      </c>
      <c r="AA18">
        <f>COUNTIFS(DataRegularSeason20242025!$E$3:$E$1315,$A18, DataRegularSeason20242025!$S$3:$S$1315, $A18,DataRegularSeason20242025!$M$3:$M$1315,"SO")</f>
        <v>1</v>
      </c>
      <c r="AB18">
        <f>Table3[[#This Row],[W]]/MAX(1,Table3[[#This Row],[W]]+Table3[[#This Row],[L]])</f>
        <v>0.44827586206896552</v>
      </c>
      <c r="AC18">
        <f>Table3[[#This Row],[W_A]]+Table3[[#This Row],[W_H]]</f>
        <v>13</v>
      </c>
      <c r="AD18">
        <f>Table3[[#This Row],[L_A]]+Table3[[#This Row],[L_H]]</f>
        <v>16</v>
      </c>
      <c r="AE18">
        <f>Table3[[#This Row],[RW_A]]+Table3[[#This Row],[RW_H]]</f>
        <v>7</v>
      </c>
      <c r="AF18">
        <f>Table3[[#This Row],[RL_A]]+Table3[[#This Row],[RL_H]]</f>
        <v>10</v>
      </c>
      <c r="AG18">
        <f>Table3[[#This Row],[OTW_A]]+Table3[[#This Row],[OTW_H]]</f>
        <v>2</v>
      </c>
      <c r="AH18">
        <f>Table3[[#This Row],[OTL_A]]+Table3[[#This Row],[OTL_H]]</f>
        <v>5</v>
      </c>
      <c r="AI18">
        <f>Table3[[#This Row],[SOW_A]]+Table3[[#This Row],[SOW_H]]</f>
        <v>4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6-6</v>
      </c>
      <c r="AL18">
        <f>SUM(Table3[[#This Row],[OTW]],Table3[[#This Row],[OTL]],Table3[[#This Row],[SOW]],Table3[[#This Row],[SOL]])</f>
        <v>12</v>
      </c>
      <c r="AM18">
        <f>(Table3[[#This Row],[OTW]]+Table3[[#This Row],[SOW]])/IF(Table3[[#This Row],[Total_ExtraTimes]]=0,1,Table3[[#This Row],[Total_ExtraTimes]])</f>
        <v>0.5</v>
      </c>
      <c r="AN18">
        <f>Table3[[#This Row],[Total_ExtraTimes]]/MAX(1,Table3[[#This Row],[GP]])</f>
        <v>0.41379310344827586</v>
      </c>
      <c r="AO18">
        <f>(2*(Table3[[#This Row],[W_A]]+Table3[[#This Row],[W_H]]))+Table3[[#This Row],[OTL_A]]+Table3[[#This Row],[SOL_A]]+Table3[[#This Row],[OTL_H]]+Table3[[#This Row],[SOL_H]]</f>
        <v>32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18" s="10">
        <f>Table3[[#This Row],[PTS]]/(2*Table3[[#This Row],[GP]])</f>
        <v>0.55172413793103448</v>
      </c>
      <c r="AR18" s="10">
        <f>Table3[[#This Row],[PTS2]]/(3*Table3[[#This Row],[GP]])</f>
        <v>0.44827586206896552</v>
      </c>
      <c r="AS18">
        <f>(2*Table3[[#This Row],[GR]])+Table3[[#This Row],[PTS]]</f>
        <v>138</v>
      </c>
      <c r="AT18">
        <f>(3*Table3[[#This Row],[GR]])+Table3[[#This Row],[PTS2]]</f>
        <v>198</v>
      </c>
      <c r="AU18">
        <f>Table3[[#This Row],[PTS]]+(2 * Table3[[#This Row],[GR]] * Table3[[#This Row],[PTS%]])</f>
        <v>90.482758620689651</v>
      </c>
      <c r="AV18">
        <f>Table3[[#This Row],[PTS2]]+(3 * Table3[[#This Row],[GR]] * Table3[[#This Row],[PTS%2]])</f>
        <v>110.27586206896552</v>
      </c>
      <c r="AW18" s="15" t="str">
        <f>_xlfn.CONCAT(TEXT(Table3[[#This Row],[W]], "0"), "-", TEXT(Table3[[#This Row],[RL]],"0"), "-", TEXT(Table3[[#This Row],[OTL]]+Table3[[#This Row],[SOL]], "0"))</f>
        <v>13-10-6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54</v>
      </c>
      <c r="AZ18">
        <f>SUMIF(DataRegularSeason20242025!$D$3:$D$1315,$A18, DataRegularSeason20242025!$K$3:$K$1315)</f>
        <v>59</v>
      </c>
      <c r="BA18">
        <f>AY18-AZ18</f>
        <v>-5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36</v>
      </c>
      <c r="BD18">
        <f>SUMIF(DataRegularSeason20242025!$E$3:$E$1315,$A18,DataRegularSeason20242025!$J$3:$J$1315)</f>
        <v>39</v>
      </c>
      <c r="BE18">
        <f>BC18-BD18</f>
        <v>-3</v>
      </c>
      <c r="BF18">
        <f>AY18+BC18</f>
        <v>90</v>
      </c>
      <c r="BG18">
        <f>AZ18+BD18</f>
        <v>98</v>
      </c>
      <c r="BH18">
        <f>BF18-BG18</f>
        <v>-8</v>
      </c>
      <c r="BI18" s="12">
        <f>Table3[[#This Row],[GF]]/Table3[[#This Row],[GP]]</f>
        <v>3.103448275862069</v>
      </c>
      <c r="BJ18" s="12">
        <f>Table3[[#This Row],[GA]]/Table3[[#This Row],[GP]]</f>
        <v>3.3793103448275863</v>
      </c>
      <c r="BK18" s="12">
        <f>(Table3[[#This Row],[GF]]-Table3[[#This Row],[GA]])/Table3[[#This Row],[GP]]</f>
        <v>-0.27586206896551724</v>
      </c>
      <c r="BL18" s="42" t="str">
        <f>_xlfn.CONCAT(TEXT(Table3[[#This Row],[W_H]], "0"), "-", TEXT(Table3[[#This Row],[RL_H]],"0"), "-", TEXT(Table3[[#This Row],[OTL_H]]+Table3[[#This Row],[SOL_H]], "0"))</f>
        <v>6-3-3</v>
      </c>
      <c r="BM18" s="42" t="str">
        <f>_xlfn.CONCAT(TEXT(Table3[[#This Row],[W_A]], "0"), "-", TEXT(Table3[[#This Row],[RL_A]],"0"), "-", TEXT(Table3[[#This Row],[OTL_A]]+Table3[[#This Row],[SOL_A]], "0"))</f>
        <v>7-7-3</v>
      </c>
      <c r="BN18" s="42">
        <f>((2*(Table3[[#This Row],[W_H]]))+Table3[[#This Row],[OTL_H]]+Table3[[#This Row],[SOL_H]])/(2*Table3[[#This Row],[GP_H]])</f>
        <v>0.625</v>
      </c>
      <c r="BO18" s="42">
        <f>((2*(Table3[[#This Row],[W_A]]))+Table3[[#This Row],[OTL_A]]+Table3[[#This Row],[SOL_A]])/(2*Table3[[#This Row],[GP_A]])</f>
        <v>0.5</v>
      </c>
      <c r="BP18" s="16">
        <f>(Table3[[#This Row],[W]]*$CX$3)+(Table3[[#This Row],[L]]*$CX$4)+(Table3[[#This Row],[GF]]*$CX$5)+(Table3[[#This Row],[GA]]*$CX$6)</f>
        <v>34.6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101.64304399524374</v>
      </c>
      <c r="BR18" s="16">
        <f>(Table3[[#This Row],[W]]*0.7) + ((Table3[[#This Row],[GF]] - Table3[[#This Row],[GA]])*0.25)+(Table3[[#This Row],[GF]]*0.1)+(Table3[[#This Row],[GA]]*0.05)+(Table3[[#This Row],[L]]*0.3)</f>
        <v>25.8</v>
      </c>
      <c r="BS18" s="16">
        <f>Table3[[#This Row],[TeamCost83]]/Table3[[#This Row],[GP]]</f>
        <v>0.8896551724137931</v>
      </c>
      <c r="BT18">
        <f>COUNTIFS(Table2[AwayTeam],$A18,Table2[PredictedWinner], $A18, Table2[GameIsOver], 1)</f>
        <v>0</v>
      </c>
      <c r="BU18">
        <f>COUNTIFS(Table2[HomeTeam],$A18,Table2[PredictedWinner], $A18, Table2[GameIsOver], 1)</f>
        <v>7</v>
      </c>
      <c r="BV18">
        <f>BT18+BU18</f>
        <v>7</v>
      </c>
      <c r="BW18">
        <f>F18-BT18</f>
        <v>17</v>
      </c>
      <c r="BX18">
        <f>H18-BU18</f>
        <v>5</v>
      </c>
      <c r="BY18">
        <f>BW18+BX18</f>
        <v>22</v>
      </c>
      <c r="BZ18">
        <f>Table3[[#This Row],[TimesPredictedWinner]]/Table3[[#This Row],[GP]]</f>
        <v>0.2413793103448276</v>
      </c>
      <c r="CC18" s="1">
        <v>45763</v>
      </c>
      <c r="CE18" t="str">
        <f>INDEX(Table2[AwayTeam], Table3[[#This Row],[Column2]])</f>
        <v>CHI</v>
      </c>
      <c r="CF18">
        <f>LARGE((Table2[[#This Row],[AwayTeam]]=Table3[[#This Row],[Teams]]), 1)</f>
        <v>1</v>
      </c>
      <c r="CI18">
        <f>SUMIFS(Table2[GamePredictionScore], Table2[AwayTeam], Table3[[#This Row],[Teams]])</f>
        <v>8.6</v>
      </c>
      <c r="CJ18">
        <f>SUMIFS(Table2[GamePredictionScore], Table2[HomeTeam], Table3[[#This Row],[Teams]])</f>
        <v>5.8999999999999995</v>
      </c>
      <c r="CK18">
        <f>Table3[[#This Row],[Column4]]+Table3[[#This Row],[Column3]]</f>
        <v>14.5</v>
      </c>
      <c r="CL18">
        <f>Table3[[#This Row],[Column5]]/Table3[[#This Row],[GP]]</f>
        <v>0.5</v>
      </c>
      <c r="CR18">
        <f>LARGE($AO$2:$AO$33,1)</f>
        <v>48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17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27</v>
      </c>
      <c r="E19" s="10">
        <f>Table3[[#This Row],[Watched]]/Table3[[#This Row],[GP]]</f>
        <v>0.93103448275862066</v>
      </c>
      <c r="F19">
        <f>COUNTIFS(DataRegularSeason20242025!$N$3:$N$1315,1,DataRegularSeason20242025!$D$3:$D$1315,$A19)</f>
        <v>12</v>
      </c>
      <c r="G19">
        <f>41-Table3[[#This Row],[GP_A]]</f>
        <v>29</v>
      </c>
      <c r="H19">
        <f>COUNTIFS(DataRegularSeason20242025!$E$3:$E$1315,$A19,DataRegularSeason20242025!$N$3:$N$1315,1)</f>
        <v>17</v>
      </c>
      <c r="I19">
        <f>41-Table3[[#This Row],[GP_H]]</f>
        <v>24</v>
      </c>
      <c r="J19">
        <f>F19+H19</f>
        <v>29</v>
      </c>
      <c r="K19">
        <f>82-Table3[[#This Row],[GP]]</f>
        <v>53</v>
      </c>
      <c r="L19">
        <f>COUNTIFS(DataRegularSeason20242025!$D$3:$D$1315,$A19, DataRegularSeason20242025!$L$3:$L$1315, $A19,DataRegularSeason20242025!$N$3:$N$1315,1)</f>
        <v>5</v>
      </c>
      <c r="M19">
        <f>COUNTIFS(DataRegularSeason20242025!$D$3:$D$1315,$A19, DataRegularSeason20242025!$L$3:$L$1315, $A19,DataRegularSeason20242025!$N$3:$N$1315,1,DataRegularSeason20242025!$M$3:$M$1315,"REG")</f>
        <v>4</v>
      </c>
      <c r="N19">
        <f>COUNTIFS(DataRegularSeason20242025!$D$3:$D$1315,$A19, DataRegularSeason20242025!$L$3:$L$1315, $A19,DataRegularSeason20242025!$N$3:$N$1315,1,DataRegularSeason20242025!$M$3:$M$1315,"OT")</f>
        <v>1</v>
      </c>
      <c r="O19">
        <f>COUNTIFS(DataRegularSeason20242025!$D$3:$D$1315,$A19, DataRegularSeason20242025!$L$3:$L$1315, $A19,DataRegularSeason20242025!$N$3:$N$1315,1,DataRegularSeason20242025!$M$3:$M$1315,"SO")</f>
        <v>0</v>
      </c>
      <c r="P19">
        <f>F19-L19</f>
        <v>7</v>
      </c>
      <c r="Q19">
        <f>COUNTIFS(DataRegularSeason20242025!$D$3:$D$1315,$A19, DataRegularSeason20242025!$S$3:$S$1315, $A19,DataRegularSeason20242025!$M$3:$M$1315,"REG")</f>
        <v>7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9</v>
      </c>
      <c r="U19">
        <f>COUNTIFS(DataRegularSeason20242025!$E$3:$E$1315,$A19, DataRegularSeason20242025!$L$3:$L$1315, $A19,DataRegularSeason20242025!$N$3:$N$1315,1,DataRegularSeason20242025!$M$3:$M$1315,"REG")</f>
        <v>6</v>
      </c>
      <c r="V19">
        <f>COUNTIFS(DataRegularSeason20242025!$E$3:$E$1315,$A19, DataRegularSeason20242025!$L$3:$L$1315, $A19,DataRegularSeason20242025!$N$3:$N$1315,1,DataRegularSeason20242025!$M$3:$M$1315,"OT")</f>
        <v>3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>H19-T19</f>
        <v>8</v>
      </c>
      <c r="Y19">
        <f>COUNTIFS(DataRegularSeason20242025!$E$3:$E$1315,$A19, DataRegularSeason20242025!$S$3:$S$1315, $A19,DataRegularSeason20242025!$M$3:$M$1315,"REG")</f>
        <v>4</v>
      </c>
      <c r="Z19">
        <f>COUNTIFS(DataRegularSeason20242025!$E$3:$E$1315,$A19, DataRegularSeason20242025!$S$3:$S$1315, $A19,DataRegularSeason20242025!$M$3:$M$1315,"OT")</f>
        <v>3</v>
      </c>
      <c r="AA19">
        <f>COUNTIFS(DataRegularSeason20242025!$E$3:$E$1315,$A19, DataRegularSeason20242025!$S$3:$S$1315, $A19,DataRegularSeason20242025!$M$3:$M$1315,"SO")</f>
        <v>1</v>
      </c>
      <c r="AB19">
        <f>Table3[[#This Row],[W]]/MAX(1,Table3[[#This Row],[W]]+Table3[[#This Row],[L]])</f>
        <v>0.48275862068965519</v>
      </c>
      <c r="AC19">
        <f>Table3[[#This Row],[W_A]]+Table3[[#This Row],[W_H]]</f>
        <v>14</v>
      </c>
      <c r="AD19">
        <f>Table3[[#This Row],[L_A]]+Table3[[#This Row],[L_H]]</f>
        <v>15</v>
      </c>
      <c r="AE19">
        <f>Table3[[#This Row],[RW_A]]+Table3[[#This Row],[RW_H]]</f>
        <v>10</v>
      </c>
      <c r="AF19">
        <f>Table3[[#This Row],[RL_A]]+Table3[[#This Row],[RL_H]]</f>
        <v>11</v>
      </c>
      <c r="AG19">
        <f>Table3[[#This Row],[OTW_A]]+Table3[[#This Row],[OTW_H]]</f>
        <v>4</v>
      </c>
      <c r="AH19">
        <f>Table3[[#This Row],[OTL_A]]+Table3[[#This Row],[OTL_H]]</f>
        <v>3</v>
      </c>
      <c r="AI19">
        <f>Table3[[#This Row],[SOW_A]]+Table3[[#This Row],[SOW_H]]</f>
        <v>0</v>
      </c>
      <c r="AJ19">
        <f>Table3[[#This Row],[SOL_A]]+Table3[[#This Row],[SOL_H]]</f>
        <v>1</v>
      </c>
      <c r="AK19" s="15" t="str">
        <f>_xlfn.CONCAT(TEXT(Table3[[#This Row],[OTW]]+Table3[[#This Row],[SOW]], "0"), "-", TEXT(Table3[[#This Row],[OTL]]+Table3[[#This Row],[SOL]],"0"))</f>
        <v>4-4</v>
      </c>
      <c r="AL19">
        <f>SUM(Table3[[#This Row],[OTW]],Table3[[#This Row],[OTL]],Table3[[#This Row],[SOW]],Table3[[#This Row],[SOL]])</f>
        <v>8</v>
      </c>
      <c r="AM19">
        <f>(Table3[[#This Row],[OTW]]+Table3[[#This Row],[SOW]])/IF(Table3[[#This Row],[Total_ExtraTimes]]=0,1,Table3[[#This Row],[Total_ExtraTimes]])</f>
        <v>0.5</v>
      </c>
      <c r="AN19">
        <f>Table3[[#This Row],[Total_ExtraTimes]]/MAX(1,Table3[[#This Row],[GP]])</f>
        <v>0.27586206896551724</v>
      </c>
      <c r="AO19">
        <f>(2*(Table3[[#This Row],[W_A]]+Table3[[#This Row],[W_H]]))+Table3[[#This Row],[OTL_A]]+Table3[[#This Row],[SOL_A]]+Table3[[#This Row],[OTL_H]]+Table3[[#This Row],[SOL_H]]</f>
        <v>32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19" s="10">
        <f>Table3[[#This Row],[PTS]]/(2*Table3[[#This Row],[GP]])</f>
        <v>0.55172413793103448</v>
      </c>
      <c r="AR19" s="10">
        <f>Table3[[#This Row],[PTS2]]/(3*Table3[[#This Row],[GP]])</f>
        <v>0.48275862068965519</v>
      </c>
      <c r="AS19">
        <f>(2*Table3[[#This Row],[GR]])+Table3[[#This Row],[PTS]]</f>
        <v>138</v>
      </c>
      <c r="AT19">
        <f>(3*Table3[[#This Row],[GR]])+Table3[[#This Row],[PTS2]]</f>
        <v>201</v>
      </c>
      <c r="AU19">
        <f>Table3[[#This Row],[PTS]]+(2 * Table3[[#This Row],[GR]] * Table3[[#This Row],[PTS%]])</f>
        <v>90.482758620689651</v>
      </c>
      <c r="AV19">
        <f>Table3[[#This Row],[PTS2]]+(3 * Table3[[#This Row],[GR]] * Table3[[#This Row],[PTS%2]])</f>
        <v>118.75862068965517</v>
      </c>
      <c r="AW19" s="15" t="str">
        <f>_xlfn.CONCAT(TEXT(Table3[[#This Row],[W]], "0"), "-", TEXT(Table3[[#This Row],[RL]],"0"), "-", TEXT(Table3[[#This Row],[OTL]]+Table3[[#This Row],[SOL]], "0"))</f>
        <v>14-11-4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41</v>
      </c>
      <c r="AZ19">
        <f>SUMIF(DataRegularSeason20242025!$D$3:$D$1315,$A19, DataRegularSeason20242025!$K$3:$K$1315)</f>
        <v>41</v>
      </c>
      <c r="BA19">
        <f>AY19-AZ19</f>
        <v>0</v>
      </c>
      <c r="BB19">
        <f>COUNTIFS(DataRegularSeason20242025!$E$3:$E$1315,Table3[[#This Row],[Teams]],DataRegularSeason20242025!$J$3:$J$1315,0)</f>
        <v>1</v>
      </c>
      <c r="BC19">
        <f>SUMIF(DataRegularSeason20242025!$E$3:$E$1315,$A19,DataRegularSeason20242025!$K$3:$K$1315)</f>
        <v>56</v>
      </c>
      <c r="BD19">
        <f>SUMIF(DataRegularSeason20242025!$E$3:$E$1315,$A19,DataRegularSeason20242025!$J$3:$J$1315)</f>
        <v>52</v>
      </c>
      <c r="BE19">
        <f>BC19-BD19</f>
        <v>4</v>
      </c>
      <c r="BF19">
        <f>AY19+BC19</f>
        <v>97</v>
      </c>
      <c r="BG19">
        <f>AZ19+BD19</f>
        <v>93</v>
      </c>
      <c r="BH19">
        <f>BF19-BG19</f>
        <v>4</v>
      </c>
      <c r="BI19" s="12">
        <f>Table3[[#This Row],[GF]]/Table3[[#This Row],[GP]]</f>
        <v>3.3448275862068964</v>
      </c>
      <c r="BJ19" s="12">
        <f>Table3[[#This Row],[GA]]/Table3[[#This Row],[GP]]</f>
        <v>3.2068965517241379</v>
      </c>
      <c r="BK19" s="12">
        <f>(Table3[[#This Row],[GF]]-Table3[[#This Row],[GA]])/Table3[[#This Row],[GP]]</f>
        <v>0.13793103448275862</v>
      </c>
      <c r="BL19" s="42" t="str">
        <f>_xlfn.CONCAT(TEXT(Table3[[#This Row],[W_H]], "0"), "-", TEXT(Table3[[#This Row],[RL_H]],"0"), "-", TEXT(Table3[[#This Row],[OTL_H]]+Table3[[#This Row],[SOL_H]], "0"))</f>
        <v>9-4-4</v>
      </c>
      <c r="BM19" s="42" t="str">
        <f>_xlfn.CONCAT(TEXT(Table3[[#This Row],[W_A]], "0"), "-", TEXT(Table3[[#This Row],[RL_A]],"0"), "-", TEXT(Table3[[#This Row],[OTL_A]]+Table3[[#This Row],[SOL_A]], "0"))</f>
        <v>5-7-0</v>
      </c>
      <c r="BN19" s="42">
        <f>((2*(Table3[[#This Row],[W_H]]))+Table3[[#This Row],[OTL_H]]+Table3[[#This Row],[SOL_H]])/(2*Table3[[#This Row],[GP_H]])</f>
        <v>0.6470588235294118</v>
      </c>
      <c r="BO19" s="42">
        <f>((2*(Table3[[#This Row],[W_A]]))+Table3[[#This Row],[OTL_A]]+Table3[[#This Row],[SOL_A]])/(2*Table3[[#This Row],[GP_A]])</f>
        <v>0.41666666666666669</v>
      </c>
      <c r="BP19" s="16">
        <f>(Table3[[#This Row],[W]]*$CX$3)+(Table3[[#This Row],[L]]*$CX$4)+(Table3[[#This Row],[GF]]*$CX$5)+(Table3[[#This Row],[GA]]*$CX$6)</f>
        <v>35.349999999999994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103.94821640903685</v>
      </c>
      <c r="BR19" s="16">
        <f>(Table3[[#This Row],[W]]*0.7) + ((Table3[[#This Row],[GF]] - Table3[[#This Row],[GA]])*0.25)+(Table3[[#This Row],[GF]]*0.1)+(Table3[[#This Row],[GA]]*0.05)+(Table3[[#This Row],[L]]*0.3)</f>
        <v>29.65</v>
      </c>
      <c r="BS19" s="16">
        <f>Table3[[#This Row],[TeamCost83]]/Table3[[#This Row],[GP]]</f>
        <v>1.0224137931034483</v>
      </c>
      <c r="BT19">
        <f>COUNTIFS(Table2[AwayTeam],$A19,Table2[PredictedWinner], $A19, Table2[GameIsOver], 1)</f>
        <v>7</v>
      </c>
      <c r="BU19">
        <f>COUNTIFS(Table2[HomeTeam],$A19,Table2[PredictedWinner], $A19, Table2[GameIsOver], 1)</f>
        <v>8</v>
      </c>
      <c r="BV19">
        <f>BT19+BU19</f>
        <v>15</v>
      </c>
      <c r="BW19">
        <f>F19-BT19</f>
        <v>5</v>
      </c>
      <c r="BX19">
        <f>H19-BU19</f>
        <v>9</v>
      </c>
      <c r="BY19">
        <f>BW19+BX19</f>
        <v>14</v>
      </c>
      <c r="BZ19">
        <f>Table3[[#This Row],[TimesPredictedWinner]]/Table3[[#This Row],[GP]]</f>
        <v>0.51724137931034486</v>
      </c>
      <c r="CB19">
        <v>1967</v>
      </c>
      <c r="CD19" s="1">
        <v>45749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3.6</v>
      </c>
      <c r="CJ19">
        <f>SUMIFS(Table2[GamePredictionScore], Table2[HomeTeam], Table3[[#This Row],[Teams]])</f>
        <v>7.3</v>
      </c>
      <c r="CK19">
        <f>Table3[[#This Row],[Column4]]+Table3[[#This Row],[Column3]]</f>
        <v>10.9</v>
      </c>
      <c r="CL19">
        <f>Table3[[#This Row],[Column5]]/Table3[[#This Row],[GP]]</f>
        <v>0.37586206896551727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19</v>
      </c>
      <c r="B20" t="s">
        <v>91</v>
      </c>
      <c r="C20" t="s">
        <v>92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28</v>
      </c>
      <c r="E20" s="10">
        <f>Table3[[#This Row],[Watched]]/Table3[[#This Row],[GP]]</f>
        <v>0.90322580645161288</v>
      </c>
      <c r="F20">
        <f>COUNTIFS(DataRegularSeason20242025!$N$3:$N$1315,1,DataRegularSeason20242025!$D$3:$D$1315,$A20)</f>
        <v>17</v>
      </c>
      <c r="G20">
        <f>41-Table3[[#This Row],[GP_A]]</f>
        <v>24</v>
      </c>
      <c r="H20">
        <f>COUNTIFS(DataRegularSeason20242025!$E$3:$E$1315,$A20,DataRegularSeason20242025!$N$3:$N$1315,1)</f>
        <v>14</v>
      </c>
      <c r="I20">
        <f>41-Table3[[#This Row],[GP_H]]</f>
        <v>27</v>
      </c>
      <c r="J20">
        <f>F20+H20</f>
        <v>31</v>
      </c>
      <c r="K20">
        <f>82-Table3[[#This Row],[GP]]</f>
        <v>51</v>
      </c>
      <c r="L20">
        <f>COUNTIFS(DataRegularSeason20242025!$D$3:$D$1315,$A20, DataRegularSeason20242025!$L$3:$L$1315, $A20,DataRegularSeason20242025!$N$3:$N$1315,1)</f>
        <v>12</v>
      </c>
      <c r="M20">
        <f>COUNTIFS(DataRegularSeason20242025!$D$3:$D$1315,$A20, DataRegularSeason20242025!$L$3:$L$1315, $A20,DataRegularSeason20242025!$N$3:$N$1315,1,DataRegularSeason20242025!$M$3:$M$1315,"REG")</f>
        <v>9</v>
      </c>
      <c r="N20">
        <f>COUNTIFS(DataRegularSeason20242025!$D$3:$D$1315,$A20, DataRegularSeason20242025!$L$3:$L$1315, $A20,DataRegularSeason20242025!$N$3:$N$1315,1,DataRegularSeason20242025!$M$3:$M$1315,"OT")</f>
        <v>2</v>
      </c>
      <c r="O20">
        <f>COUNTIFS(DataRegularSeason20242025!$D$3:$D$1315,$A20, DataRegularSeason20242025!$L$3:$L$1315, $A20,DataRegularSeason20242025!$N$3:$N$1315,1,DataRegularSeason20242025!$M$3:$M$1315,"SO")</f>
        <v>1</v>
      </c>
      <c r="P20">
        <f>F20-L20</f>
        <v>5</v>
      </c>
      <c r="Q20">
        <f>COUNTIFS(DataRegularSeason20242025!$D$3:$D$1315,$A20, DataRegularSeason20242025!$S$3:$S$1315, $A20,DataRegularSeason20242025!$M$3:$M$1315,"REG")</f>
        <v>4</v>
      </c>
      <c r="R20">
        <f>COUNTIFS(DataRegularSeason20242025!$D$3:$D$1315,$A20, DataRegularSeason20242025!$S$3:$S$1315, $A20,DataRegularSeason20242025!$M$3:$M$1315,"OT")</f>
        <v>1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3</v>
      </c>
      <c r="U20">
        <f>COUNTIFS(DataRegularSeason20242025!$E$3:$E$1315,$A20, DataRegularSeason20242025!$L$3:$L$1315, $A20,DataRegularSeason20242025!$N$3:$N$1315,1,DataRegularSeason20242025!$M$3:$M$1315,"REG")</f>
        <v>2</v>
      </c>
      <c r="V20">
        <f>COUNTIFS(DataRegularSeason20242025!$E$3:$E$1315,$A20, DataRegularSeason20242025!$L$3:$L$1315, $A20,DataRegularSeason20242025!$N$3:$N$1315,1,DataRegularSeason20242025!$M$3:$M$1315,"OT")</f>
        <v>1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>H20-T20</f>
        <v>11</v>
      </c>
      <c r="Y20">
        <f>COUNTIFS(DataRegularSeason20242025!$E$3:$E$1315,$A20, DataRegularSeason20242025!$S$3:$S$1315, $A20,DataRegularSeason20242025!$M$3:$M$1315,"REG")</f>
        <v>8</v>
      </c>
      <c r="Z20">
        <f>COUNTIFS(DataRegularSeason20242025!$E$3:$E$1315,$A20, DataRegularSeason20242025!$S$3:$S$1315, $A20,DataRegularSeason20242025!$M$3:$M$1315,"OT")</f>
        <v>3</v>
      </c>
      <c r="AA20">
        <f>COUNTIFS(DataRegularSeason20242025!$E$3:$E$1315,$A20, DataRegularSeason20242025!$S$3:$S$1315, $A20,DataRegularSeason20242025!$M$3:$M$1315,"SO")</f>
        <v>0</v>
      </c>
      <c r="AB20">
        <f>Table3[[#This Row],[W]]/MAX(1,Table3[[#This Row],[W]]+Table3[[#This Row],[L]])</f>
        <v>0.4838709677419355</v>
      </c>
      <c r="AC20">
        <f>Table3[[#This Row],[W_A]]+Table3[[#This Row],[W_H]]</f>
        <v>15</v>
      </c>
      <c r="AD20">
        <f>Table3[[#This Row],[L_A]]+Table3[[#This Row],[L_H]]</f>
        <v>16</v>
      </c>
      <c r="AE20">
        <f>Table3[[#This Row],[RW_A]]+Table3[[#This Row],[RW_H]]</f>
        <v>11</v>
      </c>
      <c r="AF20">
        <f>Table3[[#This Row],[RL_A]]+Table3[[#This Row],[RL_H]]</f>
        <v>12</v>
      </c>
      <c r="AG20">
        <f>Table3[[#This Row],[OTW_A]]+Table3[[#This Row],[OTW_H]]</f>
        <v>3</v>
      </c>
      <c r="AH20">
        <f>Table3[[#This Row],[OTL_A]]+Table3[[#This Row],[OTL_H]]</f>
        <v>4</v>
      </c>
      <c r="AI20">
        <f>Table3[[#This Row],[SOW_A]]+Table3[[#This Row],[SOW_H]]</f>
        <v>1</v>
      </c>
      <c r="AJ20">
        <f>Table3[[#This Row],[SOL_A]]+Table3[[#This Row],[SOL_H]]</f>
        <v>0</v>
      </c>
      <c r="AK20" s="15" t="str">
        <f>_xlfn.CONCAT(TEXT(Table3[[#This Row],[OTW]]+Table3[[#This Row],[SOW]], "0"), "-", TEXT(Table3[[#This Row],[OTL]]+Table3[[#This Row],[SOL]],"0"))</f>
        <v>4-4</v>
      </c>
      <c r="AL20">
        <f>SUM(Table3[[#This Row],[OTW]],Table3[[#This Row],[OTL]],Table3[[#This Row],[SOW]],Table3[[#This Row],[SOL]])</f>
        <v>8</v>
      </c>
      <c r="AM20">
        <f>(Table3[[#This Row],[OTW]]+Table3[[#This Row],[SOW]])/IF(Table3[[#This Row],[Total_ExtraTimes]]=0,1,Table3[[#This Row],[Total_ExtraTimes]])</f>
        <v>0.5</v>
      </c>
      <c r="AN20">
        <f>Table3[[#This Row],[Total_ExtraTimes]]/MAX(1,Table3[[#This Row],[GP]])</f>
        <v>0.25806451612903225</v>
      </c>
      <c r="AO20">
        <f>(2*(Table3[[#This Row],[W_A]]+Table3[[#This Row],[W_H]]))+Table3[[#This Row],[OTL_A]]+Table3[[#This Row],[SOL_A]]+Table3[[#This Row],[OTL_H]]+Table3[[#This Row],[SOL_H]]</f>
        <v>34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20" s="10">
        <f>Table3[[#This Row],[PTS]]/(2*Table3[[#This Row],[GP]])</f>
        <v>0.54838709677419351</v>
      </c>
      <c r="AR20" s="10">
        <f>Table3[[#This Row],[PTS2]]/(3*Table3[[#This Row],[GP]])</f>
        <v>0.4838709677419355</v>
      </c>
      <c r="AS20">
        <f>(2*Table3[[#This Row],[GR]])+Table3[[#This Row],[PTS]]</f>
        <v>136</v>
      </c>
      <c r="AT20">
        <f>(3*Table3[[#This Row],[GR]])+Table3[[#This Row],[PTS2]]</f>
        <v>198</v>
      </c>
      <c r="AU20">
        <f>Table3[[#This Row],[PTS]]+(2 * Table3[[#This Row],[GR]] * Table3[[#This Row],[PTS%]])</f>
        <v>89.935483870967744</v>
      </c>
      <c r="AV20">
        <f>Table3[[#This Row],[PTS2]]+(3 * Table3[[#This Row],[GR]] * Table3[[#This Row],[PTS%2]])</f>
        <v>119.03225806451613</v>
      </c>
      <c r="AW20" s="15" t="str">
        <f>_xlfn.CONCAT(TEXT(Table3[[#This Row],[W]], "0"), "-", TEXT(Table3[[#This Row],[RL]],"0"), "-", TEXT(Table3[[#This Row],[OTL]]+Table3[[#This Row],[SOL]], "0"))</f>
        <v>15-12-4</v>
      </c>
      <c r="AX20">
        <f>COUNTIFS(DataRegularSeason20242025!$D$3:$D$1315,Table3[[#This Row],[Teams]],DataRegularSeason20242025!$K$3:$K$1315,0)</f>
        <v>2</v>
      </c>
      <c r="AY20">
        <f>SUMIF(DataRegularSeason20242025!$D$3:$D$1315,$A20, DataRegularSeason20242025!$J$3:$J$1315)</f>
        <v>59</v>
      </c>
      <c r="AZ20">
        <f>SUMIF(DataRegularSeason20242025!$D$3:$D$1315,$A20, DataRegularSeason20242025!$K$3:$K$1315)</f>
        <v>39</v>
      </c>
      <c r="BA20">
        <f>AY20-AZ20</f>
        <v>20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24</v>
      </c>
      <c r="BD20">
        <f>SUMIF(DataRegularSeason20242025!$E$3:$E$1315,$A20,DataRegularSeason20242025!$J$3:$J$1315)</f>
        <v>42</v>
      </c>
      <c r="BE20">
        <f>BC20-BD20</f>
        <v>-18</v>
      </c>
      <c r="BF20">
        <f>AY20+BC20</f>
        <v>83</v>
      </c>
      <c r="BG20">
        <f>AZ20+BD20</f>
        <v>81</v>
      </c>
      <c r="BH20">
        <f>BF20-BG20</f>
        <v>2</v>
      </c>
      <c r="BI20" s="12">
        <f>Table3[[#This Row],[GF]]/Table3[[#This Row],[GP]]</f>
        <v>2.6774193548387095</v>
      </c>
      <c r="BJ20" s="12">
        <f>Table3[[#This Row],[GA]]/Table3[[#This Row],[GP]]</f>
        <v>2.6129032258064515</v>
      </c>
      <c r="BK20" s="12">
        <f>(Table3[[#This Row],[GF]]-Table3[[#This Row],[GA]])/Table3[[#This Row],[GP]]</f>
        <v>6.4516129032258063E-2</v>
      </c>
      <c r="BL20" s="42" t="str">
        <f>_xlfn.CONCAT(TEXT(Table3[[#This Row],[W_H]], "0"), "-", TEXT(Table3[[#This Row],[RL_H]],"0"), "-", TEXT(Table3[[#This Row],[OTL_H]]+Table3[[#This Row],[SOL_H]], "0"))</f>
        <v>3-8-3</v>
      </c>
      <c r="BM20" s="42" t="str">
        <f>_xlfn.CONCAT(TEXT(Table3[[#This Row],[W_A]], "0"), "-", TEXT(Table3[[#This Row],[RL_A]],"0"), "-", TEXT(Table3[[#This Row],[OTL_A]]+Table3[[#This Row],[SOL_A]], "0"))</f>
        <v>12-4-1</v>
      </c>
      <c r="BN20" s="42">
        <f>((2*(Table3[[#This Row],[W_H]]))+Table3[[#This Row],[OTL_H]]+Table3[[#This Row],[SOL_H]])/(2*Table3[[#This Row],[GP_H]])</f>
        <v>0.32142857142857145</v>
      </c>
      <c r="BO20" s="42">
        <f>((2*(Table3[[#This Row],[W_A]]))+Table3[[#This Row],[OTL_A]]+Table3[[#This Row],[SOL_A]])/(2*Table3[[#This Row],[GP_A]])</f>
        <v>0.73529411764705888</v>
      </c>
      <c r="BP20" s="16">
        <f>(Table3[[#This Row],[W]]*$CX$3)+(Table3[[#This Row],[L]]*$CX$4)+(Table3[[#This Row],[GF]]*$CX$5)+(Table3[[#This Row],[GA]]*$CX$6)</f>
        <v>32.85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88.291727367325706</v>
      </c>
      <c r="BR20" s="16">
        <f>(Table3[[#This Row],[W]]*0.7) + ((Table3[[#This Row],[GF]] - Table3[[#This Row],[GA]])*0.25)+(Table3[[#This Row],[GF]]*0.1)+(Table3[[#This Row],[GA]]*0.05)+(Table3[[#This Row],[L]]*0.3)</f>
        <v>28.150000000000002</v>
      </c>
      <c r="BS20" s="16">
        <f>Table3[[#This Row],[TeamCost83]]/Table3[[#This Row],[GP]]</f>
        <v>0.90806451612903227</v>
      </c>
      <c r="BT20">
        <f>COUNTIFS(Table2[AwayTeam],$A20,Table2[PredictedWinner], $A20, Table2[GameIsOver], 1)</f>
        <v>7</v>
      </c>
      <c r="BU20">
        <f>COUNTIFS(Table2[HomeTeam],$A20,Table2[PredictedWinner], $A20, Table2[GameIsOver], 1)</f>
        <v>4</v>
      </c>
      <c r="BV20">
        <f>BT20+BU20</f>
        <v>11</v>
      </c>
      <c r="BW20">
        <f>F20-BT20</f>
        <v>10</v>
      </c>
      <c r="BX20">
        <f>H20-BU20</f>
        <v>10</v>
      </c>
      <c r="BY20">
        <f>BW20+BX20</f>
        <v>20</v>
      </c>
      <c r="BZ20">
        <f>Table3[[#This Row],[TimesPredictedWinner]]/Table3[[#This Row],[GP]]</f>
        <v>0.35483870967741937</v>
      </c>
      <c r="CB20">
        <v>1994</v>
      </c>
      <c r="CC20" s="1">
        <v>45759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5.3</v>
      </c>
      <c r="CJ20">
        <f>SUMIFS(Table2[GamePredictionScore], Table2[HomeTeam], Table3[[#This Row],[Teams]])</f>
        <v>7.6</v>
      </c>
      <c r="CK20">
        <f>Table3[[#This Row],[Column4]]+Table3[[#This Row],[Column3]]</f>
        <v>12.899999999999999</v>
      </c>
      <c r="CL20">
        <f>Table3[[#This Row],[Column5]]/Table3[[#This Row],[GP]]</f>
        <v>0.41612903225806447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29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25</v>
      </c>
      <c r="E21" s="10">
        <f>Table3[[#This Row],[Watched]]/Table3[[#This Row],[GP]]</f>
        <v>0.8928571428571429</v>
      </c>
      <c r="F21">
        <f>COUNTIFS(DataRegularSeason20242025!$N$3:$N$1315,1,DataRegularSeason20242025!$D$3:$D$1315,$A21)</f>
        <v>15</v>
      </c>
      <c r="G21">
        <f>41-Table3[[#This Row],[GP_A]]</f>
        <v>26</v>
      </c>
      <c r="H21">
        <f>COUNTIFS(DataRegularSeason20242025!$E$3:$E$1315,$A21,DataRegularSeason20242025!$N$3:$N$1315,1)</f>
        <v>13</v>
      </c>
      <c r="I21">
        <f>41-Table3[[#This Row],[GP_H]]</f>
        <v>28</v>
      </c>
      <c r="J21">
        <f>F21+H21</f>
        <v>28</v>
      </c>
      <c r="K21">
        <f>82-Table3[[#This Row],[GP]]</f>
        <v>54</v>
      </c>
      <c r="L21">
        <f>COUNTIFS(DataRegularSeason20242025!$D$3:$D$1315,$A21, DataRegularSeason20242025!$L$3:$L$1315, $A21,DataRegularSeason20242025!$N$3:$N$1315,1)</f>
        <v>7</v>
      </c>
      <c r="M21">
        <f>COUNTIFS(DataRegularSeason20242025!$D$3:$D$1315,$A21, DataRegularSeason20242025!$L$3:$L$1315, $A21,DataRegularSeason20242025!$N$3:$N$1315,1,DataRegularSeason20242025!$M$3:$M$1315,"REG")</f>
        <v>5</v>
      </c>
      <c r="N21">
        <f>COUNTIFS(DataRegularSeason20242025!$D$3:$D$1315,$A21, DataRegularSeason20242025!$L$3:$L$1315, $A21,DataRegularSeason20242025!$N$3:$N$1315,1,DataRegularSeason20242025!$M$3:$M$1315,"OT")</f>
        <v>1</v>
      </c>
      <c r="O21">
        <f>COUNTIFS(DataRegularSeason20242025!$D$3:$D$1315,$A21, DataRegularSeason20242025!$L$3:$L$1315, $A21,DataRegularSeason20242025!$N$3:$N$1315,1,DataRegularSeason20242025!$M$3:$M$1315,"SO")</f>
        <v>1</v>
      </c>
      <c r="P21">
        <f>F21-L21</f>
        <v>8</v>
      </c>
      <c r="Q21">
        <f>COUNTIFS(DataRegularSeason20242025!$D$3:$D$1315,$A21, DataRegularSeason20242025!$S$3:$S$1315, $A21,DataRegularSeason20242025!$M$3:$M$1315,"REG")</f>
        <v>6</v>
      </c>
      <c r="R21">
        <f>COUNTIFS(DataRegularSeason20242025!$D$3:$D$1315,$A21, DataRegularSeason20242025!$S$3:$S$1315, $A21,DataRegularSeason20242025!$M$3:$M$1315,"OT")</f>
        <v>2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6</v>
      </c>
      <c r="U21">
        <f>COUNTIFS(DataRegularSeason20242025!$E$3:$E$1315,$A21, DataRegularSeason20242025!$L$3:$L$1315, $A21,DataRegularSeason20242025!$N$3:$N$1315,1,DataRegularSeason20242025!$M$3:$M$1315,"REG")</f>
        <v>4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2</v>
      </c>
      <c r="X21">
        <f>H21-T21</f>
        <v>7</v>
      </c>
      <c r="Y21">
        <f>COUNTIFS(DataRegularSeason20242025!$E$3:$E$1315,$A21, DataRegularSeason20242025!$S$3:$S$1315, $A21,DataRegularSeason20242025!$M$3:$M$1315,"REG")</f>
        <v>5</v>
      </c>
      <c r="Z21">
        <f>COUNTIFS(DataRegularSeason20242025!$E$3:$E$1315,$A21, DataRegularSeason20242025!$S$3:$S$1315, $A21,DataRegularSeason20242025!$M$3:$M$1315,"OT")</f>
        <v>2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0.4642857142857143</v>
      </c>
      <c r="AC21">
        <f>Table3[[#This Row],[W_A]]+Table3[[#This Row],[W_H]]</f>
        <v>13</v>
      </c>
      <c r="AD21">
        <f>Table3[[#This Row],[L_A]]+Table3[[#This Row],[L_H]]</f>
        <v>15</v>
      </c>
      <c r="AE21">
        <f>Table3[[#This Row],[RW_A]]+Table3[[#This Row],[RW_H]]</f>
        <v>9</v>
      </c>
      <c r="AF21">
        <f>Table3[[#This Row],[RL_A]]+Table3[[#This Row],[RL_H]]</f>
        <v>11</v>
      </c>
      <c r="AG21">
        <f>Table3[[#This Row],[OTW_A]]+Table3[[#This Row],[OTW_H]]</f>
        <v>1</v>
      </c>
      <c r="AH21">
        <f>Table3[[#This Row],[OTL_A]]+Table3[[#This Row],[OTL_H]]</f>
        <v>4</v>
      </c>
      <c r="AI21">
        <f>Table3[[#This Row],[SOW_A]]+Table3[[#This Row],[SOW_H]]</f>
        <v>3</v>
      </c>
      <c r="AJ21">
        <f>Table3[[#This Row],[SOL_A]]+Table3[[#This Row],[SOL_H]]</f>
        <v>0</v>
      </c>
      <c r="AK21" s="15" t="str">
        <f>_xlfn.CONCAT(TEXT(Table3[[#This Row],[OTW]]+Table3[[#This Row],[SOW]], "0"), "-", TEXT(Table3[[#This Row],[OTL]]+Table3[[#This Row],[SOL]],"0"))</f>
        <v>4-4</v>
      </c>
      <c r="AL21">
        <f>SUM(Table3[[#This Row],[OTW]],Table3[[#This Row],[OTL]],Table3[[#This Row],[SOW]],Table3[[#This Row],[SOL]])</f>
        <v>8</v>
      </c>
      <c r="AM21">
        <f>(Table3[[#This Row],[OTW]]+Table3[[#This Row],[SOW]])/IF(Table3[[#This Row],[Total_ExtraTimes]]=0,1,Table3[[#This Row],[Total_ExtraTimes]])</f>
        <v>0.5</v>
      </c>
      <c r="AN21">
        <f>Table3[[#This Row],[Total_ExtraTimes]]/MAX(1,Table3[[#This Row],[GP]])</f>
        <v>0.2857142857142857</v>
      </c>
      <c r="AO21">
        <f>(2*(Table3[[#This Row],[W_A]]+Table3[[#This Row],[W_H]]))+Table3[[#This Row],[OTL_A]]+Table3[[#This Row],[SOL_A]]+Table3[[#This Row],[OTL_H]]+Table3[[#This Row],[SOL_H]]</f>
        <v>30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1" s="10">
        <f>Table3[[#This Row],[PTS]]/(2*Table3[[#This Row],[GP]])</f>
        <v>0.5357142857142857</v>
      </c>
      <c r="AR21" s="10">
        <f>Table3[[#This Row],[PTS2]]/(3*Table3[[#This Row],[GP]])</f>
        <v>0.4642857142857143</v>
      </c>
      <c r="AS21">
        <f>(2*Table3[[#This Row],[GR]])+Table3[[#This Row],[PTS]]</f>
        <v>138</v>
      </c>
      <c r="AT21">
        <f>(3*Table3[[#This Row],[GR]])+Table3[[#This Row],[PTS2]]</f>
        <v>201</v>
      </c>
      <c r="AU21">
        <f>Table3[[#This Row],[PTS]]+(2 * Table3[[#This Row],[GR]] * Table3[[#This Row],[PTS%]])</f>
        <v>87.857142857142861</v>
      </c>
      <c r="AV21">
        <f>Table3[[#This Row],[PTS2]]+(3 * Table3[[#This Row],[GR]] * Table3[[#This Row],[PTS%2]])</f>
        <v>114.21428571428572</v>
      </c>
      <c r="AW21" s="15" t="str">
        <f>_xlfn.CONCAT(TEXT(Table3[[#This Row],[W]], "0"), "-", TEXT(Table3[[#This Row],[RL]],"0"), "-", TEXT(Table3[[#This Row],[OTL]]+Table3[[#This Row],[SOL]], "0"))</f>
        <v>13-11-4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49</v>
      </c>
      <c r="AZ21">
        <f>SUMIF(DataRegularSeason20242025!$D$3:$D$1315,$A21, DataRegularSeason20242025!$K$3:$K$1315)</f>
        <v>56</v>
      </c>
      <c r="BA21">
        <f>AY21-AZ21</f>
        <v>-7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38</v>
      </c>
      <c r="BD21">
        <f>SUMIF(DataRegularSeason20242025!$E$3:$E$1315,$A21,DataRegularSeason20242025!$J$3:$J$1315)</f>
        <v>36</v>
      </c>
      <c r="BE21">
        <f>BC21-BD21</f>
        <v>2</v>
      </c>
      <c r="BF21">
        <f>AY21+BC21</f>
        <v>87</v>
      </c>
      <c r="BG21">
        <f>AZ21+BD21</f>
        <v>92</v>
      </c>
      <c r="BH21">
        <f>BF21-BG21</f>
        <v>-5</v>
      </c>
      <c r="BI21" s="12">
        <f>Table3[[#This Row],[GF]]/Table3[[#This Row],[GP]]</f>
        <v>3.1071428571428572</v>
      </c>
      <c r="BJ21" s="12">
        <f>Table3[[#This Row],[GA]]/Table3[[#This Row],[GP]]</f>
        <v>3.2857142857142856</v>
      </c>
      <c r="BK21" s="12">
        <f>(Table3[[#This Row],[GF]]-Table3[[#This Row],[GA]])/Table3[[#This Row],[GP]]</f>
        <v>-0.17857142857142858</v>
      </c>
      <c r="BL21" s="42" t="str">
        <f>_xlfn.CONCAT(TEXT(Table3[[#This Row],[W_H]], "0"), "-", TEXT(Table3[[#This Row],[RL_H]],"0"), "-", TEXT(Table3[[#This Row],[OTL_H]]+Table3[[#This Row],[SOL_H]], "0"))</f>
        <v>6-5-2</v>
      </c>
      <c r="BM21" s="42" t="str">
        <f>_xlfn.CONCAT(TEXT(Table3[[#This Row],[W_A]], "0"), "-", TEXT(Table3[[#This Row],[RL_A]],"0"), "-", TEXT(Table3[[#This Row],[OTL_A]]+Table3[[#This Row],[SOL_A]], "0"))</f>
        <v>7-6-2</v>
      </c>
      <c r="BN21" s="42">
        <f>((2*(Table3[[#This Row],[W_H]]))+Table3[[#This Row],[OTL_H]]+Table3[[#This Row],[SOL_H]])/(2*Table3[[#This Row],[GP_H]])</f>
        <v>0.53846153846153844</v>
      </c>
      <c r="BO21" s="42">
        <f>((2*(Table3[[#This Row],[W_A]]))+Table3[[#This Row],[OTL_A]]+Table3[[#This Row],[SOL_A]])/(2*Table3[[#This Row],[GP_A]])</f>
        <v>0.53333333333333333</v>
      </c>
      <c r="BP21" s="16">
        <f>(Table3[[#This Row],[W]]*$CX$3)+(Table3[[#This Row],[L]]*$CX$4)+(Table3[[#This Row],[GF]]*$CX$5)+(Table3[[#This Row],[GA]]*$CX$6)</f>
        <v>33.25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99.603061224489807</v>
      </c>
      <c r="BR21" s="16">
        <f>(Table3[[#This Row],[W]]*0.7) + ((Table3[[#This Row],[GF]] - Table3[[#This Row],[GA]])*0.25)+(Table3[[#This Row],[GF]]*0.1)+(Table3[[#This Row],[GA]]*0.05)+(Table3[[#This Row],[L]]*0.3)</f>
        <v>25.650000000000002</v>
      </c>
      <c r="BS21" s="16">
        <f>Table3[[#This Row],[TeamCost83]]/Table3[[#This Row],[GP]]</f>
        <v>0.91607142857142865</v>
      </c>
      <c r="BT21">
        <f>COUNTIFS(Table2[AwayTeam],$A21,Table2[PredictedWinner], $A21, Table2[GameIsOver], 1)</f>
        <v>9</v>
      </c>
      <c r="BU21">
        <f>COUNTIFS(Table2[HomeTeam],$A21,Table2[PredictedWinner], $A21, Table2[GameIsOver], 1)</f>
        <v>6</v>
      </c>
      <c r="BV21">
        <f>BT21+BU21</f>
        <v>15</v>
      </c>
      <c r="BW21">
        <f>F21-BT21</f>
        <v>6</v>
      </c>
      <c r="BX21">
        <f>H21-BU21</f>
        <v>7</v>
      </c>
      <c r="BY21">
        <f>BW21+BX21</f>
        <v>13</v>
      </c>
      <c r="BZ21">
        <f>Table3[[#This Row],[TimesPredictedWinner]]/Table3[[#This Row],[GP]]</f>
        <v>0.5357142857142857</v>
      </c>
      <c r="CD21" s="1">
        <v>45755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5.9</v>
      </c>
      <c r="CJ21">
        <f>SUMIFS(Table2[GamePredictionScore], Table2[HomeTeam], Table3[[#This Row],[Teams]])</f>
        <v>4.5</v>
      </c>
      <c r="CK21">
        <f>Table3[[#This Row],[Column4]]+Table3[[#This Row],[Column3]]</f>
        <v>10.4</v>
      </c>
      <c r="CL21">
        <f>Table3[[#This Row],[Column5]]/Table3[[#This Row],[GP]]</f>
        <v>0.37142857142857144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13</v>
      </c>
      <c r="B22" t="s">
        <v>91</v>
      </c>
      <c r="C22" t="s">
        <v>74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25</v>
      </c>
      <c r="E22" s="10">
        <f>Table3[[#This Row],[Watched]]/Table3[[#This Row],[GP]]</f>
        <v>0.8928571428571429</v>
      </c>
      <c r="F22">
        <f>COUNTIFS(DataRegularSeason20242025!$N$3:$N$1315,1,DataRegularSeason20242025!$D$3:$D$1315,$A22)</f>
        <v>10</v>
      </c>
      <c r="G22">
        <f>41-Table3[[#This Row],[GP_A]]</f>
        <v>31</v>
      </c>
      <c r="H22">
        <f>COUNTIFS(DataRegularSeason20242025!$E$3:$E$1315,$A22,DataRegularSeason20242025!$N$3:$N$1315,1)</f>
        <v>18</v>
      </c>
      <c r="I22">
        <f>41-Table3[[#This Row],[GP_H]]</f>
        <v>23</v>
      </c>
      <c r="J22">
        <f>F22+H22</f>
        <v>28</v>
      </c>
      <c r="K22">
        <f>82-Table3[[#This Row],[GP]]</f>
        <v>54</v>
      </c>
      <c r="L22">
        <f>COUNTIFS(DataRegularSeason20242025!$D$3:$D$1315,$A22, DataRegularSeason20242025!$L$3:$L$1315, $A22,DataRegularSeason20242025!$N$3:$N$1315,1)</f>
        <v>4</v>
      </c>
      <c r="M22">
        <f>COUNTIFS(DataRegularSeason20242025!$D$3:$D$1315,$A22, DataRegularSeason20242025!$L$3:$L$1315, $A22,DataRegularSeason20242025!$N$3:$N$1315,1,DataRegularSeason20242025!$M$3:$M$1315,"REG")</f>
        <v>4</v>
      </c>
      <c r="N22">
        <f>COUNTIFS(DataRegularSeason20242025!$D$3:$D$1315,$A22, DataRegularSeason20242025!$L$3:$L$1315, $A22,DataRegularSeason20242025!$N$3:$N$1315,1,DataRegularSeason20242025!$M$3:$M$1315,"OT")</f>
        <v>0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>F22-L22</f>
        <v>6</v>
      </c>
      <c r="Q22">
        <f>COUNTIFS(DataRegularSeason20242025!$D$3:$D$1315,$A22, DataRegularSeason20242025!$S$3:$S$1315, $A22,DataRegularSeason20242025!$M$3:$M$1315,"REG")</f>
        <v>6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10</v>
      </c>
      <c r="U22">
        <f>COUNTIFS(DataRegularSeason20242025!$E$3:$E$1315,$A22, DataRegularSeason20242025!$L$3:$L$1315, $A22,DataRegularSeason20242025!$N$3:$N$1315,1,DataRegularSeason20242025!$M$3:$M$1315,"REG")</f>
        <v>8</v>
      </c>
      <c r="V22">
        <f>COUNTIFS(DataRegularSeason20242025!$E$3:$E$1315,$A22, DataRegularSeason20242025!$L$3:$L$1315, $A22,DataRegularSeason20242025!$N$3:$N$1315,1,DataRegularSeason20242025!$M$3:$M$1315,"OT")</f>
        <v>1</v>
      </c>
      <c r="W22">
        <f>COUNTIFS(DataRegularSeason20242025!$E$3:$E$1315,$A22, DataRegularSeason20242025!$L$3:$L$1315, $A22,DataRegularSeason20242025!$N$3:$N$1315,1,DataRegularSeason20242025!$M$3:$M$1315,"SO")</f>
        <v>1</v>
      </c>
      <c r="X22">
        <f>H22-T22</f>
        <v>8</v>
      </c>
      <c r="Y22">
        <f>COUNTIFS(DataRegularSeason20242025!$E$3:$E$1315,$A22, DataRegularSeason20242025!$S$3:$S$1315, $A22,DataRegularSeason20242025!$M$3:$M$1315,"REG")</f>
        <v>6</v>
      </c>
      <c r="Z22">
        <f>COUNTIFS(DataRegularSeason20242025!$E$3:$E$1315,$A22, DataRegularSeason20242025!$S$3:$S$1315, $A22,DataRegularSeason20242025!$M$3:$M$1315,"OT")</f>
        <v>1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0.5</v>
      </c>
      <c r="AC22">
        <f>Table3[[#This Row],[W_A]]+Table3[[#This Row],[W_H]]</f>
        <v>14</v>
      </c>
      <c r="AD22">
        <f>Table3[[#This Row],[L_A]]+Table3[[#This Row],[L_H]]</f>
        <v>14</v>
      </c>
      <c r="AE22">
        <f>Table3[[#This Row],[RW_A]]+Table3[[#This Row],[RW_H]]</f>
        <v>12</v>
      </c>
      <c r="AF22">
        <f>Table3[[#This Row],[RL_A]]+Table3[[#This Row],[RL_H]]</f>
        <v>12</v>
      </c>
      <c r="AG22">
        <f>Table3[[#This Row],[OTW_A]]+Table3[[#This Row],[OTW_H]]</f>
        <v>1</v>
      </c>
      <c r="AH22">
        <f>Table3[[#This Row],[OTL_A]]+Table3[[#This Row],[OTL_H]]</f>
        <v>1</v>
      </c>
      <c r="AI22">
        <f>Table3[[#This Row],[SOW_A]]+Table3[[#This Row],[SOW_H]]</f>
        <v>1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2-2</v>
      </c>
      <c r="AL22">
        <f>SUM(Table3[[#This Row],[OTW]],Table3[[#This Row],[OTL]],Table3[[#This Row],[SOW]],Table3[[#This Row],[SOL]])</f>
        <v>4</v>
      </c>
      <c r="AM22">
        <f>(Table3[[#This Row],[OTW]]+Table3[[#This Row],[SOW]])/IF(Table3[[#This Row],[Total_ExtraTimes]]=0,1,Table3[[#This Row],[Total_ExtraTimes]])</f>
        <v>0.5</v>
      </c>
      <c r="AN22">
        <f>Table3[[#This Row],[Total_ExtraTimes]]/MAX(1,Table3[[#This Row],[GP]])</f>
        <v>0.14285714285714285</v>
      </c>
      <c r="AO22">
        <f>(2*(Table3[[#This Row],[W_A]]+Table3[[#This Row],[W_H]]))+Table3[[#This Row],[OTL_A]]+Table3[[#This Row],[SOL_A]]+Table3[[#This Row],[OTL_H]]+Table3[[#This Row],[SOL_H]]</f>
        <v>30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2" s="10">
        <f>Table3[[#This Row],[PTS]]/(2*Table3[[#This Row],[GP]])</f>
        <v>0.5357142857142857</v>
      </c>
      <c r="AR22" s="10">
        <f>Table3[[#This Row],[PTS2]]/(3*Table3[[#This Row],[GP]])</f>
        <v>0.5</v>
      </c>
      <c r="AS22">
        <f>(2*Table3[[#This Row],[GR]])+Table3[[#This Row],[PTS]]</f>
        <v>138</v>
      </c>
      <c r="AT22">
        <f>(3*Table3[[#This Row],[GR]])+Table3[[#This Row],[PTS2]]</f>
        <v>204</v>
      </c>
      <c r="AU22">
        <f>Table3[[#This Row],[PTS]]+(2 * Table3[[#This Row],[GR]] * Table3[[#This Row],[PTS%]])</f>
        <v>87.857142857142861</v>
      </c>
      <c r="AV22">
        <f>Table3[[#This Row],[PTS2]]+(3 * Table3[[#This Row],[GR]] * Table3[[#This Row],[PTS%2]])</f>
        <v>123</v>
      </c>
      <c r="AW22" s="15" t="str">
        <f>_xlfn.CONCAT(TEXT(Table3[[#This Row],[W]], "0"), "-", TEXT(Table3[[#This Row],[RL]],"0"), "-", TEXT(Table3[[#This Row],[OTL]]+Table3[[#This Row],[SOL]], "0"))</f>
        <v>14-12-2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28</v>
      </c>
      <c r="AZ22">
        <f>SUMIF(DataRegularSeason20242025!$D$3:$D$1315,$A22, DataRegularSeason20242025!$K$3:$K$1315)</f>
        <v>35</v>
      </c>
      <c r="BA22">
        <f>AY22-AZ22</f>
        <v>-7</v>
      </c>
      <c r="BB22">
        <f>COUNTIFS(DataRegularSeason20242025!$E$3:$E$1315,Table3[[#This Row],[Teams]],DataRegularSeason20242025!$J$3:$J$1315,0)</f>
        <v>2</v>
      </c>
      <c r="BC22">
        <f>SUMIF(DataRegularSeason20242025!$E$3:$E$1315,$A22,DataRegularSeason20242025!$K$3:$K$1315)</f>
        <v>60</v>
      </c>
      <c r="BD22">
        <f>SUMIF(DataRegularSeason20242025!$E$3:$E$1315,$A22,DataRegularSeason20242025!$J$3:$J$1315)</f>
        <v>55</v>
      </c>
      <c r="BE22">
        <f>BC22-BD22</f>
        <v>5</v>
      </c>
      <c r="BF22">
        <f>AY22+BC22</f>
        <v>88</v>
      </c>
      <c r="BG22">
        <f>AZ22+BD22</f>
        <v>90</v>
      </c>
      <c r="BH22">
        <f>BF22-BG22</f>
        <v>-2</v>
      </c>
      <c r="BI22" s="12">
        <f>Table3[[#This Row],[GF]]/Table3[[#This Row],[GP]]</f>
        <v>3.1428571428571428</v>
      </c>
      <c r="BJ22" s="12">
        <f>Table3[[#This Row],[GA]]/Table3[[#This Row],[GP]]</f>
        <v>3.2142857142857144</v>
      </c>
      <c r="BK22" s="12">
        <f>(Table3[[#This Row],[GF]]-Table3[[#This Row],[GA]])/Table3[[#This Row],[GP]]</f>
        <v>-7.1428571428571425E-2</v>
      </c>
      <c r="BL22" s="42" t="str">
        <f>_xlfn.CONCAT(TEXT(Table3[[#This Row],[W_H]], "0"), "-", TEXT(Table3[[#This Row],[RL_H]],"0"), "-", TEXT(Table3[[#This Row],[OTL_H]]+Table3[[#This Row],[SOL_H]], "0"))</f>
        <v>10-6-2</v>
      </c>
      <c r="BM22" s="42" t="str">
        <f>_xlfn.CONCAT(TEXT(Table3[[#This Row],[W_A]], "0"), "-", TEXT(Table3[[#This Row],[RL_A]],"0"), "-", TEXT(Table3[[#This Row],[OTL_A]]+Table3[[#This Row],[SOL_A]], "0"))</f>
        <v>4-6-0</v>
      </c>
      <c r="BN22" s="42">
        <f>((2*(Table3[[#This Row],[W_H]]))+Table3[[#This Row],[OTL_H]]+Table3[[#This Row],[SOL_H]])/(2*Table3[[#This Row],[GP_H]])</f>
        <v>0.61111111111111116</v>
      </c>
      <c r="BO22" s="42">
        <f>((2*(Table3[[#This Row],[W_A]]))+Table3[[#This Row],[OTL_A]]+Table3[[#This Row],[SOL_A]])/(2*Table3[[#This Row],[GP_A]])</f>
        <v>0.4</v>
      </c>
      <c r="BP22" s="16">
        <f>(Table3[[#This Row],[W]]*$CX$3)+(Table3[[#This Row],[L]]*$CX$4)+(Table3[[#This Row],[GF]]*$CX$5)+(Table3[[#This Row],[GA]]*$CX$6)</f>
        <v>33.4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99.606632653061226</v>
      </c>
      <c r="BR22" s="16">
        <f>(Table3[[#This Row],[W]]*0.7) + ((Table3[[#This Row],[GF]] - Table3[[#This Row],[GA]])*0.25)+(Table3[[#This Row],[GF]]*0.1)+(Table3[[#This Row],[GA]]*0.05)+(Table3[[#This Row],[L]]*0.3)</f>
        <v>26.8</v>
      </c>
      <c r="BS22" s="16">
        <f>Table3[[#This Row],[TeamCost83]]/Table3[[#This Row],[GP]]</f>
        <v>0.95714285714285718</v>
      </c>
      <c r="BT22">
        <f>COUNTIFS(Table2[AwayTeam],$A22,Table2[PredictedWinner], $A22, Table2[GameIsOver], 1)</f>
        <v>4</v>
      </c>
      <c r="BU22">
        <f>COUNTIFS(Table2[HomeTeam],$A22,Table2[PredictedWinner], $A22, Table2[GameIsOver], 1)</f>
        <v>12</v>
      </c>
      <c r="BV22">
        <f>BT22+BU22</f>
        <v>16</v>
      </c>
      <c r="BW22">
        <f>F22-BT22</f>
        <v>6</v>
      </c>
      <c r="BX22">
        <f>H22-BU22</f>
        <v>6</v>
      </c>
      <c r="BY22">
        <f>BW22+BX22</f>
        <v>12</v>
      </c>
      <c r="BZ22">
        <f>Table3[[#This Row],[TimesPredictedWinner]]/Table3[[#This Row],[GP]]</f>
        <v>0.5714285714285714</v>
      </c>
      <c r="CB22">
        <v>2025</v>
      </c>
      <c r="CD22" s="1">
        <v>45752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5.3</v>
      </c>
      <c r="CJ22">
        <f>SUMIFS(Table2[GamePredictionScore], Table2[HomeTeam], Table3[[#This Row],[Teams]])</f>
        <v>10.3</v>
      </c>
      <c r="CK22">
        <f>Table3[[#This Row],[Column4]]+Table3[[#This Row],[Column3]]</f>
        <v>15.600000000000001</v>
      </c>
      <c r="CL22">
        <f>Table3[[#This Row],[Column5]]/Table3[[#This Row],[GP]]</f>
        <v>0.55714285714285716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22</v>
      </c>
      <c r="B23" t="s">
        <v>90</v>
      </c>
      <c r="C23" t="s">
        <v>93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28</v>
      </c>
      <c r="E23" s="10">
        <f>Table3[[#This Row],[Watched]]/Table3[[#This Row],[GP]]</f>
        <v>0.96551724137931039</v>
      </c>
      <c r="F23">
        <f>COUNTIFS(DataRegularSeason20242025!$N$3:$N$1315,1,DataRegularSeason20242025!$D$3:$D$1315,$A23)</f>
        <v>17</v>
      </c>
      <c r="G23">
        <f>41-Table3[[#This Row],[GP_A]]</f>
        <v>24</v>
      </c>
      <c r="H23">
        <f>COUNTIFS(DataRegularSeason20242025!$E$3:$E$1315,$A23,DataRegularSeason20242025!$N$3:$N$1315,1)</f>
        <v>12</v>
      </c>
      <c r="I23">
        <f>41-Table3[[#This Row],[GP_H]]</f>
        <v>29</v>
      </c>
      <c r="J23">
        <f>F23+H23</f>
        <v>29</v>
      </c>
      <c r="K23">
        <f>82-Table3[[#This Row],[GP]]</f>
        <v>53</v>
      </c>
      <c r="L23">
        <f>COUNTIFS(DataRegularSeason20242025!$D$3:$D$1315,$A23, DataRegularSeason20242025!$L$3:$L$1315, $A23,DataRegularSeason20242025!$N$3:$N$1315,1)</f>
        <v>6</v>
      </c>
      <c r="M23">
        <f>COUNTIFS(DataRegularSeason20242025!$D$3:$D$1315,$A23, DataRegularSeason20242025!$L$3:$L$1315, $A23,DataRegularSeason20242025!$N$3:$N$1315,1,DataRegularSeason20242025!$M$3:$M$1315,"REG")</f>
        <v>3</v>
      </c>
      <c r="N23">
        <f>COUNTIFS(DataRegularSeason20242025!$D$3:$D$1315,$A23, DataRegularSeason20242025!$L$3:$L$1315, $A23,DataRegularSeason20242025!$N$3:$N$1315,1,DataRegularSeason20242025!$M$3:$M$1315,"OT")</f>
        <v>3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>F23-L23</f>
        <v>11</v>
      </c>
      <c r="Q23">
        <f>COUNTIFS(DataRegularSeason20242025!$D$3:$D$1315,$A23, DataRegularSeason20242025!$S$3:$S$1315, $A23,DataRegularSeason20242025!$M$3:$M$1315,"REG")</f>
        <v>8</v>
      </c>
      <c r="R23">
        <f>COUNTIFS(DataRegularSeason20242025!$D$3:$D$1315,$A23, DataRegularSeason20242025!$S$3:$S$1315, $A23,DataRegularSeason20242025!$M$3:$M$1315,"OT")</f>
        <v>2</v>
      </c>
      <c r="S23">
        <f>COUNTIFS(DataRegularSeason20242025!$D$3:$D$1315,$A23, DataRegularSeason20242025!$S$3:$S$1315, $A23,DataRegularSeason20242025!$M$3:$M$1315,"SO")</f>
        <v>1</v>
      </c>
      <c r="T23">
        <f>COUNTIFS(DataRegularSeason20242025!$E$3:$E$1315,$A23, DataRegularSeason20242025!$L$3:$L$1315, $A23, DataRegularSeason20242025!$N$3:$N$1315,1)</f>
        <v>7</v>
      </c>
      <c r="U23">
        <f>COUNTIFS(DataRegularSeason20242025!$E$3:$E$1315,$A23, DataRegularSeason20242025!$L$3:$L$1315, $A23,DataRegularSeason20242025!$N$3:$N$1315,1,DataRegularSeason20242025!$M$3:$M$1315,"REG")</f>
        <v>5</v>
      </c>
      <c r="V23">
        <f>COUNTIFS(DataRegularSeason20242025!$E$3:$E$1315,$A23, DataRegularSeason20242025!$L$3:$L$1315, $A23,DataRegularSeason20242025!$N$3:$N$1315,1,DataRegularSeason20242025!$M$3:$M$1315,"OT")</f>
        <v>2</v>
      </c>
      <c r="W23">
        <f>COUNTIFS(DataRegularSeason20242025!$E$3:$E$1315,$A23, DataRegularSeason20242025!$L$3:$L$1315, $A23,DataRegularSeason20242025!$N$3:$N$1315,1,DataRegularSeason20242025!$M$3:$M$1315,"SO")</f>
        <v>0</v>
      </c>
      <c r="X23">
        <f>H23-T23</f>
        <v>5</v>
      </c>
      <c r="Y23">
        <f>COUNTIFS(DataRegularSeason20242025!$E$3:$E$1315,$A23, DataRegularSeason20242025!$S$3:$S$1315, $A23,DataRegularSeason20242025!$M$3:$M$1315,"REG")</f>
        <v>3</v>
      </c>
      <c r="Z23">
        <f>COUNTIFS(DataRegularSeason20242025!$E$3:$E$1315,$A23, DataRegularSeason20242025!$S$3:$S$1315, $A23,DataRegularSeason20242025!$M$3:$M$1315,"OT")</f>
        <v>1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0.44827586206896552</v>
      </c>
      <c r="AC23">
        <f>Table3[[#This Row],[W_A]]+Table3[[#This Row],[W_H]]</f>
        <v>13</v>
      </c>
      <c r="AD23">
        <f>Table3[[#This Row],[L_A]]+Table3[[#This Row],[L_H]]</f>
        <v>16</v>
      </c>
      <c r="AE23">
        <f>Table3[[#This Row],[RW_A]]+Table3[[#This Row],[RW_H]]</f>
        <v>8</v>
      </c>
      <c r="AF23">
        <f>Table3[[#This Row],[RL_A]]+Table3[[#This Row],[RL_H]]</f>
        <v>11</v>
      </c>
      <c r="AG23">
        <f>Table3[[#This Row],[OTW_A]]+Table3[[#This Row],[OTW_H]]</f>
        <v>5</v>
      </c>
      <c r="AH23">
        <f>Table3[[#This Row],[OTL_A]]+Table3[[#This Row],[OTL_H]]</f>
        <v>3</v>
      </c>
      <c r="AI23">
        <f>Table3[[#This Row],[SOW_A]]+Table3[[#This Row],[SOW_H]]</f>
        <v>0</v>
      </c>
      <c r="AJ23">
        <f>Table3[[#This Row],[SOL_A]]+Table3[[#This Row],[SOL_H]]</f>
        <v>2</v>
      </c>
      <c r="AK23" s="15" t="str">
        <f>_xlfn.CONCAT(TEXT(Table3[[#This Row],[OTW]]+Table3[[#This Row],[SOW]], "0"), "-", TEXT(Table3[[#This Row],[OTL]]+Table3[[#This Row],[SOL]],"0"))</f>
        <v>5-5</v>
      </c>
      <c r="AL23">
        <f>SUM(Table3[[#This Row],[OTW]],Table3[[#This Row],[OTL]],Table3[[#This Row],[SOW]],Table3[[#This Row],[SOL]])</f>
        <v>10</v>
      </c>
      <c r="AM23">
        <f>(Table3[[#This Row],[OTW]]+Table3[[#This Row],[SOW]])/IF(Table3[[#This Row],[Total_ExtraTimes]]=0,1,Table3[[#This Row],[Total_ExtraTimes]])</f>
        <v>0.5</v>
      </c>
      <c r="AN23">
        <f>Table3[[#This Row],[Total_ExtraTimes]]/MAX(1,Table3[[#This Row],[GP]])</f>
        <v>0.34482758620689657</v>
      </c>
      <c r="AO23">
        <f>(2*(Table3[[#This Row],[W_A]]+Table3[[#This Row],[W_H]]))+Table3[[#This Row],[OTL_A]]+Table3[[#This Row],[SOL_A]]+Table3[[#This Row],[OTL_H]]+Table3[[#This Row],[SOL_H]]</f>
        <v>31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3" s="10">
        <f>Table3[[#This Row],[PTS]]/(2*Table3[[#This Row],[GP]])</f>
        <v>0.53448275862068961</v>
      </c>
      <c r="AR23" s="10">
        <f>Table3[[#This Row],[PTS2]]/(3*Table3[[#This Row],[GP]])</f>
        <v>0.44827586206896552</v>
      </c>
      <c r="AS23">
        <f>(2*Table3[[#This Row],[GR]])+Table3[[#This Row],[PTS]]</f>
        <v>137</v>
      </c>
      <c r="AT23">
        <f>(3*Table3[[#This Row],[GR]])+Table3[[#This Row],[PTS2]]</f>
        <v>198</v>
      </c>
      <c r="AU23">
        <f>Table3[[#This Row],[PTS]]+(2 * Table3[[#This Row],[GR]] * Table3[[#This Row],[PTS%]])</f>
        <v>87.655172413793096</v>
      </c>
      <c r="AV23">
        <f>Table3[[#This Row],[PTS2]]+(3 * Table3[[#This Row],[GR]] * Table3[[#This Row],[PTS%2]])</f>
        <v>110.27586206896552</v>
      </c>
      <c r="AW23" s="15" t="str">
        <f>_xlfn.CONCAT(TEXT(Table3[[#This Row],[W]], "0"), "-", TEXT(Table3[[#This Row],[RL]],"0"), "-", TEXT(Table3[[#This Row],[OTL]]+Table3[[#This Row],[SOL]], "0"))</f>
        <v>13-11-5</v>
      </c>
      <c r="AX23">
        <f>COUNTIFS(DataRegularSeason20242025!$D$3:$D$1315,Table3[[#This Row],[Teams]],DataRegularSeason20242025!$K$3:$K$1315,0)</f>
        <v>2</v>
      </c>
      <c r="AY23">
        <f>SUMIF(DataRegularSeason20242025!$D$3:$D$1315,$A23, DataRegularSeason20242025!$J$3:$J$1315)</f>
        <v>48</v>
      </c>
      <c r="AZ23">
        <f>SUMIF(DataRegularSeason20242025!$D$3:$D$1315,$A23, DataRegularSeason20242025!$K$3:$K$1315)</f>
        <v>55</v>
      </c>
      <c r="BA23">
        <f>AY23-AZ23</f>
        <v>-7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48</v>
      </c>
      <c r="BD23">
        <f>SUMIF(DataRegularSeason20242025!$E$3:$E$1315,$A23,DataRegularSeason20242025!$J$3:$J$1315)</f>
        <v>47</v>
      </c>
      <c r="BE23">
        <f>BC23-BD23</f>
        <v>1</v>
      </c>
      <c r="BF23">
        <f>AY23+BC23</f>
        <v>96</v>
      </c>
      <c r="BG23">
        <f>AZ23+BD23</f>
        <v>102</v>
      </c>
      <c r="BH23">
        <f>BF23-BG23</f>
        <v>-6</v>
      </c>
      <c r="BI23" s="12">
        <f>Table3[[#This Row],[GF]]/Table3[[#This Row],[GP]]</f>
        <v>3.3103448275862069</v>
      </c>
      <c r="BJ23" s="12">
        <f>Table3[[#This Row],[GA]]/Table3[[#This Row],[GP]]</f>
        <v>3.5172413793103448</v>
      </c>
      <c r="BK23" s="12">
        <f>(Table3[[#This Row],[GF]]-Table3[[#This Row],[GA]])/Table3[[#This Row],[GP]]</f>
        <v>-0.20689655172413793</v>
      </c>
      <c r="BL23" s="42" t="str">
        <f>_xlfn.CONCAT(TEXT(Table3[[#This Row],[W_H]], "0"), "-", TEXT(Table3[[#This Row],[RL_H]],"0"), "-", TEXT(Table3[[#This Row],[OTL_H]]+Table3[[#This Row],[SOL_H]], "0"))</f>
        <v>7-3-2</v>
      </c>
      <c r="BM23" s="42" t="str">
        <f>_xlfn.CONCAT(TEXT(Table3[[#This Row],[W_A]], "0"), "-", TEXT(Table3[[#This Row],[RL_A]],"0"), "-", TEXT(Table3[[#This Row],[OTL_A]]+Table3[[#This Row],[SOL_A]], "0"))</f>
        <v>6-8-3</v>
      </c>
      <c r="BN23" s="42">
        <f>((2*(Table3[[#This Row],[W_H]]))+Table3[[#This Row],[OTL_H]]+Table3[[#This Row],[SOL_H]])/(2*Table3[[#This Row],[GP_H]])</f>
        <v>0.66666666666666663</v>
      </c>
      <c r="BO23" s="42">
        <f>((2*(Table3[[#This Row],[W_A]]))+Table3[[#This Row],[OTL_A]]+Table3[[#This Row],[SOL_A]])/(2*Table3[[#This Row],[GP_A]])</f>
        <v>0.44117647058823528</v>
      </c>
      <c r="BP23" s="16">
        <f>(Table3[[#This Row],[W]]*$CX$3)+(Table3[[#This Row],[L]]*$CX$4)+(Table3[[#This Row],[GF]]*$CX$5)+(Table3[[#This Row],[GA]]*$CX$6)</f>
        <v>35.9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106.60915576694411</v>
      </c>
      <c r="BR23" s="16">
        <f>(Table3[[#This Row],[W]]*0.7) + ((Table3[[#This Row],[GF]] - Table3[[#This Row],[GA]])*0.25)+(Table3[[#This Row],[GF]]*0.1)+(Table3[[#This Row],[GA]]*0.05)+(Table3[[#This Row],[L]]*0.3)</f>
        <v>27.100000000000005</v>
      </c>
      <c r="BS23" s="16">
        <f>Table3[[#This Row],[TeamCost83]]/Table3[[#This Row],[GP]]</f>
        <v>0.93448275862068986</v>
      </c>
      <c r="BT23">
        <f>COUNTIFS(Table2[AwayTeam],$A23,Table2[PredictedWinner], $A23, Table2[GameIsOver], 1)</f>
        <v>10</v>
      </c>
      <c r="BU23">
        <f>COUNTIFS(Table2[HomeTeam],$A23,Table2[PredictedWinner], $A23, Table2[GameIsOver], 1)</f>
        <v>8</v>
      </c>
      <c r="BV23">
        <f>BT23+BU23</f>
        <v>18</v>
      </c>
      <c r="BW23">
        <f>F23-BT23</f>
        <v>7</v>
      </c>
      <c r="BX23">
        <f>H23-BU23</f>
        <v>4</v>
      </c>
      <c r="BY23">
        <f>BW23+BX23</f>
        <v>11</v>
      </c>
      <c r="BZ23">
        <f>Table3[[#This Row],[TimesPredictedWinner]]/Table3[[#This Row],[GP]]</f>
        <v>0.62068965517241381</v>
      </c>
      <c r="CB23">
        <v>1990</v>
      </c>
      <c r="CD23" s="1">
        <v>45758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9.5</v>
      </c>
      <c r="CJ23">
        <f>SUMIFS(Table2[GamePredictionScore], Table2[HomeTeam], Table3[[#This Row],[Teams]])</f>
        <v>5.8999999999999995</v>
      </c>
      <c r="CK23">
        <f>Table3[[#This Row],[Column4]]+Table3[[#This Row],[Column3]]</f>
        <v>15.399999999999999</v>
      </c>
      <c r="CL23">
        <f>Table3[[#This Row],[Column5]]/Table3[[#This Row],[GP]]</f>
        <v>0.53103448275862064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11</v>
      </c>
      <c r="B24" t="s">
        <v>90</v>
      </c>
      <c r="C24" t="s">
        <v>93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24</v>
      </c>
      <c r="E24" s="10">
        <f>Table3[[#This Row],[Watched]]/Table3[[#This Row],[GP]]</f>
        <v>0.88888888888888884</v>
      </c>
      <c r="F24">
        <f>COUNTIFS(DataRegularSeason20242025!$N$3:$N$1315,1,DataRegularSeason20242025!$D$3:$D$1315,$A24)</f>
        <v>13</v>
      </c>
      <c r="G24">
        <f>41-Table3[[#This Row],[GP_A]]</f>
        <v>28</v>
      </c>
      <c r="H24">
        <f>COUNTIFS(DataRegularSeason20242025!$E$3:$E$1315,$A24,DataRegularSeason20242025!$N$3:$N$1315,1)</f>
        <v>14</v>
      </c>
      <c r="I24">
        <f>41-Table3[[#This Row],[GP_H]]</f>
        <v>27</v>
      </c>
      <c r="J24">
        <f>F24+H24</f>
        <v>27</v>
      </c>
      <c r="K24">
        <f>82-Table3[[#This Row],[GP]]</f>
        <v>55</v>
      </c>
      <c r="L24">
        <f>COUNTIFS(DataRegularSeason20242025!$D$3:$D$1315,$A24, DataRegularSeason20242025!$L$3:$L$1315, $A24,DataRegularSeason20242025!$N$3:$N$1315,1)</f>
        <v>5</v>
      </c>
      <c r="M24">
        <f>COUNTIFS(DataRegularSeason20242025!$D$3:$D$1315,$A24, DataRegularSeason20242025!$L$3:$L$1315, $A24,DataRegularSeason20242025!$N$3:$N$1315,1,DataRegularSeason20242025!$M$3:$M$1315,"REG")</f>
        <v>2</v>
      </c>
      <c r="N24">
        <f>COUNTIFS(DataRegularSeason20242025!$D$3:$D$1315,$A24, DataRegularSeason20242025!$L$3:$L$1315, $A24,DataRegularSeason20242025!$N$3:$N$1315,1,DataRegularSeason20242025!$M$3:$M$1315,"OT")</f>
        <v>3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>F24-L24</f>
        <v>8</v>
      </c>
      <c r="Q24">
        <f>COUNTIFS(DataRegularSeason20242025!$D$3:$D$1315,$A24, DataRegularSeason20242025!$S$3:$S$1315, $A24,DataRegularSeason20242025!$M$3:$M$1315,"REG")</f>
        <v>5</v>
      </c>
      <c r="R24">
        <f>COUNTIFS(DataRegularSeason20242025!$D$3:$D$1315,$A24, DataRegularSeason20242025!$S$3:$S$1315, $A24,DataRegularSeason20242025!$M$3:$M$1315,"OT")</f>
        <v>1</v>
      </c>
      <c r="S24">
        <f>COUNTIFS(DataRegularSeason20242025!$D$3:$D$1315,$A24, DataRegularSeason20242025!$S$3:$S$1315, $A24,DataRegularSeason20242025!$M$3:$M$1315,"SO")</f>
        <v>2</v>
      </c>
      <c r="T24">
        <f>COUNTIFS(DataRegularSeason20242025!$E$3:$E$1315,$A24, DataRegularSeason20242025!$L$3:$L$1315, $A24, DataRegularSeason20242025!$N$3:$N$1315,1)</f>
        <v>6</v>
      </c>
      <c r="U24">
        <f>COUNTIFS(DataRegularSeason20242025!$E$3:$E$1315,$A24, DataRegularSeason20242025!$L$3:$L$1315, $A24,DataRegularSeason20242025!$N$3:$N$1315,1,DataRegularSeason20242025!$M$3:$M$1315,"REG")</f>
        <v>5</v>
      </c>
      <c r="V24">
        <f>COUNTIFS(DataRegularSeason20242025!$E$3:$E$1315,$A24, DataRegularSeason20242025!$L$3:$L$1315, $A24,DataRegularSeason20242025!$N$3:$N$1315,1,DataRegularSeason20242025!$M$3:$M$1315,"OT")</f>
        <v>1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>H24-T24</f>
        <v>8</v>
      </c>
      <c r="Y24">
        <f>COUNTIFS(DataRegularSeason20242025!$E$3:$E$1315,$A24, DataRegularSeason20242025!$S$3:$S$1315, $A24,DataRegularSeason20242025!$M$3:$M$1315,"REG")</f>
        <v>5</v>
      </c>
      <c r="Z24">
        <f>COUNTIFS(DataRegularSeason20242025!$E$3:$E$1315,$A24, DataRegularSeason20242025!$S$3:$S$1315, $A24,DataRegularSeason20242025!$M$3:$M$1315,"OT")</f>
        <v>2</v>
      </c>
      <c r="AA24">
        <f>COUNTIFS(DataRegularSeason20242025!$E$3:$E$1315,$A24, DataRegularSeason20242025!$S$3:$S$1315, $A24,DataRegularSeason20242025!$M$3:$M$1315,"SO")</f>
        <v>1</v>
      </c>
      <c r="AB24">
        <f>Table3[[#This Row],[W]]/MAX(1,Table3[[#This Row],[W]]+Table3[[#This Row],[L]])</f>
        <v>0.40740740740740738</v>
      </c>
      <c r="AC24">
        <f>Table3[[#This Row],[W_A]]+Table3[[#This Row],[W_H]]</f>
        <v>11</v>
      </c>
      <c r="AD24">
        <f>Table3[[#This Row],[L_A]]+Table3[[#This Row],[L_H]]</f>
        <v>16</v>
      </c>
      <c r="AE24">
        <f>Table3[[#This Row],[RW_A]]+Table3[[#This Row],[RW_H]]</f>
        <v>7</v>
      </c>
      <c r="AF24">
        <f>Table3[[#This Row],[RL_A]]+Table3[[#This Row],[RL_H]]</f>
        <v>10</v>
      </c>
      <c r="AG24">
        <f>Table3[[#This Row],[OTW_A]]+Table3[[#This Row],[OTW_H]]</f>
        <v>4</v>
      </c>
      <c r="AH24">
        <f>Table3[[#This Row],[OTL_A]]+Table3[[#This Row],[OTL_H]]</f>
        <v>3</v>
      </c>
      <c r="AI24">
        <f>Table3[[#This Row],[SOW_A]]+Table3[[#This Row],[SOW_H]]</f>
        <v>0</v>
      </c>
      <c r="AJ24">
        <f>Table3[[#This Row],[SOL_A]]+Table3[[#This Row],[SOL_H]]</f>
        <v>3</v>
      </c>
      <c r="AK24" s="15" t="str">
        <f>_xlfn.CONCAT(TEXT(Table3[[#This Row],[OTW]]+Table3[[#This Row],[SOW]], "0"), "-", TEXT(Table3[[#This Row],[OTL]]+Table3[[#This Row],[SOL]],"0"))</f>
        <v>4-6</v>
      </c>
      <c r="AL24">
        <f>SUM(Table3[[#This Row],[OTW]],Table3[[#This Row],[OTL]],Table3[[#This Row],[SOW]],Table3[[#This Row],[SOL]])</f>
        <v>10</v>
      </c>
      <c r="AM24">
        <f>(Table3[[#This Row],[OTW]]+Table3[[#This Row],[SOW]])/IF(Table3[[#This Row],[Total_ExtraTimes]]=0,1,Table3[[#This Row],[Total_ExtraTimes]])</f>
        <v>0.4</v>
      </c>
      <c r="AN24">
        <f>Table3[[#This Row],[Total_ExtraTimes]]/MAX(1,Table3[[#This Row],[GP]])</f>
        <v>0.37037037037037035</v>
      </c>
      <c r="AO24">
        <f>(2*(Table3[[#This Row],[W_A]]+Table3[[#This Row],[W_H]]))+Table3[[#This Row],[OTL_A]]+Table3[[#This Row],[SOL_A]]+Table3[[#This Row],[OTL_H]]+Table3[[#This Row],[SOL_H]]</f>
        <v>28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24" s="10">
        <f>Table3[[#This Row],[PTS]]/(2*Table3[[#This Row],[GP]])</f>
        <v>0.51851851851851849</v>
      </c>
      <c r="AR24" s="10">
        <f>Table3[[#This Row],[PTS2]]/(3*Table3[[#This Row],[GP]])</f>
        <v>0.43209876543209874</v>
      </c>
      <c r="AS24">
        <f>(2*Table3[[#This Row],[GR]])+Table3[[#This Row],[PTS]]</f>
        <v>138</v>
      </c>
      <c r="AT24">
        <f>(3*Table3[[#This Row],[GR]])+Table3[[#This Row],[PTS2]]</f>
        <v>200</v>
      </c>
      <c r="AU24">
        <f>Table3[[#This Row],[PTS]]+(2 * Table3[[#This Row],[GR]] * Table3[[#This Row],[PTS%]])</f>
        <v>85.037037037037038</v>
      </c>
      <c r="AV24">
        <f>Table3[[#This Row],[PTS2]]+(3 * Table3[[#This Row],[GR]] * Table3[[#This Row],[PTS%2]])</f>
        <v>106.29629629629629</v>
      </c>
      <c r="AW24" s="15" t="str">
        <f>_xlfn.CONCAT(TEXT(Table3[[#This Row],[W]], "0"), "-", TEXT(Table3[[#This Row],[RL]],"0"), "-", TEXT(Table3[[#This Row],[OTL]]+Table3[[#This Row],[SOL]], "0"))</f>
        <v>11-10-6</v>
      </c>
      <c r="AX24">
        <f>COUNTIFS(DataRegularSeason20242025!$D$3:$D$1315,Table3[[#This Row],[Teams]],DataRegularSeason20242025!$K$3:$K$1315,0)</f>
        <v>1</v>
      </c>
      <c r="AY24">
        <f>SUMIF(DataRegularSeason20242025!$D$3:$D$1315,$A24, DataRegularSeason20242025!$J$3:$J$1315)</f>
        <v>34</v>
      </c>
      <c r="AZ24">
        <f>SUMIF(DataRegularSeason20242025!$D$3:$D$1315,$A24, DataRegularSeason20242025!$K$3:$K$1315)</f>
        <v>44</v>
      </c>
      <c r="BA24">
        <f>AY24-AZ24</f>
        <v>-10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33</v>
      </c>
      <c r="BD24">
        <f>SUMIF(DataRegularSeason20242025!$E$3:$E$1315,$A24,DataRegularSeason20242025!$J$3:$J$1315)</f>
        <v>39</v>
      </c>
      <c r="BE24">
        <f>BC24-BD24</f>
        <v>-6</v>
      </c>
      <c r="BF24">
        <f>AY24+BC24</f>
        <v>67</v>
      </c>
      <c r="BG24">
        <f>AZ24+BD24</f>
        <v>83</v>
      </c>
      <c r="BH24">
        <f>BF24-BG24</f>
        <v>-16</v>
      </c>
      <c r="BI24" s="12">
        <f>Table3[[#This Row],[GF]]/Table3[[#This Row],[GP]]</f>
        <v>2.4814814814814814</v>
      </c>
      <c r="BJ24" s="12">
        <f>Table3[[#This Row],[GA]]/Table3[[#This Row],[GP]]</f>
        <v>3.074074074074074</v>
      </c>
      <c r="BK24" s="12">
        <f>(Table3[[#This Row],[GF]]-Table3[[#This Row],[GA]])/Table3[[#This Row],[GP]]</f>
        <v>-0.59259259259259256</v>
      </c>
      <c r="BL24" s="42" t="str">
        <f>_xlfn.CONCAT(TEXT(Table3[[#This Row],[W_H]], "0"), "-", TEXT(Table3[[#This Row],[RL_H]],"0"), "-", TEXT(Table3[[#This Row],[OTL_H]]+Table3[[#This Row],[SOL_H]], "0"))</f>
        <v>6-5-3</v>
      </c>
      <c r="BM24" s="42" t="str">
        <f>_xlfn.CONCAT(TEXT(Table3[[#This Row],[W_A]], "0"), "-", TEXT(Table3[[#This Row],[RL_A]],"0"), "-", TEXT(Table3[[#This Row],[OTL_A]]+Table3[[#This Row],[SOL_A]], "0"))</f>
        <v>5-5-3</v>
      </c>
      <c r="BN24" s="42">
        <f>((2*(Table3[[#This Row],[W_H]]))+Table3[[#This Row],[OTL_H]]+Table3[[#This Row],[SOL_H]])/(2*Table3[[#This Row],[GP_H]])</f>
        <v>0.5357142857142857</v>
      </c>
      <c r="BO24" s="42">
        <f>((2*(Table3[[#This Row],[W_A]]))+Table3[[#This Row],[OTL_A]]+Table3[[#This Row],[SOL_A]])/(2*Table3[[#This Row],[GP_A]])</f>
        <v>0.5</v>
      </c>
      <c r="BP24" s="16">
        <f>(Table3[[#This Row],[W]]*$CX$3)+(Table3[[#This Row],[L]]*$CX$4)+(Table3[[#This Row],[GF]]*$CX$5)+(Table3[[#This Row],[GA]]*$CX$6)</f>
        <v>28.650000000000002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85.605692729766801</v>
      </c>
      <c r="BR24" s="16">
        <f>(Table3[[#This Row],[W]]*0.7) + ((Table3[[#This Row],[GF]] - Table3[[#This Row],[GA]])*0.25)+(Table3[[#This Row],[GF]]*0.1)+(Table3[[#This Row],[GA]]*0.05)+(Table3[[#This Row],[L]]*0.3)</f>
        <v>19.349999999999998</v>
      </c>
      <c r="BS24" s="16">
        <f>Table3[[#This Row],[TeamCost83]]/Table3[[#This Row],[GP]]</f>
        <v>0.71666666666666656</v>
      </c>
      <c r="BT24">
        <f>COUNTIFS(Table2[AwayTeam],$A24,Table2[PredictedWinner], $A24, Table2[GameIsOver], 1)</f>
        <v>3</v>
      </c>
      <c r="BU24">
        <f>COUNTIFS(Table2[HomeTeam],$A24,Table2[PredictedWinner], $A24, Table2[GameIsOver], 1)</f>
        <v>7</v>
      </c>
      <c r="BV24">
        <f>BT24+BU24</f>
        <v>10</v>
      </c>
      <c r="BW24">
        <f>F24-BT24</f>
        <v>10</v>
      </c>
      <c r="BX24">
        <f>H24-BU24</f>
        <v>7</v>
      </c>
      <c r="BY24">
        <f>BW24+BX24</f>
        <v>17</v>
      </c>
      <c r="BZ24">
        <f>Table3[[#This Row],[TimesPredictedWinner]]/Table3[[#This Row],[GP]]</f>
        <v>0.37037037037037035</v>
      </c>
      <c r="CC24" s="1">
        <v>45745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5.9</v>
      </c>
      <c r="CJ24">
        <f>SUMIFS(Table2[GamePredictionScore], Table2[HomeTeam], Table3[[#This Row],[Teams]])</f>
        <v>2.8</v>
      </c>
      <c r="CK24">
        <f>Table3[[#This Row],[Column4]]+Table3[[#This Row],[Column3]]</f>
        <v>8.6999999999999993</v>
      </c>
      <c r="CL24">
        <f>Table3[[#This Row],[Column5]]/Table3[[#This Row],[GP]]</f>
        <v>0.32222222222222219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21</v>
      </c>
      <c r="B25" t="s">
        <v>90</v>
      </c>
      <c r="C25" t="s">
        <v>88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23</v>
      </c>
      <c r="E25" s="10">
        <f>Table3[[#This Row],[Watched]]/Table3[[#This Row],[GP]]</f>
        <v>0.8214285714285714</v>
      </c>
      <c r="F25">
        <f>COUNTIFS(DataRegularSeason20242025!$N$3:$N$1315,1,DataRegularSeason20242025!$D$3:$D$1315,$A25)</f>
        <v>16</v>
      </c>
      <c r="G25">
        <f>41-Table3[[#This Row],[GP_A]]</f>
        <v>25</v>
      </c>
      <c r="H25">
        <f>COUNTIFS(DataRegularSeason20242025!$E$3:$E$1315,$A25,DataRegularSeason20242025!$N$3:$N$1315,1)</f>
        <v>12</v>
      </c>
      <c r="I25">
        <f>41-Table3[[#This Row],[GP_H]]</f>
        <v>29</v>
      </c>
      <c r="J25">
        <f>F25+H25</f>
        <v>28</v>
      </c>
      <c r="K25">
        <f>82-Table3[[#This Row],[GP]]</f>
        <v>54</v>
      </c>
      <c r="L25">
        <f>COUNTIFS(DataRegularSeason20242025!$D$3:$D$1315,$A25, DataRegularSeason20242025!$L$3:$L$1315, $A25,DataRegularSeason20242025!$N$3:$N$1315,1)</f>
        <v>7</v>
      </c>
      <c r="M25">
        <f>COUNTIFS(DataRegularSeason20242025!$D$3:$D$1315,$A25, DataRegularSeason20242025!$L$3:$L$1315, $A25,DataRegularSeason20242025!$N$3:$N$1315,1,DataRegularSeason20242025!$M$3:$M$1315,"REG")</f>
        <v>5</v>
      </c>
      <c r="N25">
        <f>COUNTIFS(DataRegularSeason20242025!$D$3:$D$1315,$A25, DataRegularSeason20242025!$L$3:$L$1315, $A25,DataRegularSeason20242025!$N$3:$N$1315,1,DataRegularSeason20242025!$M$3:$M$1315,"OT")</f>
        <v>1</v>
      </c>
      <c r="O25">
        <f>COUNTIFS(DataRegularSeason20242025!$D$3:$D$1315,$A25, DataRegularSeason20242025!$L$3:$L$1315, $A25,DataRegularSeason20242025!$N$3:$N$1315,1,DataRegularSeason20242025!$M$3:$M$1315,"SO")</f>
        <v>1</v>
      </c>
      <c r="P25">
        <f>F25-L25</f>
        <v>9</v>
      </c>
      <c r="Q25">
        <f>COUNTIFS(DataRegularSeason20242025!$D$3:$D$1315,$A25, DataRegularSeason20242025!$S$3:$S$1315, $A25,DataRegularSeason20242025!$M$3:$M$1315,"REG")</f>
        <v>8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1</v>
      </c>
      <c r="T25">
        <f>COUNTIFS(DataRegularSeason20242025!$E$3:$E$1315,$A25, DataRegularSeason20242025!$L$3:$L$1315, $A25, DataRegularSeason20242025!$N$3:$N$1315,1)</f>
        <v>7</v>
      </c>
      <c r="U25">
        <f>COUNTIFS(DataRegularSeason20242025!$E$3:$E$1315,$A25, DataRegularSeason20242025!$L$3:$L$1315, $A25,DataRegularSeason20242025!$N$3:$N$1315,1,DataRegularSeason20242025!$M$3:$M$1315,"REG")</f>
        <v>7</v>
      </c>
      <c r="V25">
        <f>COUNTIFS(DataRegularSeason20242025!$E$3:$E$1315,$A25, DataRegularSeason20242025!$L$3:$L$1315, $A25,DataRegularSeason20242025!$N$3:$N$1315,1,DataRegularSeason20242025!$M$3:$M$1315,"OT")</f>
        <v>0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>H25-T25</f>
        <v>5</v>
      </c>
      <c r="Y25">
        <f>COUNTIFS(DataRegularSeason20242025!$E$3:$E$1315,$A25, DataRegularSeason20242025!$S$3:$S$1315, $A25,DataRegularSeason20242025!$M$3:$M$1315,"REG")</f>
        <v>5</v>
      </c>
      <c r="Z25">
        <f>COUNTIFS(DataRegularSeason20242025!$E$3:$E$1315,$A25, DataRegularSeason20242025!$S$3:$S$1315, $A25,DataRegularSeason20242025!$M$3:$M$1315,"OT")</f>
        <v>0</v>
      </c>
      <c r="AA25">
        <f>COUNTIFS(DataRegularSeason20242025!$E$3:$E$1315,$A25, DataRegularSeason20242025!$S$3:$S$1315, $A25,DataRegularSeason20242025!$M$3:$M$1315,"SO")</f>
        <v>0</v>
      </c>
      <c r="AB25">
        <f>Table3[[#This Row],[W]]/MAX(1,Table3[[#This Row],[W]]+Table3[[#This Row],[L]])</f>
        <v>0.5</v>
      </c>
      <c r="AC25">
        <f>Table3[[#This Row],[W_A]]+Table3[[#This Row],[W_H]]</f>
        <v>14</v>
      </c>
      <c r="AD25">
        <f>Table3[[#This Row],[L_A]]+Table3[[#This Row],[L_H]]</f>
        <v>14</v>
      </c>
      <c r="AE25">
        <f>Table3[[#This Row],[RW_A]]+Table3[[#This Row],[RW_H]]</f>
        <v>12</v>
      </c>
      <c r="AF25">
        <f>Table3[[#This Row],[RL_A]]+Table3[[#This Row],[RL_H]]</f>
        <v>13</v>
      </c>
      <c r="AG25">
        <f>Table3[[#This Row],[OTW_A]]+Table3[[#This Row],[OTW_H]]</f>
        <v>1</v>
      </c>
      <c r="AH25">
        <f>Table3[[#This Row],[OTL_A]]+Table3[[#This Row],[OTL_H]]</f>
        <v>0</v>
      </c>
      <c r="AI25">
        <f>Table3[[#This Row],[SOW_A]]+Table3[[#This Row],[SOW_H]]</f>
        <v>1</v>
      </c>
      <c r="AJ25">
        <f>Table3[[#This Row],[SOL_A]]+Table3[[#This Row],[SOL_H]]</f>
        <v>1</v>
      </c>
      <c r="AK25" s="15" t="str">
        <f>_xlfn.CONCAT(TEXT(Table3[[#This Row],[OTW]]+Table3[[#This Row],[SOW]], "0"), "-", TEXT(Table3[[#This Row],[OTL]]+Table3[[#This Row],[SOL]],"0"))</f>
        <v>2-1</v>
      </c>
      <c r="AL25">
        <f>SUM(Table3[[#This Row],[OTW]],Table3[[#This Row],[OTL]],Table3[[#This Row],[SOW]],Table3[[#This Row],[SOL]])</f>
        <v>3</v>
      </c>
      <c r="AM25">
        <f>(Table3[[#This Row],[OTW]]+Table3[[#This Row],[SOW]])/IF(Table3[[#This Row],[Total_ExtraTimes]]=0,1,Table3[[#This Row],[Total_ExtraTimes]])</f>
        <v>0.66666666666666663</v>
      </c>
      <c r="AN25">
        <f>Table3[[#This Row],[Total_ExtraTimes]]/MAX(1,Table3[[#This Row],[GP]])</f>
        <v>0.10714285714285714</v>
      </c>
      <c r="AO25">
        <f>(2*(Table3[[#This Row],[W_A]]+Table3[[#This Row],[W_H]]))+Table3[[#This Row],[OTL_A]]+Table3[[#This Row],[SOL_A]]+Table3[[#This Row],[OTL_H]]+Table3[[#This Row],[SOL_H]]</f>
        <v>29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5" s="10">
        <f>Table3[[#This Row],[PTS]]/(2*Table3[[#This Row],[GP]])</f>
        <v>0.5178571428571429</v>
      </c>
      <c r="AR25" s="10">
        <f>Table3[[#This Row],[PTS2]]/(3*Table3[[#This Row],[GP]])</f>
        <v>0.48809523809523808</v>
      </c>
      <c r="AS25">
        <f>(2*Table3[[#This Row],[GR]])+Table3[[#This Row],[PTS]]</f>
        <v>137</v>
      </c>
      <c r="AT25">
        <f>(3*Table3[[#This Row],[GR]])+Table3[[#This Row],[PTS2]]</f>
        <v>203</v>
      </c>
      <c r="AU25">
        <f>Table3[[#This Row],[PTS]]+(2 * Table3[[#This Row],[GR]] * Table3[[#This Row],[PTS%]])</f>
        <v>84.928571428571431</v>
      </c>
      <c r="AV25">
        <f>Table3[[#This Row],[PTS2]]+(3 * Table3[[#This Row],[GR]] * Table3[[#This Row],[PTS%2]])</f>
        <v>120.07142857142857</v>
      </c>
      <c r="AW25" s="15" t="str">
        <f>_xlfn.CONCAT(TEXT(Table3[[#This Row],[W]], "0"), "-", TEXT(Table3[[#This Row],[RL]],"0"), "-", TEXT(Table3[[#This Row],[OTL]]+Table3[[#This Row],[SOL]], "0"))</f>
        <v>14-13-1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44</v>
      </c>
      <c r="AZ25">
        <f>SUMIF(DataRegularSeason20242025!$D$3:$D$1315,$A25, DataRegularSeason20242025!$K$3:$K$1315)</f>
        <v>53</v>
      </c>
      <c r="BA25">
        <f>AY25-AZ25</f>
        <v>-9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41</v>
      </c>
      <c r="BD25">
        <f>SUMIF(DataRegularSeason20242025!$E$3:$E$1315,$A25,DataRegularSeason20242025!$J$3:$J$1315)</f>
        <v>32</v>
      </c>
      <c r="BE25">
        <f>BC25-BD25</f>
        <v>9</v>
      </c>
      <c r="BF25">
        <f>AY25+BC25</f>
        <v>85</v>
      </c>
      <c r="BG25">
        <f>AZ25+BD25</f>
        <v>85</v>
      </c>
      <c r="BH25">
        <f>BF25-BG25</f>
        <v>0</v>
      </c>
      <c r="BI25" s="12">
        <f>Table3[[#This Row],[GF]]/Table3[[#This Row],[GP]]</f>
        <v>3.0357142857142856</v>
      </c>
      <c r="BJ25" s="12">
        <f>Table3[[#This Row],[GA]]/Table3[[#This Row],[GP]]</f>
        <v>3.0357142857142856</v>
      </c>
      <c r="BK25" s="12">
        <f>(Table3[[#This Row],[GF]]-Table3[[#This Row],[GA]])/Table3[[#This Row],[GP]]</f>
        <v>0</v>
      </c>
      <c r="BL25" s="42" t="str">
        <f>_xlfn.CONCAT(TEXT(Table3[[#This Row],[W_H]], "0"), "-", TEXT(Table3[[#This Row],[RL_H]],"0"), "-", TEXT(Table3[[#This Row],[OTL_H]]+Table3[[#This Row],[SOL_H]], "0"))</f>
        <v>7-5-0</v>
      </c>
      <c r="BM25" s="42" t="str">
        <f>_xlfn.CONCAT(TEXT(Table3[[#This Row],[W_A]], "0"), "-", TEXT(Table3[[#This Row],[RL_A]],"0"), "-", TEXT(Table3[[#This Row],[OTL_A]]+Table3[[#This Row],[SOL_A]], "0"))</f>
        <v>7-8-1</v>
      </c>
      <c r="BN25" s="42">
        <f>((2*(Table3[[#This Row],[W_H]]))+Table3[[#This Row],[OTL_H]]+Table3[[#This Row],[SOL_H]])/(2*Table3[[#This Row],[GP_H]])</f>
        <v>0.58333333333333337</v>
      </c>
      <c r="BO25" s="42">
        <f>((2*(Table3[[#This Row],[W_A]]))+Table3[[#This Row],[OTL_A]]+Table3[[#This Row],[SOL_A]])/(2*Table3[[#This Row],[GP_A]])</f>
        <v>0.46875</v>
      </c>
      <c r="BP25" s="16">
        <f>(Table3[[#This Row],[W]]*$CX$3)+(Table3[[#This Row],[L]]*$CX$4)+(Table3[[#This Row],[GF]]*$CX$5)+(Table3[[#This Row],[GA]]*$CX$6)</f>
        <v>32.450000000000003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95.864030612244903</v>
      </c>
      <c r="BR25" s="16">
        <f>(Table3[[#This Row],[W]]*0.7) + ((Table3[[#This Row],[GF]] - Table3[[#This Row],[GA]])*0.25)+(Table3[[#This Row],[GF]]*0.1)+(Table3[[#This Row],[GA]]*0.05)+(Table3[[#This Row],[L]]*0.3)</f>
        <v>26.749999999999996</v>
      </c>
      <c r="BS25" s="16">
        <f>Table3[[#This Row],[TeamCost83]]/Table3[[#This Row],[GP]]</f>
        <v>0.95535714285714268</v>
      </c>
      <c r="BT25">
        <f>COUNTIFS(Table2[AwayTeam],$A25,Table2[PredictedWinner], $A25, Table2[GameIsOver], 1)</f>
        <v>9</v>
      </c>
      <c r="BU25">
        <f>COUNTIFS(Table2[HomeTeam],$A25,Table2[PredictedWinner], $A25, Table2[GameIsOver], 1)</f>
        <v>9</v>
      </c>
      <c r="BV25">
        <f>BT25+BU25</f>
        <v>18</v>
      </c>
      <c r="BW25">
        <f>F25-BT25</f>
        <v>7</v>
      </c>
      <c r="BX25">
        <f>H25-BU25</f>
        <v>3</v>
      </c>
      <c r="BY25">
        <f>BW25+BX25</f>
        <v>10</v>
      </c>
      <c r="BZ25">
        <f>Table3[[#This Row],[TimesPredictedWinner]]/Table3[[#This Row],[GP]]</f>
        <v>0.6428571428571429</v>
      </c>
      <c r="CD25" s="1">
        <v>45741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5.8000000000000007</v>
      </c>
      <c r="CJ25">
        <f>SUMIFS(Table2[GamePredictionScore], Table2[HomeTeam], Table3[[#This Row],[Teams]])</f>
        <v>7.1000000000000005</v>
      </c>
      <c r="CK25">
        <f>Table3[[#This Row],[Column4]]+Table3[[#This Row],[Column3]]</f>
        <v>12.900000000000002</v>
      </c>
      <c r="CL25">
        <f>Table3[[#This Row],[Column5]]/Table3[[#This Row],[GP]]</f>
        <v>0.4607142857142858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16</v>
      </c>
      <c r="B26" t="s">
        <v>90</v>
      </c>
      <c r="C26" t="s">
        <v>88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27</v>
      </c>
      <c r="E26" s="10">
        <f>Table3[[#This Row],[Watched]]/Table3[[#This Row],[GP]]</f>
        <v>0.93103448275862066</v>
      </c>
      <c r="F26">
        <f>COUNTIFS(DataRegularSeason20242025!$N$3:$N$1315,1,DataRegularSeason20242025!$D$3:$D$1315,$A26)</f>
        <v>15</v>
      </c>
      <c r="G26">
        <f>41-Table3[[#This Row],[GP_A]]</f>
        <v>26</v>
      </c>
      <c r="H26">
        <f>COUNTIFS(DataRegularSeason20242025!$E$3:$E$1315,$A26,DataRegularSeason20242025!$N$3:$N$1315,1)</f>
        <v>14</v>
      </c>
      <c r="I26">
        <f>41-Table3[[#This Row],[GP_H]]</f>
        <v>27</v>
      </c>
      <c r="J26">
        <f>F26+H26</f>
        <v>29</v>
      </c>
      <c r="K26">
        <f>82-Table3[[#This Row],[GP]]</f>
        <v>53</v>
      </c>
      <c r="L26">
        <f>COUNTIFS(DataRegularSeason20242025!$D$3:$D$1315,$A26, DataRegularSeason20242025!$L$3:$L$1315, $A26,DataRegularSeason20242025!$N$3:$N$1315,1)</f>
        <v>6</v>
      </c>
      <c r="M26">
        <f>COUNTIFS(DataRegularSeason20242025!$D$3:$D$1315,$A26, DataRegularSeason20242025!$L$3:$L$1315, $A26,DataRegularSeason20242025!$N$3:$N$1315,1,DataRegularSeason20242025!$M$3:$M$1315,"REG")</f>
        <v>6</v>
      </c>
      <c r="N26">
        <f>COUNTIFS(DataRegularSeason20242025!$D$3:$D$1315,$A26, DataRegularSeason20242025!$L$3:$L$1315, $A26,DataRegularSeason20242025!$N$3:$N$1315,1,DataRegularSeason20242025!$M$3:$M$1315,"OT")</f>
        <v>0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>F26-L26</f>
        <v>9</v>
      </c>
      <c r="Q26">
        <f>COUNTIFS(DataRegularSeason20242025!$D$3:$D$1315,$A26, DataRegularSeason20242025!$S$3:$S$1315, $A26,DataRegularSeason20242025!$M$3:$M$1315,"REG")</f>
        <v>6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6</v>
      </c>
      <c r="U26">
        <f>COUNTIFS(DataRegularSeason20242025!$E$3:$E$1315,$A26, DataRegularSeason20242025!$L$3:$L$1315, $A26,DataRegularSeason20242025!$N$3:$N$1315,1,DataRegularSeason20242025!$M$3:$M$1315,"REG")</f>
        <v>5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8</v>
      </c>
      <c r="Y26">
        <f>COUNTIFS(DataRegularSeason20242025!$E$3:$E$1315,$A26, DataRegularSeason20242025!$S$3:$S$1315, $A26,DataRegularSeason20242025!$M$3:$M$1315,"REG")</f>
        <v>5</v>
      </c>
      <c r="Z26">
        <f>COUNTIFS(DataRegularSeason20242025!$E$3:$E$1315,$A26, DataRegularSeason20242025!$S$3:$S$1315, $A26,DataRegularSeason20242025!$M$3:$M$1315,"OT")</f>
        <v>2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0.41379310344827586</v>
      </c>
      <c r="AC26">
        <f>Table3[[#This Row],[W_A]]+Table3[[#This Row],[W_H]]</f>
        <v>12</v>
      </c>
      <c r="AD26">
        <f>Table3[[#This Row],[L_A]]+Table3[[#This Row],[L_H]]</f>
        <v>17</v>
      </c>
      <c r="AE26">
        <f>Table3[[#This Row],[RW_A]]+Table3[[#This Row],[RW_H]]</f>
        <v>11</v>
      </c>
      <c r="AF26">
        <f>Table3[[#This Row],[RL_A]]+Table3[[#This Row],[RL_H]]</f>
        <v>11</v>
      </c>
      <c r="AG26">
        <f>Table3[[#This Row],[OTW_A]]+Table3[[#This Row],[OTW_H]]</f>
        <v>1</v>
      </c>
      <c r="AH26">
        <f>Table3[[#This Row],[OTL_A]]+Table3[[#This Row],[OTL_H]]</f>
        <v>4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1-6</v>
      </c>
      <c r="AL26">
        <f>SUM(Table3[[#This Row],[OTW]],Table3[[#This Row],[OTL]],Table3[[#This Row],[SOW]],Table3[[#This Row],[SOL]])</f>
        <v>7</v>
      </c>
      <c r="AM26">
        <f>(Table3[[#This Row],[OTW]]+Table3[[#This Row],[SOW]])/IF(Table3[[#This Row],[Total_ExtraTimes]]=0,1,Table3[[#This Row],[Total_ExtraTimes]])</f>
        <v>0.14285714285714285</v>
      </c>
      <c r="AN26">
        <f>Table3[[#This Row],[Total_ExtraTimes]]/MAX(1,Table3[[#This Row],[GP]])</f>
        <v>0.2413793103448276</v>
      </c>
      <c r="AO26">
        <f>(2*(Table3[[#This Row],[W_A]]+Table3[[#This Row],[W_H]]))+Table3[[#This Row],[OTL_A]]+Table3[[#This Row],[SOL_A]]+Table3[[#This Row],[OTL_H]]+Table3[[#This Row],[SOL_H]]</f>
        <v>30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6" s="10">
        <f>Table3[[#This Row],[PTS]]/(2*Table3[[#This Row],[GP]])</f>
        <v>0.51724137931034486</v>
      </c>
      <c r="AR26" s="10">
        <f>Table3[[#This Row],[PTS2]]/(3*Table3[[#This Row],[GP]])</f>
        <v>0.47126436781609193</v>
      </c>
      <c r="AS26">
        <f>(2*Table3[[#This Row],[GR]])+Table3[[#This Row],[PTS]]</f>
        <v>136</v>
      </c>
      <c r="AT26">
        <f>(3*Table3[[#This Row],[GR]])+Table3[[#This Row],[PTS2]]</f>
        <v>200</v>
      </c>
      <c r="AU26">
        <f>Table3[[#This Row],[PTS]]+(2 * Table3[[#This Row],[GR]] * Table3[[#This Row],[PTS%]])</f>
        <v>84.827586206896555</v>
      </c>
      <c r="AV26">
        <f>Table3[[#This Row],[PTS2]]+(3 * Table3[[#This Row],[GR]] * Table3[[#This Row],[PTS%2]])</f>
        <v>115.93103448275862</v>
      </c>
      <c r="AW26" s="15" t="str">
        <f>_xlfn.CONCAT(TEXT(Table3[[#This Row],[W]], "0"), "-", TEXT(Table3[[#This Row],[RL]],"0"), "-", TEXT(Table3[[#This Row],[OTL]]+Table3[[#This Row],[SOL]], "0"))</f>
        <v>12-11-6</v>
      </c>
      <c r="AX26">
        <f>COUNTIFS(DataRegularSeason20242025!$D$3:$D$1315,Table3[[#This Row],[Teams]],DataRegularSeason20242025!$K$3:$K$1315,0)</f>
        <v>1</v>
      </c>
      <c r="AY26">
        <f>SUMIF(DataRegularSeason20242025!$D$3:$D$1315,$A26, DataRegularSeason20242025!$J$3:$J$1315)</f>
        <v>45</v>
      </c>
      <c r="AZ26">
        <f>SUMIF(DataRegularSeason20242025!$D$3:$D$1315,$A26, DataRegularSeason20242025!$K$3:$K$1315)</f>
        <v>54</v>
      </c>
      <c r="BA26">
        <f>AY26-AZ26</f>
        <v>-9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41</v>
      </c>
      <c r="BD26">
        <f>SUMIF(DataRegularSeason20242025!$E$3:$E$1315,$A26,DataRegularSeason20242025!$J$3:$J$1315)</f>
        <v>37</v>
      </c>
      <c r="BE26">
        <f>BC26-BD26</f>
        <v>4</v>
      </c>
      <c r="BF26">
        <f>AY26+BC26</f>
        <v>86</v>
      </c>
      <c r="BG26">
        <f>AZ26+BD26</f>
        <v>91</v>
      </c>
      <c r="BH26">
        <f>BF26-BG26</f>
        <v>-5</v>
      </c>
      <c r="BI26" s="12">
        <f>Table3[[#This Row],[GF]]/Table3[[#This Row],[GP]]</f>
        <v>2.9655172413793105</v>
      </c>
      <c r="BJ26" s="12">
        <f>Table3[[#This Row],[GA]]/Table3[[#This Row],[GP]]</f>
        <v>3.1379310344827585</v>
      </c>
      <c r="BK26" s="12">
        <f>(Table3[[#This Row],[GF]]-Table3[[#This Row],[GA]])/Table3[[#This Row],[GP]]</f>
        <v>-0.17241379310344829</v>
      </c>
      <c r="BL26" s="42" t="str">
        <f>_xlfn.CONCAT(TEXT(Table3[[#This Row],[W_H]], "0"), "-", TEXT(Table3[[#This Row],[RL_H]],"0"), "-", TEXT(Table3[[#This Row],[OTL_H]]+Table3[[#This Row],[SOL_H]], "0"))</f>
        <v>6-5-3</v>
      </c>
      <c r="BM26" s="42" t="str">
        <f>_xlfn.CONCAT(TEXT(Table3[[#This Row],[W_A]], "0"), "-", TEXT(Table3[[#This Row],[RL_A]],"0"), "-", TEXT(Table3[[#This Row],[OTL_A]]+Table3[[#This Row],[SOL_A]], "0"))</f>
        <v>6-6-3</v>
      </c>
      <c r="BN26" s="42">
        <f>((2*(Table3[[#This Row],[W_H]]))+Table3[[#This Row],[OTL_H]]+Table3[[#This Row],[SOL_H]])/(2*Table3[[#This Row],[GP_H]])</f>
        <v>0.5357142857142857</v>
      </c>
      <c r="BO26" s="42">
        <f>((2*(Table3[[#This Row],[W_A]]))+Table3[[#This Row],[OTL_A]]+Table3[[#This Row],[SOL_A]])/(2*Table3[[#This Row],[GP_A]])</f>
        <v>0.5</v>
      </c>
      <c r="BP26" s="16">
        <f>(Table3[[#This Row],[W]]*$CX$3)+(Table3[[#This Row],[L]]*$CX$4)+(Table3[[#This Row],[GF]]*$CX$5)+(Table3[[#This Row],[GA]]*$CX$6)</f>
        <v>33.1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96.447681331747916</v>
      </c>
      <c r="BR26" s="16">
        <f>(Table3[[#This Row],[W]]*0.7) + ((Table3[[#This Row],[GF]] - Table3[[#This Row],[GA]])*0.25)+(Table3[[#This Row],[GF]]*0.1)+(Table3[[#This Row],[GA]]*0.05)+(Table3[[#This Row],[L]]*0.3)</f>
        <v>25.4</v>
      </c>
      <c r="BS26" s="16">
        <f>Table3[[#This Row],[TeamCost83]]/Table3[[#This Row],[GP]]</f>
        <v>0.87586206896551722</v>
      </c>
      <c r="BT26">
        <f>COUNTIFS(Table2[AwayTeam],$A26,Table2[PredictedWinner], $A26, Table2[GameIsOver], 1)</f>
        <v>6</v>
      </c>
      <c r="BU26">
        <f>COUNTIFS(Table2[HomeTeam],$A26,Table2[PredictedWinner], $A26, Table2[GameIsOver], 1)</f>
        <v>4</v>
      </c>
      <c r="BV26">
        <f>BT26+BU26</f>
        <v>10</v>
      </c>
      <c r="BW26">
        <f>F26-BT26</f>
        <v>9</v>
      </c>
      <c r="BX26">
        <f>H26-BU26</f>
        <v>10</v>
      </c>
      <c r="BY26">
        <f>BW26+BX26</f>
        <v>19</v>
      </c>
      <c r="BZ26">
        <f>Table3[[#This Row],[TimesPredictedWinner]]/Table3[[#This Row],[GP]]</f>
        <v>0.34482758620689657</v>
      </c>
      <c r="CB26">
        <v>2015</v>
      </c>
      <c r="CC26" s="1">
        <v>45736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7.4999999999999991</v>
      </c>
      <c r="CJ26">
        <f>SUMIFS(Table2[GamePredictionScore], Table2[HomeTeam], Table3[[#This Row],[Teams]])</f>
        <v>3.4000000000000004</v>
      </c>
      <c r="CK26">
        <f>Table3[[#This Row],[Column4]]+Table3[[#This Row],[Column3]]</f>
        <v>10.899999999999999</v>
      </c>
      <c r="CL26">
        <f>Table3[[#This Row],[Column5]]/Table3[[#This Row],[GP]]</f>
        <v>0.37586206896551722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37</v>
      </c>
      <c r="B27" t="s">
        <v>90</v>
      </c>
      <c r="C27" t="s">
        <v>93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23</v>
      </c>
      <c r="E27" s="10">
        <f>Table3[[#This Row],[Watched]]/Table3[[#This Row],[GP]]</f>
        <v>0.76666666666666672</v>
      </c>
      <c r="F27">
        <f>COUNTIFS(DataRegularSeason20242025!$N$3:$N$1315,1,DataRegularSeason20242025!$D$3:$D$1315,$A27)</f>
        <v>13</v>
      </c>
      <c r="G27">
        <f>41-Table3[[#This Row],[GP_A]]</f>
        <v>28</v>
      </c>
      <c r="H27">
        <f>COUNTIFS(DataRegularSeason20242025!$E$3:$E$1315,$A27,DataRegularSeason20242025!$N$3:$N$1315,1)</f>
        <v>17</v>
      </c>
      <c r="I27">
        <f>41-Table3[[#This Row],[GP_H]]</f>
        <v>24</v>
      </c>
      <c r="J27">
        <f>F27+H27</f>
        <v>30</v>
      </c>
      <c r="K27">
        <f>82-Table3[[#This Row],[GP]]</f>
        <v>52</v>
      </c>
      <c r="L27">
        <f>COUNTIFS(DataRegularSeason20242025!$D$3:$D$1315,$A27, DataRegularSeason20242025!$L$3:$L$1315, $A27,DataRegularSeason20242025!$N$3:$N$1315,1)</f>
        <v>5</v>
      </c>
      <c r="M27">
        <f>COUNTIFS(DataRegularSeason20242025!$D$3:$D$1315,$A27, DataRegularSeason20242025!$L$3:$L$1315, $A27,DataRegularSeason20242025!$N$3:$N$1315,1,DataRegularSeason20242025!$M$3:$M$1315,"REG")</f>
        <v>2</v>
      </c>
      <c r="N27">
        <f>COUNTIFS(DataRegularSeason20242025!$D$3:$D$1315,$A27, DataRegularSeason20242025!$L$3:$L$1315, $A27,DataRegularSeason20242025!$N$3:$N$1315,1,DataRegularSeason20242025!$M$3:$M$1315,"OT")</f>
        <v>3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8</v>
      </c>
      <c r="Q27">
        <f>COUNTIFS(DataRegularSeason20242025!$D$3:$D$1315,$A27, DataRegularSeason20242025!$S$3:$S$1315, $A27,DataRegularSeason20242025!$M$3:$M$1315,"REG")</f>
        <v>8</v>
      </c>
      <c r="R27">
        <f>COUNTIFS(DataRegularSeason20242025!$D$3:$D$1315,$A27, DataRegularSeason20242025!$S$3:$S$1315, $A27,DataRegularSeason20242025!$M$3:$M$1315,"OT")</f>
        <v>0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9</v>
      </c>
      <c r="U27">
        <f>COUNTIFS(DataRegularSeason20242025!$E$3:$E$1315,$A27, DataRegularSeason20242025!$L$3:$L$1315, $A27,DataRegularSeason20242025!$N$3:$N$1315,1,DataRegularSeason20242025!$M$3:$M$1315,"REG")</f>
        <v>6</v>
      </c>
      <c r="V27">
        <f>COUNTIFS(DataRegularSeason20242025!$E$3:$E$1315,$A27, DataRegularSeason20242025!$L$3:$L$1315, $A27,DataRegularSeason20242025!$N$3:$N$1315,1,DataRegularSeason20242025!$M$3:$M$1315,"OT")</f>
        <v>2</v>
      </c>
      <c r="W27">
        <f>COUNTIFS(DataRegularSeason20242025!$E$3:$E$1315,$A27, DataRegularSeason20242025!$L$3:$L$1315, $A27,DataRegularSeason20242025!$N$3:$N$1315,1,DataRegularSeason20242025!$M$3:$M$1315,"SO")</f>
        <v>1</v>
      </c>
      <c r="X27">
        <f>H27-T27</f>
        <v>8</v>
      </c>
      <c r="Y27">
        <f>COUNTIFS(DataRegularSeason20242025!$E$3:$E$1315,$A27, DataRegularSeason20242025!$S$3:$S$1315, $A27,DataRegularSeason20242025!$M$3:$M$1315,"REG")</f>
        <v>5</v>
      </c>
      <c r="Z27">
        <f>COUNTIFS(DataRegularSeason20242025!$E$3:$E$1315,$A27, DataRegularSeason20242025!$S$3:$S$1315, $A27,DataRegularSeason20242025!$M$3:$M$1315,"OT")</f>
        <v>2</v>
      </c>
      <c r="AA27">
        <f>COUNTIFS(DataRegularSeason20242025!$E$3:$E$1315,$A27, DataRegularSeason20242025!$S$3:$S$1315, $A27,DataRegularSeason20242025!$M$3:$M$1315,"SO")</f>
        <v>1</v>
      </c>
      <c r="AB27">
        <f>Table3[[#This Row],[W]]/MAX(1,Table3[[#This Row],[W]]+Table3[[#This Row],[L]])</f>
        <v>0.46666666666666667</v>
      </c>
      <c r="AC27">
        <f>Table3[[#This Row],[W_A]]+Table3[[#This Row],[W_H]]</f>
        <v>14</v>
      </c>
      <c r="AD27">
        <f>Table3[[#This Row],[L_A]]+Table3[[#This Row],[L_H]]</f>
        <v>16</v>
      </c>
      <c r="AE27">
        <f>Table3[[#This Row],[RW_A]]+Table3[[#This Row],[RW_H]]</f>
        <v>8</v>
      </c>
      <c r="AF27">
        <f>Table3[[#This Row],[RL_A]]+Table3[[#This Row],[RL_H]]</f>
        <v>13</v>
      </c>
      <c r="AG27">
        <f>Table3[[#This Row],[OTW_A]]+Table3[[#This Row],[OTW_H]]</f>
        <v>5</v>
      </c>
      <c r="AH27">
        <f>Table3[[#This Row],[OTL_A]]+Table3[[#This Row],[OTL_H]]</f>
        <v>2</v>
      </c>
      <c r="AI27">
        <f>Table3[[#This Row],[SOW_A]]+Table3[[#This Row],[SOW_H]]</f>
        <v>1</v>
      </c>
      <c r="AJ27">
        <f>Table3[[#This Row],[SOL_A]]+Table3[[#This Row],[SOL_H]]</f>
        <v>1</v>
      </c>
      <c r="AK27" s="15" t="str">
        <f>_xlfn.CONCAT(TEXT(Table3[[#This Row],[OTW]]+Table3[[#This Row],[SOW]], "0"), "-", TEXT(Table3[[#This Row],[OTL]]+Table3[[#This Row],[SOL]],"0"))</f>
        <v>6-3</v>
      </c>
      <c r="AL27">
        <f>SUM(Table3[[#This Row],[OTW]],Table3[[#This Row],[OTL]],Table3[[#This Row],[SOW]],Table3[[#This Row],[SOL]])</f>
        <v>9</v>
      </c>
      <c r="AM27">
        <f>(Table3[[#This Row],[OTW]]+Table3[[#This Row],[SOW]])/IF(Table3[[#This Row],[Total_ExtraTimes]]=0,1,Table3[[#This Row],[Total_ExtraTimes]])</f>
        <v>0.66666666666666663</v>
      </c>
      <c r="AN27">
        <f>Table3[[#This Row],[Total_ExtraTimes]]/MAX(1,Table3[[#This Row],[GP]])</f>
        <v>0.3</v>
      </c>
      <c r="AO27">
        <f>(2*(Table3[[#This Row],[W_A]]+Table3[[#This Row],[W_H]]))+Table3[[#This Row],[OTL_A]]+Table3[[#This Row],[SOL_A]]+Table3[[#This Row],[OTL_H]]+Table3[[#This Row],[SOL_H]]</f>
        <v>31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7" s="10">
        <f>Table3[[#This Row],[PTS]]/(2*Table3[[#This Row],[GP]])</f>
        <v>0.51666666666666672</v>
      </c>
      <c r="AR27" s="10">
        <f>Table3[[#This Row],[PTS2]]/(3*Table3[[#This Row],[GP]])</f>
        <v>0.43333333333333335</v>
      </c>
      <c r="AS27">
        <f>(2*Table3[[#This Row],[GR]])+Table3[[#This Row],[PTS]]</f>
        <v>135</v>
      </c>
      <c r="AT27">
        <f>(3*Table3[[#This Row],[GR]])+Table3[[#This Row],[PTS2]]</f>
        <v>195</v>
      </c>
      <c r="AU27">
        <f>Table3[[#This Row],[PTS]]+(2 * Table3[[#This Row],[GR]] * Table3[[#This Row],[PTS%]])</f>
        <v>84.733333333333348</v>
      </c>
      <c r="AV27">
        <f>Table3[[#This Row],[PTS2]]+(3 * Table3[[#This Row],[GR]] * Table3[[#This Row],[PTS%2]])</f>
        <v>106.60000000000001</v>
      </c>
      <c r="AW27" s="15" t="str">
        <f>_xlfn.CONCAT(TEXT(Table3[[#This Row],[W]], "0"), "-", TEXT(Table3[[#This Row],[RL]],"0"), "-", TEXT(Table3[[#This Row],[OTL]]+Table3[[#This Row],[SOL]], "0"))</f>
        <v>14-13-3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36</v>
      </c>
      <c r="AZ27">
        <f>SUMIF(DataRegularSeason20242025!$D$3:$D$1315,$A27, DataRegularSeason20242025!$K$3:$K$1315)</f>
        <v>46</v>
      </c>
      <c r="BA27">
        <f>AY27-AZ27</f>
        <v>-10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50</v>
      </c>
      <c r="BD27">
        <f>SUMIF(DataRegularSeason20242025!$E$3:$E$1315,$A27,DataRegularSeason20242025!$J$3:$J$1315)</f>
        <v>53</v>
      </c>
      <c r="BE27">
        <f>BC27-BD27</f>
        <v>-3</v>
      </c>
      <c r="BF27">
        <f>AY27+BC27</f>
        <v>86</v>
      </c>
      <c r="BG27">
        <f>AZ27+BD27</f>
        <v>99</v>
      </c>
      <c r="BH27">
        <f>BF27-BG27</f>
        <v>-13</v>
      </c>
      <c r="BI27" s="12">
        <f>Table3[[#This Row],[GF]]/Table3[[#This Row],[GP]]</f>
        <v>2.8666666666666667</v>
      </c>
      <c r="BJ27" s="12">
        <f>Table3[[#This Row],[GA]]/Table3[[#This Row],[GP]]</f>
        <v>3.3</v>
      </c>
      <c r="BK27" s="12">
        <f>(Table3[[#This Row],[GF]]-Table3[[#This Row],[GA]])/Table3[[#This Row],[GP]]</f>
        <v>-0.43333333333333335</v>
      </c>
      <c r="BL27" s="42" t="str">
        <f>_xlfn.CONCAT(TEXT(Table3[[#This Row],[W_H]], "0"), "-", TEXT(Table3[[#This Row],[RL_H]],"0"), "-", TEXT(Table3[[#This Row],[OTL_H]]+Table3[[#This Row],[SOL_H]], "0"))</f>
        <v>9-5-3</v>
      </c>
      <c r="BM27" s="42" t="str">
        <f>_xlfn.CONCAT(TEXT(Table3[[#This Row],[W_A]], "0"), "-", TEXT(Table3[[#This Row],[RL_A]],"0"), "-", TEXT(Table3[[#This Row],[OTL_A]]+Table3[[#This Row],[SOL_A]], "0"))</f>
        <v>5-8-0</v>
      </c>
      <c r="BN27" s="42">
        <f>((2*(Table3[[#This Row],[W_H]]))+Table3[[#This Row],[OTL_H]]+Table3[[#This Row],[SOL_H]])/(2*Table3[[#This Row],[GP_H]])</f>
        <v>0.61764705882352944</v>
      </c>
      <c r="BO27" s="42">
        <f>((2*(Table3[[#This Row],[W_A]]))+Table3[[#This Row],[OTL_A]]+Table3[[#This Row],[SOL_A]])/(2*Table3[[#This Row],[GP_A]])</f>
        <v>0.38461538461538464</v>
      </c>
      <c r="BP27" s="16">
        <f>(Table3[[#This Row],[W]]*$CX$3)+(Table3[[#This Row],[L]]*$CX$4)+(Table3[[#This Row],[GF]]*$CX$5)+(Table3[[#This Row],[GA]]*$CX$6)</f>
        <v>34.6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98.02244444444446</v>
      </c>
      <c r="BR27" s="16">
        <f>(Table3[[#This Row],[W]]*0.7) + ((Table3[[#This Row],[GF]] - Table3[[#This Row],[GA]])*0.25)+(Table3[[#This Row],[GF]]*0.1)+(Table3[[#This Row],[GA]]*0.05)+(Table3[[#This Row],[L]]*0.3)</f>
        <v>24.9</v>
      </c>
      <c r="BS27" s="16">
        <f>Table3[[#This Row],[TeamCost83]]/Table3[[#This Row],[GP]]</f>
        <v>0.83</v>
      </c>
      <c r="BT27">
        <f>COUNTIFS(Table2[AwayTeam],$A27,Table2[PredictedWinner], $A27, Table2[GameIsOver], 1)</f>
        <v>7</v>
      </c>
      <c r="BU27">
        <f>COUNTIFS(Table2[HomeTeam],$A27,Table2[PredictedWinner], $A27, Table2[GameIsOver], 1)</f>
        <v>10</v>
      </c>
      <c r="BV27">
        <f>BT27+BU27</f>
        <v>17</v>
      </c>
      <c r="BW27">
        <f>F27-BT27</f>
        <v>6</v>
      </c>
      <c r="BX27">
        <f>H27-BU27</f>
        <v>7</v>
      </c>
      <c r="BY27">
        <f>BW27+BX27</f>
        <v>13</v>
      </c>
      <c r="BZ27">
        <f>Table3[[#This Row],[TimesPredictedWinner]]/Table3[[#This Row],[GP]]</f>
        <v>0.56666666666666665</v>
      </c>
      <c r="CC27" s="1">
        <v>45732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6.1</v>
      </c>
      <c r="CJ27">
        <f>SUMIFS(Table2[GamePredictionScore], Table2[HomeTeam], Table3[[#This Row],[Teams]])</f>
        <v>8.8000000000000007</v>
      </c>
      <c r="CK27">
        <f>Table3[[#This Row],[Column4]]+Table3[[#This Row],[Column3]]</f>
        <v>14.9</v>
      </c>
      <c r="CL27">
        <f>Table3[[#This Row],[Column5]]/Table3[[#This Row],[GP]]</f>
        <v>0.4966666666666667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14</v>
      </c>
      <c r="B28" t="s">
        <v>90</v>
      </c>
      <c r="C28" t="s">
        <v>88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27</v>
      </c>
      <c r="E28" s="10">
        <f>Table3[[#This Row],[Watched]]/Table3[[#This Row],[GP]]</f>
        <v>0.87096774193548387</v>
      </c>
      <c r="F28">
        <f>COUNTIFS(DataRegularSeason20242025!$N$3:$N$1315,1,DataRegularSeason20242025!$D$3:$D$1315,$A28)</f>
        <v>19</v>
      </c>
      <c r="G28">
        <f>41-Table3[[#This Row],[GP_A]]</f>
        <v>22</v>
      </c>
      <c r="H28">
        <f>COUNTIFS(DataRegularSeason20242025!$E$3:$E$1315,$A28,DataRegularSeason20242025!$N$3:$N$1315,1)</f>
        <v>12</v>
      </c>
      <c r="I28">
        <f>41-Table3[[#This Row],[GP_H]]</f>
        <v>29</v>
      </c>
      <c r="J28">
        <f>F28+H28</f>
        <v>31</v>
      </c>
      <c r="K28">
        <f>82-Table3[[#This Row],[GP]]</f>
        <v>51</v>
      </c>
      <c r="L28">
        <f>COUNTIFS(DataRegularSeason20242025!$D$3:$D$1315,$A28, DataRegularSeason20242025!$L$3:$L$1315, $A28,DataRegularSeason20242025!$N$3:$N$1315,1)</f>
        <v>7</v>
      </c>
      <c r="M28">
        <f>COUNTIFS(DataRegularSeason20242025!$D$3:$D$1315,$A28, DataRegularSeason20242025!$L$3:$L$1315, $A28,DataRegularSeason20242025!$N$3:$N$1315,1,DataRegularSeason20242025!$M$3:$M$1315,"REG")</f>
        <v>5</v>
      </c>
      <c r="N28">
        <f>COUNTIFS(DataRegularSeason20242025!$D$3:$D$1315,$A28, DataRegularSeason20242025!$L$3:$L$1315, $A28,DataRegularSeason20242025!$N$3:$N$1315,1,DataRegularSeason20242025!$M$3:$M$1315,"OT")</f>
        <v>2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>F28-L28</f>
        <v>12</v>
      </c>
      <c r="Q28">
        <f>COUNTIFS(DataRegularSeason20242025!$D$3:$D$1315,$A28, DataRegularSeason20242025!$S$3:$S$1315, $A28,DataRegularSeason20242025!$M$3:$M$1315,"REG")</f>
        <v>10</v>
      </c>
      <c r="R28">
        <f>COUNTIFS(DataRegularSeason20242025!$D$3:$D$1315,$A28, DataRegularSeason20242025!$S$3:$S$1315, $A28,DataRegularSeason20242025!$M$3:$M$1315,"OT")</f>
        <v>2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7</v>
      </c>
      <c r="U28">
        <f>COUNTIFS(DataRegularSeason20242025!$E$3:$E$1315,$A28, DataRegularSeason20242025!$L$3:$L$1315, $A28,DataRegularSeason20242025!$N$3:$N$1315,1,DataRegularSeason20242025!$M$3:$M$1315,"REG")</f>
        <v>6</v>
      </c>
      <c r="V28">
        <f>COUNTIFS(DataRegularSeason20242025!$E$3:$E$1315,$A28, DataRegularSeason20242025!$L$3:$L$1315, $A28,DataRegularSeason20242025!$N$3:$N$1315,1,DataRegularSeason20242025!$M$3:$M$1315,"OT")</f>
        <v>1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5</v>
      </c>
      <c r="Y28">
        <f>COUNTIFS(DataRegularSeason20242025!$E$3:$E$1315,$A28, DataRegularSeason20242025!$S$3:$S$1315, $A28,DataRegularSeason20242025!$M$3:$M$1315,"REG")</f>
        <v>4</v>
      </c>
      <c r="Z28">
        <f>COUNTIFS(DataRegularSeason20242025!$E$3:$E$1315,$A28, DataRegularSeason20242025!$S$3:$S$1315, $A28,DataRegularSeason20242025!$M$3:$M$1315,"OT")</f>
        <v>1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0.45161290322580644</v>
      </c>
      <c r="AC28">
        <f>Table3[[#This Row],[W_A]]+Table3[[#This Row],[W_H]]</f>
        <v>14</v>
      </c>
      <c r="AD28">
        <f>Table3[[#This Row],[L_A]]+Table3[[#This Row],[L_H]]</f>
        <v>17</v>
      </c>
      <c r="AE28">
        <f>Table3[[#This Row],[RW_A]]+Table3[[#This Row],[RW_H]]</f>
        <v>11</v>
      </c>
      <c r="AF28">
        <f>Table3[[#This Row],[RL_A]]+Table3[[#This Row],[RL_H]]</f>
        <v>14</v>
      </c>
      <c r="AG28">
        <f>Table3[[#This Row],[OTW_A]]+Table3[[#This Row],[OTW_H]]</f>
        <v>3</v>
      </c>
      <c r="AH28">
        <f>Table3[[#This Row],[OTL_A]]+Table3[[#This Row],[OTL_H]]</f>
        <v>3</v>
      </c>
      <c r="AI28">
        <f>Table3[[#This Row],[SOW_A]]+Table3[[#This Row],[SOW_H]]</f>
        <v>0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3-3</v>
      </c>
      <c r="AL28">
        <f>SUM(Table3[[#This Row],[OTW]],Table3[[#This Row],[OTL]],Table3[[#This Row],[SOW]],Table3[[#This Row],[SOL]])</f>
        <v>6</v>
      </c>
      <c r="AM28">
        <f>(Table3[[#This Row],[OTW]]+Table3[[#This Row],[SOW]])/IF(Table3[[#This Row],[Total_ExtraTimes]]=0,1,Table3[[#This Row],[Total_ExtraTimes]])</f>
        <v>0.5</v>
      </c>
      <c r="AN28">
        <f>Table3[[#This Row],[Total_ExtraTimes]]/MAX(1,Table3[[#This Row],[GP]])</f>
        <v>0.19354838709677419</v>
      </c>
      <c r="AO28">
        <f>(2*(Table3[[#This Row],[W_A]]+Table3[[#This Row],[W_H]]))+Table3[[#This Row],[OTL_A]]+Table3[[#This Row],[SOL_A]]+Table3[[#This Row],[OTL_H]]+Table3[[#This Row],[SOL_H]]</f>
        <v>31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8" s="10">
        <f>Table3[[#This Row],[PTS]]/(2*Table3[[#This Row],[GP]])</f>
        <v>0.5</v>
      </c>
      <c r="AR28" s="10">
        <f>Table3[[#This Row],[PTS2]]/(3*Table3[[#This Row],[GP]])</f>
        <v>0.45161290322580644</v>
      </c>
      <c r="AS28">
        <f>(2*Table3[[#This Row],[GR]])+Table3[[#This Row],[PTS]]</f>
        <v>133</v>
      </c>
      <c r="AT28">
        <f>(3*Table3[[#This Row],[GR]])+Table3[[#This Row],[PTS2]]</f>
        <v>195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111.09677419354838</v>
      </c>
      <c r="AW28" s="15" t="str">
        <f>_xlfn.CONCAT(TEXT(Table3[[#This Row],[W]], "0"), "-", TEXT(Table3[[#This Row],[RL]],"0"), "-", TEXT(Table3[[#This Row],[OTL]]+Table3[[#This Row],[SOL]], "0"))</f>
        <v>14-14-3</v>
      </c>
      <c r="AX28">
        <f>COUNTIFS(DataRegularSeason20242025!$D$3:$D$1315,Table3[[#This Row],[Teams]],DataRegularSeason20242025!$K$3:$K$1315,0)</f>
        <v>1</v>
      </c>
      <c r="AY28">
        <f>SUMIF(DataRegularSeason20242025!$D$3:$D$1315,$A28, DataRegularSeason20242025!$J$3:$J$1315)</f>
        <v>54</v>
      </c>
      <c r="AZ28">
        <f>SUMIF(DataRegularSeason20242025!$D$3:$D$1315,$A28, DataRegularSeason20242025!$K$3:$K$1315)</f>
        <v>57</v>
      </c>
      <c r="BA28">
        <f>AY28-AZ28</f>
        <v>-3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39</v>
      </c>
      <c r="BD28">
        <f>SUMIF(DataRegularSeason20242025!$E$3:$E$1315,$A28,DataRegularSeason20242025!$J$3:$J$1315)</f>
        <v>33</v>
      </c>
      <c r="BE28">
        <f>BC28-BD28</f>
        <v>6</v>
      </c>
      <c r="BF28">
        <f>AY28+BC28</f>
        <v>93</v>
      </c>
      <c r="BG28">
        <f>AZ28+BD28</f>
        <v>90</v>
      </c>
      <c r="BH28">
        <f>BF28-BG28</f>
        <v>3</v>
      </c>
      <c r="BI28" s="12">
        <f>Table3[[#This Row],[GF]]/Table3[[#This Row],[GP]]</f>
        <v>3</v>
      </c>
      <c r="BJ28" s="12">
        <f>Table3[[#This Row],[GA]]/Table3[[#This Row],[GP]]</f>
        <v>2.903225806451613</v>
      </c>
      <c r="BK28" s="12">
        <f>(Table3[[#This Row],[GF]]-Table3[[#This Row],[GA]])/Table3[[#This Row],[GP]]</f>
        <v>9.6774193548387094E-2</v>
      </c>
      <c r="BL28" s="42" t="str">
        <f>_xlfn.CONCAT(TEXT(Table3[[#This Row],[W_H]], "0"), "-", TEXT(Table3[[#This Row],[RL_H]],"0"), "-", TEXT(Table3[[#This Row],[OTL_H]]+Table3[[#This Row],[SOL_H]], "0"))</f>
        <v>7-4-1</v>
      </c>
      <c r="BM28" s="42" t="str">
        <f>_xlfn.CONCAT(TEXT(Table3[[#This Row],[W_A]], "0"), "-", TEXT(Table3[[#This Row],[RL_A]],"0"), "-", TEXT(Table3[[#This Row],[OTL_A]]+Table3[[#This Row],[SOL_A]], "0"))</f>
        <v>7-10-2</v>
      </c>
      <c r="BN28" s="42">
        <f>((2*(Table3[[#This Row],[W_H]]))+Table3[[#This Row],[OTL_H]]+Table3[[#This Row],[SOL_H]])/(2*Table3[[#This Row],[GP_H]])</f>
        <v>0.625</v>
      </c>
      <c r="BO28" s="42">
        <f>((2*(Table3[[#This Row],[W_A]]))+Table3[[#This Row],[OTL_A]]+Table3[[#This Row],[SOL_A]])/(2*Table3[[#This Row],[GP_A]])</f>
        <v>0.42105263157894735</v>
      </c>
      <c r="BP28" s="16">
        <f>(Table3[[#This Row],[W]]*$CX$3)+(Table3[[#This Row],[L]]*$CX$4)+(Table3[[#This Row],[GF]]*$CX$5)+(Table3[[#This Row],[GA]]*$CX$6)</f>
        <v>35.049999999999997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96.81451612903227</v>
      </c>
      <c r="BR28" s="16">
        <f>(Table3[[#This Row],[W]]*0.7) + ((Table3[[#This Row],[GF]] - Table3[[#This Row],[GA]])*0.25)+(Table3[[#This Row],[GF]]*0.1)+(Table3[[#This Row],[GA]]*0.05)+(Table3[[#This Row],[L]]*0.3)</f>
        <v>29.450000000000003</v>
      </c>
      <c r="BS28" s="16">
        <f>Table3[[#This Row],[TeamCost83]]/Table3[[#This Row],[GP]]</f>
        <v>0.95000000000000007</v>
      </c>
      <c r="BT28">
        <f>COUNTIFS(Table2[AwayTeam],$A28,Table2[PredictedWinner], $A28, Table2[GameIsOver], 1)</f>
        <v>7</v>
      </c>
      <c r="BU28">
        <f>COUNTIFS(Table2[HomeTeam],$A28,Table2[PredictedWinner], $A28, Table2[GameIsOver], 1)</f>
        <v>5</v>
      </c>
      <c r="BV28">
        <f>BT28+BU28</f>
        <v>12</v>
      </c>
      <c r="BW28">
        <f>F28-BT28</f>
        <v>12</v>
      </c>
      <c r="BX28">
        <f>H28-BU28</f>
        <v>7</v>
      </c>
      <c r="BY28">
        <f>BW28+BX28</f>
        <v>19</v>
      </c>
      <c r="BZ28">
        <f>Table3[[#This Row],[TimesPredictedWinner]]/Table3[[#This Row],[GP]]</f>
        <v>0.38709677419354838</v>
      </c>
      <c r="CC28" s="1">
        <v>45756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10.800000000000002</v>
      </c>
      <c r="CJ28">
        <f>SUMIFS(Table2[GamePredictionScore], Table2[HomeTeam], Table3[[#This Row],[Teams]])</f>
        <v>3.8</v>
      </c>
      <c r="CK28">
        <f>Table3[[#This Row],[Column4]]+Table3[[#This Row],[Column3]]</f>
        <v>14.600000000000001</v>
      </c>
      <c r="CL28">
        <f>Table3[[#This Row],[Column5]]/Table3[[#This Row],[GP]]</f>
        <v>0.47096774193548391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12</v>
      </c>
      <c r="B29" t="s">
        <v>90</v>
      </c>
      <c r="C29" t="s">
        <v>88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24</v>
      </c>
      <c r="E29" s="10">
        <f>Table3[[#This Row],[Watched]]/Table3[[#This Row],[GP]]</f>
        <v>0.8</v>
      </c>
      <c r="F29">
        <f>COUNTIFS(DataRegularSeason20242025!$N$3:$N$1315,1,DataRegularSeason20242025!$D$3:$D$1315,$A29)</f>
        <v>15</v>
      </c>
      <c r="G29">
        <f>41-Table3[[#This Row],[GP_A]]</f>
        <v>26</v>
      </c>
      <c r="H29">
        <f>COUNTIFS(DataRegularSeason20242025!$E$3:$E$1315,$A29,DataRegularSeason20242025!$N$3:$N$1315,1)</f>
        <v>15</v>
      </c>
      <c r="I29">
        <f>41-Table3[[#This Row],[GP_H]]</f>
        <v>26</v>
      </c>
      <c r="J29">
        <f>F29+H29</f>
        <v>30</v>
      </c>
      <c r="K29">
        <f>82-Table3[[#This Row],[GP]]</f>
        <v>52</v>
      </c>
      <c r="L29">
        <f>COUNTIFS(DataRegularSeason20242025!$D$3:$D$1315,$A29, DataRegularSeason20242025!$L$3:$L$1315, $A29,DataRegularSeason20242025!$N$3:$N$1315,1)</f>
        <v>6</v>
      </c>
      <c r="M29">
        <f>COUNTIFS(DataRegularSeason20242025!$D$3:$D$1315,$A29, DataRegularSeason20242025!$L$3:$L$1315, $A29,DataRegularSeason20242025!$N$3:$N$1315,1,DataRegularSeason20242025!$M$3:$M$1315,"REG")</f>
        <v>6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>F29-L29</f>
        <v>9</v>
      </c>
      <c r="Q29">
        <f>COUNTIFS(DataRegularSeason20242025!$D$3:$D$1315,$A29, DataRegularSeason20242025!$S$3:$S$1315, $A29,DataRegularSeason20242025!$M$3:$M$1315,"REG")</f>
        <v>6</v>
      </c>
      <c r="R29">
        <f>COUNTIFS(DataRegularSeason20242025!$D$3:$D$1315,$A29, DataRegularSeason20242025!$S$3:$S$1315, $A29,DataRegularSeason20242025!$M$3:$M$1315,"OT")</f>
        <v>3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6</v>
      </c>
      <c r="U29">
        <f>COUNTIFS(DataRegularSeason20242025!$E$3:$E$1315,$A29, DataRegularSeason20242025!$L$3:$L$1315, $A29,DataRegularSeason20242025!$N$3:$N$1315,1,DataRegularSeason20242025!$M$3:$M$1315,"REG")</f>
        <v>5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>H29-T29</f>
        <v>9</v>
      </c>
      <c r="Y29">
        <f>COUNTIFS(DataRegularSeason20242025!$E$3:$E$1315,$A29, DataRegularSeason20242025!$S$3:$S$1315, $A29,DataRegularSeason20242025!$M$3:$M$1315,"REG")</f>
        <v>6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1</v>
      </c>
      <c r="AB29">
        <f>Table3[[#This Row],[W]]/MAX(1,Table3[[#This Row],[W]]+Table3[[#This Row],[L]])</f>
        <v>0.4</v>
      </c>
      <c r="AC29">
        <f>Table3[[#This Row],[W_A]]+Table3[[#This Row],[W_H]]</f>
        <v>12</v>
      </c>
      <c r="AD29">
        <f>Table3[[#This Row],[L_A]]+Table3[[#This Row],[L_H]]</f>
        <v>18</v>
      </c>
      <c r="AE29">
        <f>Table3[[#This Row],[RW_A]]+Table3[[#This Row],[RW_H]]</f>
        <v>11</v>
      </c>
      <c r="AF29">
        <f>Table3[[#This Row],[RL_A]]+Table3[[#This Row],[RL_H]]</f>
        <v>12</v>
      </c>
      <c r="AG29">
        <f>Table3[[#This Row],[OTW_A]]+Table3[[#This Row],[OTW_H]]</f>
        <v>0</v>
      </c>
      <c r="AH29">
        <f>Table3[[#This Row],[OTL_A]]+Table3[[#This Row],[OTL_H]]</f>
        <v>5</v>
      </c>
      <c r="AI29">
        <f>Table3[[#This Row],[SOW_A]]+Table3[[#This Row],[SOW_H]]</f>
        <v>1</v>
      </c>
      <c r="AJ29">
        <f>Table3[[#This Row],[SOL_A]]+Table3[[#This Row],[SOL_H]]</f>
        <v>1</v>
      </c>
      <c r="AK29" s="15" t="str">
        <f>_xlfn.CONCAT(TEXT(Table3[[#This Row],[OTW]]+Table3[[#This Row],[SOW]], "0"), "-", TEXT(Table3[[#This Row],[OTL]]+Table3[[#This Row],[SOL]],"0"))</f>
        <v>1-6</v>
      </c>
      <c r="AL29">
        <f>SUM(Table3[[#This Row],[OTW]],Table3[[#This Row],[OTL]],Table3[[#This Row],[SOW]],Table3[[#This Row],[SOL]])</f>
        <v>7</v>
      </c>
      <c r="AM29">
        <f>(Table3[[#This Row],[OTW]]+Table3[[#This Row],[SOW]])/IF(Table3[[#This Row],[Total_ExtraTimes]]=0,1,Table3[[#This Row],[Total_ExtraTimes]])</f>
        <v>0.14285714285714285</v>
      </c>
      <c r="AN29">
        <f>Table3[[#This Row],[Total_ExtraTimes]]/MAX(1,Table3[[#This Row],[GP]])</f>
        <v>0.23333333333333334</v>
      </c>
      <c r="AO29">
        <f>(2*(Table3[[#This Row],[W_A]]+Table3[[#This Row],[W_H]]))+Table3[[#This Row],[OTL_A]]+Table3[[#This Row],[SOL_A]]+Table3[[#This Row],[OTL_H]]+Table3[[#This Row],[SOL_H]]</f>
        <v>30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9" s="10">
        <f>Table3[[#This Row],[PTS]]/(2*Table3[[#This Row],[GP]])</f>
        <v>0.5</v>
      </c>
      <c r="AR29" s="10">
        <f>Table3[[#This Row],[PTS2]]/(3*Table3[[#This Row],[GP]])</f>
        <v>0.45555555555555555</v>
      </c>
      <c r="AS29">
        <f>(2*Table3[[#This Row],[GR]])+Table3[[#This Row],[PTS]]</f>
        <v>134</v>
      </c>
      <c r="AT29">
        <f>(3*Table3[[#This Row],[GR]])+Table3[[#This Row],[PTS2]]</f>
        <v>197</v>
      </c>
      <c r="AU29">
        <f>Table3[[#This Row],[PTS]]+(2 * Table3[[#This Row],[GR]] * Table3[[#This Row],[PTS%]])</f>
        <v>82</v>
      </c>
      <c r="AV29">
        <f>Table3[[#This Row],[PTS2]]+(3 * Table3[[#This Row],[GR]] * Table3[[#This Row],[PTS%2]])</f>
        <v>112.06666666666666</v>
      </c>
      <c r="AW29" s="15" t="str">
        <f>_xlfn.CONCAT(TEXT(Table3[[#This Row],[W]], "0"), "-", TEXT(Table3[[#This Row],[RL]],"0"), "-", TEXT(Table3[[#This Row],[OTL]]+Table3[[#This Row],[SOL]], "0"))</f>
        <v>12-12-6</v>
      </c>
      <c r="AX29">
        <f>COUNTIFS(DataRegularSeason20242025!$D$3:$D$1315,Table3[[#This Row],[Teams]],DataRegularSeason20242025!$K$3:$K$1315,0)</f>
        <v>1</v>
      </c>
      <c r="AY29">
        <f>SUMIF(DataRegularSeason20242025!$D$3:$D$1315,$A29, DataRegularSeason20242025!$J$3:$J$1315)</f>
        <v>40</v>
      </c>
      <c r="AZ29">
        <f>SUMIF(DataRegularSeason20242025!$D$3:$D$1315,$A29, DataRegularSeason20242025!$K$3:$K$1315)</f>
        <v>47</v>
      </c>
      <c r="BA29">
        <f>AY29-AZ29</f>
        <v>-7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38</v>
      </c>
      <c r="BD29">
        <f>SUMIF(DataRegularSeason20242025!$E$3:$E$1315,$A29,DataRegularSeason20242025!$J$3:$J$1315)</f>
        <v>56</v>
      </c>
      <c r="BE29">
        <f>BC29-BD29</f>
        <v>-18</v>
      </c>
      <c r="BF29">
        <f>AY29+BC29</f>
        <v>78</v>
      </c>
      <c r="BG29">
        <f>AZ29+BD29</f>
        <v>103</v>
      </c>
      <c r="BH29">
        <f>BF29-BG29</f>
        <v>-25</v>
      </c>
      <c r="BI29" s="12">
        <f>Table3[[#This Row],[GF]]/Table3[[#This Row],[GP]]</f>
        <v>2.6</v>
      </c>
      <c r="BJ29" s="12">
        <f>Table3[[#This Row],[GA]]/Table3[[#This Row],[GP]]</f>
        <v>3.4333333333333331</v>
      </c>
      <c r="BK29" s="12">
        <f>(Table3[[#This Row],[GF]]-Table3[[#This Row],[GA]])/Table3[[#This Row],[GP]]</f>
        <v>-0.83333333333333337</v>
      </c>
      <c r="BL29" s="42" t="str">
        <f>_xlfn.CONCAT(TEXT(Table3[[#This Row],[W_H]], "0"), "-", TEXT(Table3[[#This Row],[RL_H]],"0"), "-", TEXT(Table3[[#This Row],[OTL_H]]+Table3[[#This Row],[SOL_H]], "0"))</f>
        <v>6-6-3</v>
      </c>
      <c r="BM29" s="42" t="str">
        <f>_xlfn.CONCAT(TEXT(Table3[[#This Row],[W_A]], "0"), "-", TEXT(Table3[[#This Row],[RL_A]],"0"), "-", TEXT(Table3[[#This Row],[OTL_A]]+Table3[[#This Row],[SOL_A]], "0"))</f>
        <v>6-6-3</v>
      </c>
      <c r="BN29" s="42">
        <f>((2*(Table3[[#This Row],[W_H]]))+Table3[[#This Row],[OTL_H]]+Table3[[#This Row],[SOL_H]])/(2*Table3[[#This Row],[GP_H]])</f>
        <v>0.5</v>
      </c>
      <c r="BO29" s="42">
        <f>((2*(Table3[[#This Row],[W_A]]))+Table3[[#This Row],[OTL_A]]+Table3[[#This Row],[SOL_A]])/(2*Table3[[#This Row],[GP_A]])</f>
        <v>0.5</v>
      </c>
      <c r="BP29" s="16">
        <f>(Table3[[#This Row],[W]]*$CX$3)+(Table3[[#This Row],[L]]*$CX$4)+(Table3[[#This Row],[GF]]*$CX$5)+(Table3[[#This Row],[GA]]*$CX$6)</f>
        <v>33.4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94.626666666666665</v>
      </c>
      <c r="BR29" s="16">
        <f>(Table3[[#This Row],[W]]*0.7) + ((Table3[[#This Row],[GF]] - Table3[[#This Row],[GA]])*0.25)+(Table3[[#This Row],[GF]]*0.1)+(Table3[[#This Row],[GA]]*0.05)+(Table3[[#This Row],[L]]*0.3)</f>
        <v>20.5</v>
      </c>
      <c r="BS29" s="16">
        <f>Table3[[#This Row],[TeamCost83]]/Table3[[#This Row],[GP]]</f>
        <v>0.68333333333333335</v>
      </c>
      <c r="BT29">
        <f>COUNTIFS(Table2[AwayTeam],$A29,Table2[PredictedWinner], $A29, Table2[GameIsOver], 1)</f>
        <v>5</v>
      </c>
      <c r="BU29">
        <f>COUNTIFS(Table2[HomeTeam],$A29,Table2[PredictedWinner], $A29, Table2[GameIsOver], 1)</f>
        <v>3</v>
      </c>
      <c r="BV29">
        <f>BT29+BU29</f>
        <v>8</v>
      </c>
      <c r="BW29">
        <f>F29-BT29</f>
        <v>10</v>
      </c>
      <c r="BX29">
        <f>H29-BU29</f>
        <v>12</v>
      </c>
      <c r="BY29">
        <f>BW29+BX29</f>
        <v>22</v>
      </c>
      <c r="BZ29">
        <f>Table3[[#This Row],[TimesPredictedWinner]]/Table3[[#This Row],[GP]]</f>
        <v>0.26666666666666666</v>
      </c>
      <c r="CB29">
        <v>2019</v>
      </c>
      <c r="CD29" s="1">
        <v>45762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6.8999999999999986</v>
      </c>
      <c r="CJ29">
        <f>SUMIFS(Table2[GamePredictionScore], Table2[HomeTeam], Table3[[#This Row],[Teams]])</f>
        <v>6.8999999999999995</v>
      </c>
      <c r="CK29">
        <f>Table3[[#This Row],[Column4]]+Table3[[#This Row],[Column3]]</f>
        <v>13.799999999999997</v>
      </c>
      <c r="CL29">
        <f>Table3[[#This Row],[Column5]]/Table3[[#This Row],[GP]]</f>
        <v>0.45999999999999991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23</v>
      </c>
      <c r="B30" t="s">
        <v>90</v>
      </c>
      <c r="C30" t="s">
        <v>93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31</v>
      </c>
      <c r="E30" s="10">
        <f>Table3[[#This Row],[Watched]]/Table3[[#This Row],[GP]]</f>
        <v>1</v>
      </c>
      <c r="F30">
        <f>COUNTIFS(DataRegularSeason20242025!$N$3:$N$1315,1,DataRegularSeason20242025!$D$3:$D$1315,$A30)</f>
        <v>18</v>
      </c>
      <c r="G30">
        <f>41-Table3[[#This Row],[GP_A]]</f>
        <v>23</v>
      </c>
      <c r="H30">
        <f>COUNTIFS(DataRegularSeason20242025!$E$3:$E$1315,$A30,DataRegularSeason20242025!$N$3:$N$1315,1)</f>
        <v>13</v>
      </c>
      <c r="I30">
        <f>41-Table3[[#This Row],[GP_H]]</f>
        <v>28</v>
      </c>
      <c r="J30">
        <f>F30+H30</f>
        <v>31</v>
      </c>
      <c r="K30">
        <f>82-Table3[[#This Row],[GP]]</f>
        <v>51</v>
      </c>
      <c r="L30">
        <f>COUNTIFS(DataRegularSeason20242025!$D$3:$D$1315,$A30, DataRegularSeason20242025!$L$3:$L$1315, $A30,DataRegularSeason20242025!$N$3:$N$1315,1)</f>
        <v>5</v>
      </c>
      <c r="M30">
        <f>COUNTIFS(DataRegularSeason20242025!$D$3:$D$1315,$A30, DataRegularSeason20242025!$L$3:$L$1315, $A30,DataRegularSeason20242025!$N$3:$N$1315,1,DataRegularSeason20242025!$M$3:$M$1315,"REG")</f>
        <v>4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1</v>
      </c>
      <c r="P30">
        <f>F30-L30</f>
        <v>13</v>
      </c>
      <c r="Q30">
        <f>COUNTIFS(DataRegularSeason20242025!$D$3:$D$1315,$A30, DataRegularSeason20242025!$S$3:$S$1315, $A30,DataRegularSeason20242025!$M$3:$M$1315,"REG")</f>
        <v>11</v>
      </c>
      <c r="R30">
        <f>COUNTIFS(DataRegularSeason20242025!$D$3:$D$1315,$A30, DataRegularSeason20242025!$S$3:$S$1315, $A30,DataRegularSeason20242025!$M$3:$M$1315,"OT")</f>
        <v>1</v>
      </c>
      <c r="S30">
        <f>COUNTIFS(DataRegularSeason20242025!$D$3:$D$1315,$A30, DataRegularSeason20242025!$S$3:$S$1315, $A30,DataRegularSeason20242025!$M$3:$M$1315,"SO")</f>
        <v>1</v>
      </c>
      <c r="T30">
        <f>COUNTIFS(DataRegularSeason20242025!$E$3:$E$1315,$A30, DataRegularSeason20242025!$L$3:$L$1315, $A30, DataRegularSeason20242025!$N$3:$N$1315,1)</f>
        <v>7</v>
      </c>
      <c r="U30">
        <f>COUNTIFS(DataRegularSeason20242025!$E$3:$E$1315,$A30, DataRegularSeason20242025!$L$3:$L$1315, $A30,DataRegularSeason20242025!$N$3:$N$1315,1,DataRegularSeason20242025!$M$3:$M$1315,"REG")</f>
        <v>6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6</v>
      </c>
      <c r="Y30">
        <f>COUNTIFS(DataRegularSeason20242025!$E$3:$E$1315,$A30, DataRegularSeason20242025!$S$3:$S$1315, $A30,DataRegularSeason20242025!$M$3:$M$1315,"REG")</f>
        <v>4</v>
      </c>
      <c r="Z30">
        <f>COUNTIFS(DataRegularSeason20242025!$E$3:$E$1315,$A30, DataRegularSeason20242025!$S$3:$S$1315, $A30,DataRegularSeason20242025!$M$3:$M$1315,"OT")</f>
        <v>1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0.38709677419354838</v>
      </c>
      <c r="AC30">
        <f>Table3[[#This Row],[W_A]]+Table3[[#This Row],[W_H]]</f>
        <v>12</v>
      </c>
      <c r="AD30">
        <f>Table3[[#This Row],[L_A]]+Table3[[#This Row],[L_H]]</f>
        <v>19</v>
      </c>
      <c r="AE30">
        <f>Table3[[#This Row],[RW_A]]+Table3[[#This Row],[RW_H]]</f>
        <v>10</v>
      </c>
      <c r="AF30">
        <f>Table3[[#This Row],[RL_A]]+Table3[[#This Row],[RL_H]]</f>
        <v>15</v>
      </c>
      <c r="AG30">
        <f>Table3[[#This Row],[OTW_A]]+Table3[[#This Row],[OTW_H]]</f>
        <v>0</v>
      </c>
      <c r="AH30">
        <f>Table3[[#This Row],[OTL_A]]+Table3[[#This Row],[OTL_H]]</f>
        <v>2</v>
      </c>
      <c r="AI30">
        <f>Table3[[#This Row],[SOW_A]]+Table3[[#This Row],[SOW_H]]</f>
        <v>2</v>
      </c>
      <c r="AJ30">
        <f>Table3[[#This Row],[SOL_A]]+Table3[[#This Row],[SOL_H]]</f>
        <v>2</v>
      </c>
      <c r="AK30" s="15" t="str">
        <f>_xlfn.CONCAT(TEXT(Table3[[#This Row],[OTW]]+Table3[[#This Row],[SOW]], "0"), "-", TEXT(Table3[[#This Row],[OTL]]+Table3[[#This Row],[SOL]],"0"))</f>
        <v>2-4</v>
      </c>
      <c r="AL30">
        <f>SUM(Table3[[#This Row],[OTW]],Table3[[#This Row],[OTL]],Table3[[#This Row],[SOW]],Table3[[#This Row],[SOL]])</f>
        <v>6</v>
      </c>
      <c r="AM30">
        <f>(Table3[[#This Row],[OTW]]+Table3[[#This Row],[SOW]])/IF(Table3[[#This Row],[Total_ExtraTimes]]=0,1,Table3[[#This Row],[Total_ExtraTimes]])</f>
        <v>0.33333333333333331</v>
      </c>
      <c r="AN30">
        <f>Table3[[#This Row],[Total_ExtraTimes]]/MAX(1,Table3[[#This Row],[GP]])</f>
        <v>0.19354838709677419</v>
      </c>
      <c r="AO30">
        <f>(2*(Table3[[#This Row],[W_A]]+Table3[[#This Row],[W_H]]))+Table3[[#This Row],[OTL_A]]+Table3[[#This Row],[SOL_A]]+Table3[[#This Row],[OTL_H]]+Table3[[#This Row],[SOL_H]]</f>
        <v>28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30" s="10">
        <f>Table3[[#This Row],[PTS]]/(2*Table3[[#This Row],[GP]])</f>
        <v>0.45161290322580644</v>
      </c>
      <c r="AR30" s="10">
        <f>Table3[[#This Row],[PTS2]]/(3*Table3[[#This Row],[GP]])</f>
        <v>0.40860215053763443</v>
      </c>
      <c r="AS30">
        <f>(2*Table3[[#This Row],[GR]])+Table3[[#This Row],[PTS]]</f>
        <v>130</v>
      </c>
      <c r="AT30">
        <f>(3*Table3[[#This Row],[GR]])+Table3[[#This Row],[PTS2]]</f>
        <v>191</v>
      </c>
      <c r="AU30">
        <f>Table3[[#This Row],[PTS]]+(2 * Table3[[#This Row],[GR]] * Table3[[#This Row],[PTS%]])</f>
        <v>74.064516129032256</v>
      </c>
      <c r="AV30">
        <f>Table3[[#This Row],[PTS2]]+(3 * Table3[[#This Row],[GR]] * Table3[[#This Row],[PTS%2]])</f>
        <v>100.51612903225808</v>
      </c>
      <c r="AW30" s="15" t="str">
        <f>_xlfn.CONCAT(TEXT(Table3[[#This Row],[W]], "0"), "-", TEXT(Table3[[#This Row],[RL]],"0"), "-", TEXT(Table3[[#This Row],[OTL]]+Table3[[#This Row],[SOL]], "0"))</f>
        <v>12-15-4</v>
      </c>
      <c r="AX30">
        <f>COUNTIFS(DataRegularSeason20242025!$D$3:$D$1315,Table3[[#This Row],[Teams]],DataRegularSeason20242025!$K$3:$K$1315,0)</f>
        <v>0</v>
      </c>
      <c r="AY30">
        <f>SUMIF(DataRegularSeason20242025!$D$3:$D$1315,$A30, DataRegularSeason20242025!$J$3:$J$1315)</f>
        <v>42</v>
      </c>
      <c r="AZ30">
        <f>SUMIF(DataRegularSeason20242025!$D$3:$D$1315,$A30, DataRegularSeason20242025!$K$3:$K$1315)</f>
        <v>63</v>
      </c>
      <c r="BA30">
        <f>AY30-AZ30</f>
        <v>-21</v>
      </c>
      <c r="BB30">
        <f>COUNTIFS(DataRegularSeason20242025!$E$3:$E$1315,Table3[[#This Row],[Teams]],DataRegularSeason20242025!$J$3:$J$1315,0)</f>
        <v>2</v>
      </c>
      <c r="BC30">
        <f>SUMIF(DataRegularSeason20242025!$E$3:$E$1315,$A30,DataRegularSeason20242025!$K$3:$K$1315)</f>
        <v>37</v>
      </c>
      <c r="BD30">
        <f>SUMIF(DataRegularSeason20242025!$E$3:$E$1315,$A30,DataRegularSeason20242025!$J$3:$J$1315)</f>
        <v>29</v>
      </c>
      <c r="BE30">
        <f>BC30-BD30</f>
        <v>8</v>
      </c>
      <c r="BF30">
        <f>AY30+BC30</f>
        <v>79</v>
      </c>
      <c r="BG30">
        <f>AZ30+BD30</f>
        <v>92</v>
      </c>
      <c r="BH30">
        <f>BF30-BG30</f>
        <v>-13</v>
      </c>
      <c r="BI30" s="12">
        <f>Table3[[#This Row],[GF]]/Table3[[#This Row],[GP]]</f>
        <v>2.5483870967741935</v>
      </c>
      <c r="BJ30" s="12">
        <f>Table3[[#This Row],[GA]]/Table3[[#This Row],[GP]]</f>
        <v>2.967741935483871</v>
      </c>
      <c r="BK30" s="12">
        <f>(Table3[[#This Row],[GF]]-Table3[[#This Row],[GA]])/Table3[[#This Row],[GP]]</f>
        <v>-0.41935483870967744</v>
      </c>
      <c r="BL30" s="42" t="str">
        <f>_xlfn.CONCAT(TEXT(Table3[[#This Row],[W_H]], "0"), "-", TEXT(Table3[[#This Row],[RL_H]],"0"), "-", TEXT(Table3[[#This Row],[OTL_H]]+Table3[[#This Row],[SOL_H]], "0"))</f>
        <v>7-4-2</v>
      </c>
      <c r="BM30" s="42" t="str">
        <f>_xlfn.CONCAT(TEXT(Table3[[#This Row],[W_A]], "0"), "-", TEXT(Table3[[#This Row],[RL_A]],"0"), "-", TEXT(Table3[[#This Row],[OTL_A]]+Table3[[#This Row],[SOL_A]], "0"))</f>
        <v>5-11-2</v>
      </c>
      <c r="BN30" s="42">
        <f>((2*(Table3[[#This Row],[W_H]]))+Table3[[#This Row],[OTL_H]]+Table3[[#This Row],[SOL_H]])/(2*Table3[[#This Row],[GP_H]])</f>
        <v>0.61538461538461542</v>
      </c>
      <c r="BO30" s="42">
        <f>((2*(Table3[[#This Row],[W_A]]))+Table3[[#This Row],[OTL_A]]+Table3[[#This Row],[SOL_A]])/(2*Table3[[#This Row],[GP_A]])</f>
        <v>0.33333333333333331</v>
      </c>
      <c r="BP30" s="16">
        <f>(Table3[[#This Row],[W]]*$CX$3)+(Table3[[#This Row],[L]]*$CX$4)+(Table3[[#This Row],[GF]]*$CX$5)+(Table3[[#This Row],[GA]]*$CX$6)</f>
        <v>32.75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89.463111342351723</v>
      </c>
      <c r="BR30" s="16">
        <f>(Table3[[#This Row],[W]]*0.7) + ((Table3[[#This Row],[GF]] - Table3[[#This Row],[GA]])*0.25)+(Table3[[#This Row],[GF]]*0.1)+(Table3[[#This Row],[GA]]*0.05)+(Table3[[#This Row],[L]]*0.3)</f>
        <v>23.349999999999998</v>
      </c>
      <c r="BS30" s="16">
        <f>Table3[[#This Row],[TeamCost83]]/Table3[[#This Row],[GP]]</f>
        <v>0.75322580645161286</v>
      </c>
      <c r="BT30">
        <f>COUNTIFS(Table2[AwayTeam],$A30,Table2[PredictedWinner], $A30, Table2[GameIsOver], 1)</f>
        <v>15</v>
      </c>
      <c r="BU30">
        <f>COUNTIFS(Table2[HomeTeam],$A30,Table2[PredictedWinner], $A30, Table2[GameIsOver], 1)</f>
        <v>13</v>
      </c>
      <c r="BV30">
        <f>BT30+BU30</f>
        <v>28</v>
      </c>
      <c r="BW30">
        <f>F30-BT30</f>
        <v>3</v>
      </c>
      <c r="BX30">
        <f>H30-BU30</f>
        <v>0</v>
      </c>
      <c r="BY30">
        <f>BW30+BX30</f>
        <v>3</v>
      </c>
      <c r="BZ30">
        <f>Table3[[#This Row],[TimesPredictedWinner]]/Table3[[#This Row],[GP]]</f>
        <v>0.90322580645161288</v>
      </c>
      <c r="CB30">
        <v>1989</v>
      </c>
      <c r="CC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5.2</v>
      </c>
      <c r="CJ30">
        <f>SUMIFS(Table2[GamePredictionScore], Table2[HomeTeam], Table3[[#This Row],[Teams]])</f>
        <v>6</v>
      </c>
      <c r="CK30">
        <f>Table3[[#This Row],[Column4]]+Table3[[#This Row],[Column3]]</f>
        <v>11.2</v>
      </c>
      <c r="CL30">
        <f>Table3[[#This Row],[Column5]]/Table3[[#This Row],[GP]]</f>
        <v>0.36129032258064514</v>
      </c>
      <c r="CU30" s="57"/>
      <c r="CV30" s="179" t="s">
        <v>765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28</v>
      </c>
      <c r="B31" t="s">
        <v>91</v>
      </c>
      <c r="C31" t="s">
        <v>74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25</v>
      </c>
      <c r="E31" s="10">
        <f>Table3[[#This Row],[Watched]]/Table3[[#This Row],[GP]]</f>
        <v>0.86206896551724133</v>
      </c>
      <c r="F31">
        <f>COUNTIFS(DataRegularSeason20242025!$N$3:$N$1315,1,DataRegularSeason20242025!$D$3:$D$1315,$A31)</f>
        <v>13</v>
      </c>
      <c r="G31">
        <f>41-Table3[[#This Row],[GP_A]]</f>
        <v>28</v>
      </c>
      <c r="H31">
        <f>COUNTIFS(DataRegularSeason20242025!$E$3:$E$1315,$A31,DataRegularSeason20242025!$N$3:$N$1315,1)</f>
        <v>16</v>
      </c>
      <c r="I31">
        <f>41-Table3[[#This Row],[GP_H]]</f>
        <v>25</v>
      </c>
      <c r="J31">
        <f>F31+H31</f>
        <v>29</v>
      </c>
      <c r="K31">
        <f>82-Table3[[#This Row],[GP]]</f>
        <v>53</v>
      </c>
      <c r="L31">
        <f>COUNTIFS(DataRegularSeason20242025!$D$3:$D$1315,$A31, DataRegularSeason20242025!$L$3:$L$1315, $A31,DataRegularSeason20242025!$N$3:$N$1315,1)</f>
        <v>2</v>
      </c>
      <c r="M31">
        <f>COUNTIFS(DataRegularSeason20242025!$D$3:$D$1315,$A31, DataRegularSeason20242025!$L$3:$L$1315, $A31,DataRegularSeason20242025!$N$3:$N$1315,1,DataRegularSeason20242025!$M$3:$M$1315,"REG")</f>
        <v>0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1</v>
      </c>
      <c r="P31">
        <f>F31-L31</f>
        <v>11</v>
      </c>
      <c r="Q31">
        <f>COUNTIFS(DataRegularSeason20242025!$D$3:$D$1315,$A31, DataRegularSeason20242025!$S$3:$S$1315, $A31,DataRegularSeason20242025!$M$3:$M$1315,"REG")</f>
        <v>9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9</v>
      </c>
      <c r="U31">
        <f>COUNTIFS(DataRegularSeason20242025!$E$3:$E$1315,$A31, DataRegularSeason20242025!$L$3:$L$1315, $A31,DataRegularSeason20242025!$N$3:$N$1315,1,DataRegularSeason20242025!$M$3:$M$1315,"REG")</f>
        <v>8</v>
      </c>
      <c r="V31">
        <f>COUNTIFS(DataRegularSeason20242025!$E$3:$E$1315,$A31, DataRegularSeason20242025!$L$3:$L$1315, $A31,DataRegularSeason20242025!$N$3:$N$1315,1,DataRegularSeason20242025!$M$3:$M$1315,"OT")</f>
        <v>0</v>
      </c>
      <c r="W31">
        <f>COUNTIFS(DataRegularSeason20242025!$E$3:$E$1315,$A31, DataRegularSeason20242025!$L$3:$L$1315, $A31,DataRegularSeason20242025!$N$3:$N$1315,1,DataRegularSeason20242025!$M$3:$M$1315,"SO")</f>
        <v>1</v>
      </c>
      <c r="X31">
        <f>H31-T31</f>
        <v>7</v>
      </c>
      <c r="Y31">
        <f>COUNTIFS(DataRegularSeason20242025!$E$3:$E$1315,$A31, DataRegularSeason20242025!$S$3:$S$1315, $A31,DataRegularSeason20242025!$M$3:$M$1315,"REG")</f>
        <v>5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0.37931034482758619</v>
      </c>
      <c r="AC31">
        <f>Table3[[#This Row],[W_A]]+Table3[[#This Row],[W_H]]</f>
        <v>11</v>
      </c>
      <c r="AD31">
        <f>Table3[[#This Row],[L_A]]+Table3[[#This Row],[L_H]]</f>
        <v>18</v>
      </c>
      <c r="AE31">
        <f>Table3[[#This Row],[RW_A]]+Table3[[#This Row],[RW_H]]</f>
        <v>8</v>
      </c>
      <c r="AF31">
        <f>Table3[[#This Row],[RL_A]]+Table3[[#This Row],[RL_H]]</f>
        <v>14</v>
      </c>
      <c r="AG31">
        <f>Table3[[#This Row],[OTW_A]]+Table3[[#This Row],[OTW_H]]</f>
        <v>1</v>
      </c>
      <c r="AH31">
        <f>Table3[[#This Row],[OTL_A]]+Table3[[#This Row],[OTL_H]]</f>
        <v>4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3-4</v>
      </c>
      <c r="AL31">
        <f>SUM(Table3[[#This Row],[OTW]],Table3[[#This Row],[OTL]],Table3[[#This Row],[SOW]],Table3[[#This Row],[SOL]])</f>
        <v>7</v>
      </c>
      <c r="AM31">
        <f>(Table3[[#This Row],[OTW]]+Table3[[#This Row],[SOW]])/IF(Table3[[#This Row],[Total_ExtraTimes]]=0,1,Table3[[#This Row],[Total_ExtraTimes]])</f>
        <v>0.42857142857142855</v>
      </c>
      <c r="AN31">
        <f>Table3[[#This Row],[Total_ExtraTimes]]/MAX(1,Table3[[#This Row],[GP]])</f>
        <v>0.2413793103448276</v>
      </c>
      <c r="AO31">
        <f>(2*(Table3[[#This Row],[W_A]]+Table3[[#This Row],[W_H]]))+Table3[[#This Row],[OTL_A]]+Table3[[#This Row],[SOL_A]]+Table3[[#This Row],[OTL_H]]+Table3[[#This Row],[SOL_H]]</f>
        <v>26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31" s="10">
        <f>Table3[[#This Row],[PTS]]/(2*Table3[[#This Row],[GP]])</f>
        <v>0.44827586206896552</v>
      </c>
      <c r="AR31" s="10">
        <f>Table3[[#This Row],[PTS2]]/(3*Table3[[#This Row],[GP]])</f>
        <v>0.39080459770114945</v>
      </c>
      <c r="AS31">
        <f>(2*Table3[[#This Row],[GR]])+Table3[[#This Row],[PTS]]</f>
        <v>132</v>
      </c>
      <c r="AT31">
        <f>(3*Table3[[#This Row],[GR]])+Table3[[#This Row],[PTS2]]</f>
        <v>193</v>
      </c>
      <c r="AU31">
        <f>Table3[[#This Row],[PTS]]+(2 * Table3[[#This Row],[GR]] * Table3[[#This Row],[PTS%]])</f>
        <v>73.517241379310349</v>
      </c>
      <c r="AV31">
        <f>Table3[[#This Row],[PTS2]]+(3 * Table3[[#This Row],[GR]] * Table3[[#This Row],[PTS%2]])</f>
        <v>96.137931034482762</v>
      </c>
      <c r="AW31" s="15" t="str">
        <f>_xlfn.CONCAT(TEXT(Table3[[#This Row],[W]], "0"), "-", TEXT(Table3[[#This Row],[RL]],"0"), "-", TEXT(Table3[[#This Row],[OTL]]+Table3[[#This Row],[SOL]], "0"))</f>
        <v>11-14-4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34</v>
      </c>
      <c r="AZ31">
        <f>SUMIF(DataRegularSeason20242025!$D$3:$D$1315,$A31, DataRegularSeason20242025!$K$3:$K$1315)</f>
        <v>58</v>
      </c>
      <c r="BA31">
        <f>AY31-AZ31</f>
        <v>-24</v>
      </c>
      <c r="BB31">
        <f>COUNTIFS(DataRegularSeason20242025!$E$3:$E$1315,Table3[[#This Row],[Teams]],DataRegularSeason20242025!$J$3:$J$1315,0)</f>
        <v>1</v>
      </c>
      <c r="BC31">
        <f>SUMIF(DataRegularSeason20242025!$E$3:$E$1315,$A31,DataRegularSeason20242025!$K$3:$K$1315)</f>
        <v>54</v>
      </c>
      <c r="BD31">
        <f>SUMIF(DataRegularSeason20242025!$E$3:$E$1315,$A31,DataRegularSeason20242025!$J$3:$J$1315)</f>
        <v>45</v>
      </c>
      <c r="BE31">
        <f>BC31-BD31</f>
        <v>9</v>
      </c>
      <c r="BF31">
        <f>AY31+BC31</f>
        <v>88</v>
      </c>
      <c r="BG31">
        <f>AZ31+BD31</f>
        <v>103</v>
      </c>
      <c r="BH31">
        <f>BF31-BG31</f>
        <v>-15</v>
      </c>
      <c r="BI31" s="12">
        <f>Table3[[#This Row],[GF]]/Table3[[#This Row],[GP]]</f>
        <v>3.0344827586206895</v>
      </c>
      <c r="BJ31" s="12">
        <f>Table3[[#This Row],[GA]]/Table3[[#This Row],[GP]]</f>
        <v>3.5517241379310347</v>
      </c>
      <c r="BK31" s="12">
        <f>(Table3[[#This Row],[GF]]-Table3[[#This Row],[GA]])/Table3[[#This Row],[GP]]</f>
        <v>-0.51724137931034486</v>
      </c>
      <c r="BL31" s="42" t="str">
        <f>_xlfn.CONCAT(TEXT(Table3[[#This Row],[W_H]], "0"), "-", TEXT(Table3[[#This Row],[RL_H]],"0"), "-", TEXT(Table3[[#This Row],[OTL_H]]+Table3[[#This Row],[SOL_H]], "0"))</f>
        <v>9-5-2</v>
      </c>
      <c r="BM31" s="42" t="str">
        <f>_xlfn.CONCAT(TEXT(Table3[[#This Row],[W_A]], "0"), "-", TEXT(Table3[[#This Row],[RL_A]],"0"), "-", TEXT(Table3[[#This Row],[OTL_A]]+Table3[[#This Row],[SOL_A]], "0"))</f>
        <v>2-9-2</v>
      </c>
      <c r="BN31" s="42">
        <f>((2*(Table3[[#This Row],[W_H]]))+Table3[[#This Row],[OTL_H]]+Table3[[#This Row],[SOL_H]])/(2*Table3[[#This Row],[GP_H]])</f>
        <v>0.625</v>
      </c>
      <c r="BO31" s="42">
        <f>((2*(Table3[[#This Row],[W_A]]))+Table3[[#This Row],[OTL_A]]+Table3[[#This Row],[SOL_A]])/(2*Table3[[#This Row],[GP_A]])</f>
        <v>0.23076923076923078</v>
      </c>
      <c r="BP31" s="16">
        <f>(Table3[[#This Row],[W]]*$CX$3)+(Table3[[#This Row],[L]]*$CX$4)+(Table3[[#This Row],[GF]]*$CX$5)+(Table3[[#This Row],[GA]]*$CX$6)</f>
        <v>34.4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101.95005945303211</v>
      </c>
      <c r="BR31" s="16">
        <f>(Table3[[#This Row],[W]]*0.7) + ((Table3[[#This Row],[GF]] - Table3[[#This Row],[GA]])*0.25)+(Table3[[#This Row],[GF]]*0.1)+(Table3[[#This Row],[GA]]*0.05)+(Table3[[#This Row],[L]]*0.3)</f>
        <v>23.299999999999997</v>
      </c>
      <c r="BS31" s="16">
        <f>Table3[[#This Row],[TeamCost83]]/Table3[[#This Row],[GP]]</f>
        <v>0.80344827586206891</v>
      </c>
      <c r="BT31">
        <f>COUNTIFS(Table2[AwayTeam],$A31,Table2[PredictedWinner], $A31, Table2[GameIsOver], 1)</f>
        <v>2</v>
      </c>
      <c r="BU31">
        <f>COUNTIFS(Table2[HomeTeam],$A31,Table2[PredictedWinner], $A31, Table2[GameIsOver], 1)</f>
        <v>7</v>
      </c>
      <c r="BV31">
        <f>BT31+BU31</f>
        <v>9</v>
      </c>
      <c r="BW31">
        <f>F31-BT31</f>
        <v>11</v>
      </c>
      <c r="BX31">
        <f>H31-BU31</f>
        <v>9</v>
      </c>
      <c r="BY31">
        <f>BW31+BX31</f>
        <v>20</v>
      </c>
      <c r="BZ31">
        <f>Table3[[#This Row],[TimesPredictedWinner]]/Table3[[#This Row],[GP]]</f>
        <v>0.31034482758620691</v>
      </c>
      <c r="CC31" s="1">
        <v>45755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7.7</v>
      </c>
      <c r="CJ31">
        <f>SUMIFS(Table2[GamePredictionScore], Table2[HomeTeam], Table3[[#This Row],[Teams]])</f>
        <v>6.6</v>
      </c>
      <c r="CK31">
        <f>Table3[[#This Row],[Column4]]+Table3[[#This Row],[Column3]]</f>
        <v>14.3</v>
      </c>
      <c r="CL31">
        <f>Table3[[#This Row],[Column5]]/Table3[[#This Row],[GP]]</f>
        <v>0.49310344827586211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34</v>
      </c>
      <c r="B32" t="s">
        <v>90</v>
      </c>
      <c r="C32" t="s">
        <v>88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21</v>
      </c>
      <c r="E32" s="10">
        <f>Table3[[#This Row],[Watched]]/Table3[[#This Row],[GP]]</f>
        <v>0.75</v>
      </c>
      <c r="F32">
        <f>COUNTIFS(DataRegularSeason20242025!$N$3:$N$1315,1,DataRegularSeason20242025!$D$3:$D$1315,$A32)</f>
        <v>12</v>
      </c>
      <c r="G32">
        <f>41-Table3[[#This Row],[GP_A]]</f>
        <v>29</v>
      </c>
      <c r="H32">
        <f>COUNTIFS(DataRegularSeason20242025!$E$3:$E$1315,$A32,DataRegularSeason20242025!$N$3:$N$1315,1)</f>
        <v>16</v>
      </c>
      <c r="I32">
        <f>41-Table3[[#This Row],[GP_H]]</f>
        <v>25</v>
      </c>
      <c r="J32">
        <f>F32+H32</f>
        <v>28</v>
      </c>
      <c r="K32">
        <f>82-Table3[[#This Row],[GP]]</f>
        <v>54</v>
      </c>
      <c r="L32">
        <f>COUNTIFS(DataRegularSeason20242025!$D$3:$D$1315,$A32, DataRegularSeason20242025!$L$3:$L$1315, $A32,DataRegularSeason20242025!$N$3:$N$1315,1)</f>
        <v>4</v>
      </c>
      <c r="M32">
        <f>COUNTIFS(DataRegularSeason20242025!$D$3:$D$1315,$A32, DataRegularSeason20242025!$L$3:$L$1315, $A32,DataRegularSeason20242025!$N$3:$N$1315,1,DataRegularSeason20242025!$M$3:$M$1315,"REG")</f>
        <v>3</v>
      </c>
      <c r="N32">
        <f>COUNTIFS(DataRegularSeason20242025!$D$3:$D$1315,$A32, DataRegularSeason20242025!$L$3:$L$1315, $A32,DataRegularSeason20242025!$N$3:$N$1315,1,DataRegularSeason20242025!$M$3:$M$1315,"OT")</f>
        <v>1</v>
      </c>
      <c r="O32">
        <f>COUNTIFS(DataRegularSeason20242025!$D$3:$D$1315,$A32, DataRegularSeason20242025!$L$3:$L$1315, $A32,DataRegularSeason20242025!$N$3:$N$1315,1,DataRegularSeason20242025!$M$3:$M$1315,"SO")</f>
        <v>0</v>
      </c>
      <c r="P32">
        <f>F32-L32</f>
        <v>8</v>
      </c>
      <c r="Q32">
        <f>COUNTIFS(DataRegularSeason20242025!$D$3:$D$1315,$A32, DataRegularSeason20242025!$S$3:$S$1315, $A32,DataRegularSeason20242025!$M$3:$M$1315,"REG")</f>
        <v>6</v>
      </c>
      <c r="R32">
        <f>COUNTIFS(DataRegularSeason20242025!$D$3:$D$1315,$A32, DataRegularSeason20242025!$S$3:$S$1315, $A32,DataRegularSeason20242025!$M$3:$M$1315,"OT")</f>
        <v>2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6</v>
      </c>
      <c r="U32">
        <f>COUNTIFS(DataRegularSeason20242025!$E$3:$E$1315,$A32, DataRegularSeason20242025!$L$3:$L$1315, $A32,DataRegularSeason20242025!$N$3:$N$1315,1,DataRegularSeason20242025!$M$3:$M$1315,"REG")</f>
        <v>4</v>
      </c>
      <c r="V32">
        <f>COUNTIFS(DataRegularSeason20242025!$E$3:$E$1315,$A32, DataRegularSeason20242025!$L$3:$L$1315, $A32,DataRegularSeason20242025!$N$3:$N$1315,1,DataRegularSeason20242025!$M$3:$M$1315,"OT")</f>
        <v>1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>H32-T32</f>
        <v>10</v>
      </c>
      <c r="Y32">
        <f>COUNTIFS(DataRegularSeason20242025!$E$3:$E$1315,$A32, DataRegularSeason20242025!$S$3:$S$1315, $A32,DataRegularSeason20242025!$M$3:$M$1315,"REG")</f>
        <v>8</v>
      </c>
      <c r="Z32">
        <f>COUNTIFS(DataRegularSeason20242025!$E$3:$E$1315,$A32, DataRegularSeason20242025!$S$3:$S$1315, $A32,DataRegularSeason20242025!$M$3:$M$1315,"OT")</f>
        <v>2</v>
      </c>
      <c r="AA32">
        <f>COUNTIFS(DataRegularSeason20242025!$E$3:$E$1315,$A32, DataRegularSeason20242025!$S$3:$S$1315, $A32,DataRegularSeason20242025!$M$3:$M$1315,"SO")</f>
        <v>0</v>
      </c>
      <c r="AB32">
        <f>Table3[[#This Row],[W]]/MAX(1,Table3[[#This Row],[W]]+Table3[[#This Row],[L]])</f>
        <v>0.35714285714285715</v>
      </c>
      <c r="AC32">
        <f>Table3[[#This Row],[W_A]]+Table3[[#This Row],[W_H]]</f>
        <v>10</v>
      </c>
      <c r="AD32">
        <f>Table3[[#This Row],[L_A]]+Table3[[#This Row],[L_H]]</f>
        <v>18</v>
      </c>
      <c r="AE32">
        <f>Table3[[#This Row],[RW_A]]+Table3[[#This Row],[RW_H]]</f>
        <v>7</v>
      </c>
      <c r="AF32">
        <f>Table3[[#This Row],[RL_A]]+Table3[[#This Row],[RL_H]]</f>
        <v>14</v>
      </c>
      <c r="AG32">
        <f>Table3[[#This Row],[OTW_A]]+Table3[[#This Row],[OTW_H]]</f>
        <v>2</v>
      </c>
      <c r="AH32">
        <f>Table3[[#This Row],[OTL_A]]+Table3[[#This Row],[OTL_H]]</f>
        <v>4</v>
      </c>
      <c r="AI32">
        <f>Table3[[#This Row],[SOW_A]]+Table3[[#This Row],[SOW_H]]</f>
        <v>1</v>
      </c>
      <c r="AJ32">
        <f>Table3[[#This Row],[SOL_A]]+Table3[[#This Row],[SOL_H]]</f>
        <v>0</v>
      </c>
      <c r="AK32" s="15" t="str">
        <f>_xlfn.CONCAT(TEXT(Table3[[#This Row],[OTW]]+Table3[[#This Row],[SOW]], "0"), "-", TEXT(Table3[[#This Row],[OTL]]+Table3[[#This Row],[SOL]],"0"))</f>
        <v>3-4</v>
      </c>
      <c r="AL32">
        <f>SUM(Table3[[#This Row],[OTW]],Table3[[#This Row],[OTL]],Table3[[#This Row],[SOW]],Table3[[#This Row],[SOL]])</f>
        <v>7</v>
      </c>
      <c r="AM32">
        <f>(Table3[[#This Row],[OTW]]+Table3[[#This Row],[SOW]])/IF(Table3[[#This Row],[Total_ExtraTimes]]=0,1,Table3[[#This Row],[Total_ExtraTimes]])</f>
        <v>0.42857142857142855</v>
      </c>
      <c r="AN32">
        <f>Table3[[#This Row],[Total_ExtraTimes]]/MAX(1,Table3[[#This Row],[GP]])</f>
        <v>0.25</v>
      </c>
      <c r="AO32">
        <f>(2*(Table3[[#This Row],[W_A]]+Table3[[#This Row],[W_H]]))+Table3[[#This Row],[OTL_A]]+Table3[[#This Row],[SOL_A]]+Table3[[#This Row],[OTL_H]]+Table3[[#This Row],[SOL_H]]</f>
        <v>24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32" s="10">
        <f>Table3[[#This Row],[PTS]]/(2*Table3[[#This Row],[GP]])</f>
        <v>0.42857142857142855</v>
      </c>
      <c r="AR32" s="10">
        <f>Table3[[#This Row],[PTS2]]/(3*Table3[[#This Row],[GP]])</f>
        <v>0.36904761904761907</v>
      </c>
      <c r="AS32">
        <f>(2*Table3[[#This Row],[GR]])+Table3[[#This Row],[PTS]]</f>
        <v>132</v>
      </c>
      <c r="AT32">
        <f>(3*Table3[[#This Row],[GR]])+Table3[[#This Row],[PTS2]]</f>
        <v>193</v>
      </c>
      <c r="AU32">
        <f>Table3[[#This Row],[PTS]]+(2 * Table3[[#This Row],[GR]] * Table3[[#This Row],[PTS%]])</f>
        <v>70.285714285714278</v>
      </c>
      <c r="AV32">
        <f>Table3[[#This Row],[PTS2]]+(3 * Table3[[#This Row],[GR]] * Table3[[#This Row],[PTS%2]])</f>
        <v>90.785714285714292</v>
      </c>
      <c r="AW32" s="15" t="str">
        <f>_xlfn.CONCAT(TEXT(Table3[[#This Row],[W]], "0"), "-", TEXT(Table3[[#This Row],[RL]],"0"), "-", TEXT(Table3[[#This Row],[OTL]]+Table3[[#This Row],[SOL]], "0"))</f>
        <v>10-14-4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32</v>
      </c>
      <c r="AZ32">
        <f>SUMIF(DataRegularSeason20242025!$D$3:$D$1315,$A32, DataRegularSeason20242025!$K$3:$K$1315)</f>
        <v>45</v>
      </c>
      <c r="BA32">
        <f>AY32-AZ32</f>
        <v>-13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42</v>
      </c>
      <c r="BD32">
        <f>SUMIF(DataRegularSeason20242025!$E$3:$E$1315,$A32,DataRegularSeason20242025!$J$3:$J$1315)</f>
        <v>55</v>
      </c>
      <c r="BE32">
        <f>BC32-BD32</f>
        <v>-13</v>
      </c>
      <c r="BF32">
        <f>AY32+BC32</f>
        <v>74</v>
      </c>
      <c r="BG32">
        <f>AZ32+BD32</f>
        <v>100</v>
      </c>
      <c r="BH32">
        <f>BF32-BG32</f>
        <v>-26</v>
      </c>
      <c r="BI32" s="12">
        <f>Table3[[#This Row],[GF]]/Table3[[#This Row],[GP]]</f>
        <v>2.6428571428571428</v>
      </c>
      <c r="BJ32" s="12">
        <f>Table3[[#This Row],[GA]]/Table3[[#This Row],[GP]]</f>
        <v>3.5714285714285716</v>
      </c>
      <c r="BK32" s="12">
        <f>(Table3[[#This Row],[GF]]-Table3[[#This Row],[GA]])/Table3[[#This Row],[GP]]</f>
        <v>-0.9285714285714286</v>
      </c>
      <c r="BL32" s="42" t="str">
        <f>_xlfn.CONCAT(TEXT(Table3[[#This Row],[W_H]], "0"), "-", TEXT(Table3[[#This Row],[RL_H]],"0"), "-", TEXT(Table3[[#This Row],[OTL_H]]+Table3[[#This Row],[SOL_H]], "0"))</f>
        <v>6-8-2</v>
      </c>
      <c r="BM32" s="42" t="str">
        <f>_xlfn.CONCAT(TEXT(Table3[[#This Row],[W_A]], "0"), "-", TEXT(Table3[[#This Row],[RL_A]],"0"), "-", TEXT(Table3[[#This Row],[OTL_A]]+Table3[[#This Row],[SOL_A]], "0"))</f>
        <v>4-6-2</v>
      </c>
      <c r="BN32" s="42">
        <f>((2*(Table3[[#This Row],[W_H]]))+Table3[[#This Row],[OTL_H]]+Table3[[#This Row],[SOL_H]])/(2*Table3[[#This Row],[GP_H]])</f>
        <v>0.4375</v>
      </c>
      <c r="BO32" s="42">
        <f>((2*(Table3[[#This Row],[W_A]]))+Table3[[#This Row],[OTL_A]]+Table3[[#This Row],[SOL_A]])/(2*Table3[[#This Row],[GP_A]])</f>
        <v>0.41666666666666669</v>
      </c>
      <c r="BP32" s="16">
        <f>(Table3[[#This Row],[W]]*$CX$3)+(Table3[[#This Row],[L]]*$CX$4)+(Table3[[#This Row],[GF]]*$CX$5)+(Table3[[#This Row],[GA]]*$CX$6)</f>
        <v>31.5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94.422448979591849</v>
      </c>
      <c r="BR32" s="16">
        <f>(Table3[[#This Row],[W]]*0.7) + ((Table3[[#This Row],[GF]] - Table3[[#This Row],[GA]])*0.25)+(Table3[[#This Row],[GF]]*0.1)+(Table3[[#This Row],[GA]]*0.05)+(Table3[[#This Row],[L]]*0.3)</f>
        <v>18.3</v>
      </c>
      <c r="BS32" s="16">
        <f>Table3[[#This Row],[TeamCost83]]/Table3[[#This Row],[GP]]</f>
        <v>0.65357142857142858</v>
      </c>
      <c r="BT32">
        <f>COUNTIFS(Table2[AwayTeam],$A32,Table2[PredictedWinner], $A32, Table2[GameIsOver], 1)</f>
        <v>1</v>
      </c>
      <c r="BU32">
        <f>COUNTIFS(Table2[HomeTeam],$A32,Table2[PredictedWinner], $A32, Table2[GameIsOver], 1)</f>
        <v>4</v>
      </c>
      <c r="BV32">
        <f>BT32+BU32</f>
        <v>5</v>
      </c>
      <c r="BW32">
        <f>F32-BT32</f>
        <v>11</v>
      </c>
      <c r="BX32">
        <f>H32-BU32</f>
        <v>12</v>
      </c>
      <c r="BY32">
        <f>BW32+BX32</f>
        <v>23</v>
      </c>
      <c r="BZ32">
        <f>Table3[[#This Row],[TimesPredictedWinner]]/Table3[[#This Row],[GP]]</f>
        <v>0.17857142857142858</v>
      </c>
      <c r="CC32" s="1">
        <v>45743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6</v>
      </c>
      <c r="CJ32">
        <f>SUMIFS(Table2[GamePredictionScore], Table2[HomeTeam], Table3[[#This Row],[Teams]])</f>
        <v>8.4</v>
      </c>
      <c r="CK32">
        <f>Table3[[#This Row],[Column4]]+Table3[[#This Row],[Column3]]</f>
        <v>14.4</v>
      </c>
      <c r="CL32">
        <f>Table3[[#This Row],[Column5]]/Table3[[#This Row],[GP]]</f>
        <v>0.51428571428571435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4</v>
      </c>
      <c r="DN32" s="14">
        <f>COUNTIFS(Table2[[ActualHomeScore]:[ActualHomeScore]],$DK32, Table2[[ActualAwayScore]:[ActualAwayScore]],DN$31)</f>
        <v>3</v>
      </c>
      <c r="DO32" s="14">
        <f>COUNTIFS(Table2[[ActualHomeScore]:[ActualHomeScore]],$DK32, Table2[[ActualAwayScore]:[ActualAwayScore]],DO$31)</f>
        <v>9</v>
      </c>
      <c r="DP32" s="14">
        <f>COUNTIFS(Table2[[ActualHomeScore]:[ActualHomeScore]],$DK32, Table2[[ActualAwayScore]:[ActualAwayScore]],DP$31)</f>
        <v>4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2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24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27</v>
      </c>
      <c r="E33" s="10">
        <f>Table3[[#This Row],[Watched]]/Table3[[#This Row],[GP]]</f>
        <v>0.9</v>
      </c>
      <c r="F33">
        <f>COUNTIFS(DataRegularSeason20242025!$N$3:$N$1315,1,DataRegularSeason20242025!$D$3:$D$1315,$A33)</f>
        <v>16</v>
      </c>
      <c r="G33">
        <f>41-Table3[[#This Row],[GP_A]]</f>
        <v>25</v>
      </c>
      <c r="H33">
        <f>COUNTIFS(DataRegularSeason20242025!$E$3:$E$1315,$A33,DataRegularSeason20242025!$N$3:$N$1315,1)</f>
        <v>14</v>
      </c>
      <c r="I33">
        <f>41-Table3[[#This Row],[GP_H]]</f>
        <v>27</v>
      </c>
      <c r="J33">
        <f>F33+H33</f>
        <v>30</v>
      </c>
      <c r="K33">
        <f>82-Table3[[#This Row],[GP]]</f>
        <v>52</v>
      </c>
      <c r="L33">
        <f>COUNTIFS(DataRegularSeason20242025!$D$3:$D$1315,$A33, DataRegularSeason20242025!$L$3:$L$1315, $A33,DataRegularSeason20242025!$N$3:$N$1315,1)</f>
        <v>7</v>
      </c>
      <c r="M33">
        <f>COUNTIFS(DataRegularSeason20242025!$D$3:$D$1315,$A33, DataRegularSeason20242025!$L$3:$L$1315, $A33,DataRegularSeason20242025!$N$3:$N$1315,1,DataRegularSeason20242025!$M$3:$M$1315,"REG")</f>
        <v>4</v>
      </c>
      <c r="N33">
        <f>COUNTIFS(DataRegularSeason20242025!$D$3:$D$1315,$A33, DataRegularSeason20242025!$L$3:$L$1315, $A33,DataRegularSeason20242025!$N$3:$N$1315,1,DataRegularSeason20242025!$M$3:$M$1315,"OT")</f>
        <v>1</v>
      </c>
      <c r="O33">
        <f>COUNTIFS(DataRegularSeason20242025!$D$3:$D$1315,$A33, DataRegularSeason20242025!$L$3:$L$1315, $A33,DataRegularSeason20242025!$N$3:$N$1315,1,DataRegularSeason20242025!$M$3:$M$1315,"SO")</f>
        <v>2</v>
      </c>
      <c r="P33">
        <f>F33-L33</f>
        <v>9</v>
      </c>
      <c r="Q33">
        <f>COUNTIFS(DataRegularSeason20242025!$D$3:$D$1315,$A33, DataRegularSeason20242025!$S$3:$S$1315, $A33,DataRegularSeason20242025!$M$3:$M$1315,"REG")</f>
        <v>7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4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>H33-T33</f>
        <v>10</v>
      </c>
      <c r="Y33">
        <f>COUNTIFS(DataRegularSeason20242025!$E$3:$E$1315,$A33, DataRegularSeason20242025!$S$3:$S$1315, $A33,DataRegularSeason20242025!$M$3:$M$1315,"REG")</f>
        <v>9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0.36666666666666664</v>
      </c>
      <c r="AC33">
        <f>Table3[[#This Row],[W_A]]+Table3[[#This Row],[W_H]]</f>
        <v>11</v>
      </c>
      <c r="AD33">
        <f>Table3[[#This Row],[L_A]]+Table3[[#This Row],[L_H]]</f>
        <v>19</v>
      </c>
      <c r="AE33">
        <f>Table3[[#This Row],[RW_A]]+Table3[[#This Row],[RW_H]]</f>
        <v>7</v>
      </c>
      <c r="AF33">
        <f>Table3[[#This Row],[RL_A]]+Table3[[#This Row],[RL_H]]</f>
        <v>16</v>
      </c>
      <c r="AG33">
        <f>Table3[[#This Row],[OTW_A]]+Table3[[#This Row],[OTW_H]]</f>
        <v>2</v>
      </c>
      <c r="AH33">
        <f>Table3[[#This Row],[OTL_A]]+Table3[[#This Row],[OTL_H]]</f>
        <v>3</v>
      </c>
      <c r="AI33">
        <f>Table3[[#This Row],[SOW_A]]+Table3[[#This Row],[SOW_H]]</f>
        <v>2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4-3</v>
      </c>
      <c r="AL33">
        <f>SUM(Table3[[#This Row],[OTW]],Table3[[#This Row],[OTL]],Table3[[#This Row],[SOW]],Table3[[#This Row],[SOL]])</f>
        <v>7</v>
      </c>
      <c r="AM33">
        <f>(Table3[[#This Row],[OTW]]+Table3[[#This Row],[SOW]])/IF(Table3[[#This Row],[Total_ExtraTimes]]=0,1,Table3[[#This Row],[Total_ExtraTimes]])</f>
        <v>0.5714285714285714</v>
      </c>
      <c r="AN33">
        <f>Table3[[#This Row],[Total_ExtraTimes]]/MAX(1,Table3[[#This Row],[GP]])</f>
        <v>0.23333333333333334</v>
      </c>
      <c r="AO33">
        <f>(2*(Table3[[#This Row],[W_A]]+Table3[[#This Row],[W_H]]))+Table3[[#This Row],[OTL_A]]+Table3[[#This Row],[SOL_A]]+Table3[[#This Row],[OTL_H]]+Table3[[#This Row],[SOL_H]]</f>
        <v>25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33" s="10">
        <f>Table3[[#This Row],[PTS]]/(2*Table3[[#This Row],[GP]])</f>
        <v>0.41666666666666669</v>
      </c>
      <c r="AR33" s="10">
        <f>Table3[[#This Row],[PTS2]]/(3*Table3[[#This Row],[GP]])</f>
        <v>0.35555555555555557</v>
      </c>
      <c r="AS33">
        <f>(2*Table3[[#This Row],[GR]])+Table3[[#This Row],[PTS]]</f>
        <v>129</v>
      </c>
      <c r="AT33">
        <f>(3*Table3[[#This Row],[GR]])+Table3[[#This Row],[PTS2]]</f>
        <v>188</v>
      </c>
      <c r="AU33">
        <f>Table3[[#This Row],[PTS]]+(2 * Table3[[#This Row],[GR]] * Table3[[#This Row],[PTS%]])</f>
        <v>68.333333333333343</v>
      </c>
      <c r="AV33">
        <f>Table3[[#This Row],[PTS2]]+(3 * Table3[[#This Row],[GR]] * Table3[[#This Row],[PTS%2]])</f>
        <v>87.466666666666669</v>
      </c>
      <c r="AW33" s="15" t="str">
        <f>_xlfn.CONCAT(TEXT(Table3[[#This Row],[W]], "0"), "-", TEXT(Table3[[#This Row],[RL]],"0"), "-", TEXT(Table3[[#This Row],[OTL]]+Table3[[#This Row],[SOL]], "0"))</f>
        <v>11-16-3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49</v>
      </c>
      <c r="AZ33">
        <f>SUMIF(DataRegularSeason20242025!$D$3:$D$1315,$A33, DataRegularSeason20242025!$K$3:$K$1315)</f>
        <v>56</v>
      </c>
      <c r="BA33">
        <f>AY33-AZ33</f>
        <v>-7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36</v>
      </c>
      <c r="BD33">
        <f>SUMIF(DataRegularSeason20242025!$E$3:$E$1315,$A33,DataRegularSeason20242025!$J$3:$J$1315)</f>
        <v>52</v>
      </c>
      <c r="BE33">
        <f>BC33-BD33</f>
        <v>-16</v>
      </c>
      <c r="BF33">
        <f>AY33+BC33</f>
        <v>85</v>
      </c>
      <c r="BG33">
        <f>AZ33+BD33</f>
        <v>108</v>
      </c>
      <c r="BH33">
        <f>BF33-BG33</f>
        <v>-23</v>
      </c>
      <c r="BI33" s="12">
        <f>Table3[[#This Row],[GF]]/Table3[[#This Row],[GP]]</f>
        <v>2.8333333333333335</v>
      </c>
      <c r="BJ33" s="12">
        <f>Table3[[#This Row],[GA]]/Table3[[#This Row],[GP]]</f>
        <v>3.6</v>
      </c>
      <c r="BK33" s="12">
        <f>(Table3[[#This Row],[GF]]-Table3[[#This Row],[GA]])/Table3[[#This Row],[GP]]</f>
        <v>-0.76666666666666672</v>
      </c>
      <c r="BL33" s="42" t="str">
        <f>_xlfn.CONCAT(TEXT(Table3[[#This Row],[W_H]], "0"), "-", TEXT(Table3[[#This Row],[RL_H]],"0"), "-", TEXT(Table3[[#This Row],[OTL_H]]+Table3[[#This Row],[SOL_H]], "0"))</f>
        <v>4-9-1</v>
      </c>
      <c r="BM33" s="42" t="str">
        <f>_xlfn.CONCAT(TEXT(Table3[[#This Row],[W_A]], "0"), "-", TEXT(Table3[[#This Row],[RL_A]],"0"), "-", TEXT(Table3[[#This Row],[OTL_A]]+Table3[[#This Row],[SOL_A]], "0"))</f>
        <v>7-7-2</v>
      </c>
      <c r="BN33" s="42">
        <f>((2*(Table3[[#This Row],[W_H]]))+Table3[[#This Row],[OTL_H]]+Table3[[#This Row],[SOL_H]])/(2*Table3[[#This Row],[GP_H]])</f>
        <v>0.32142857142857145</v>
      </c>
      <c r="BO33" s="42">
        <f>((2*(Table3[[#This Row],[W_A]]))+Table3[[#This Row],[OTL_A]]+Table3[[#This Row],[SOL_A]])/(2*Table3[[#This Row],[GP_A]])</f>
        <v>0.5</v>
      </c>
      <c r="BP33" s="16">
        <f>(Table3[[#This Row],[W]]*$CX$3)+(Table3[[#This Row],[L]]*$CX$4)+(Table3[[#This Row],[GF]]*$CX$5)+(Table3[[#This Row],[GA]]*$CX$6)</f>
        <v>34.75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100.16777777777779</v>
      </c>
      <c r="BR33" s="16">
        <f>(Table3[[#This Row],[W]]*0.7) + ((Table3[[#This Row],[GF]] - Table3[[#This Row],[GA]])*0.25)+(Table3[[#This Row],[GF]]*0.1)+(Table3[[#This Row],[GA]]*0.05)+(Table3[[#This Row],[L]]*0.3)</f>
        <v>21.55</v>
      </c>
      <c r="BS33" s="16">
        <f>Table3[[#This Row],[TeamCost83]]/Table3[[#This Row],[GP]]</f>
        <v>0.71833333333333338</v>
      </c>
      <c r="BT33">
        <f>COUNTIFS(Table2[AwayTeam],$A33,Table2[PredictedWinner], $A33, Table2[GameIsOver], 1)</f>
        <v>5</v>
      </c>
      <c r="BU33">
        <f>COUNTIFS(Table2[HomeTeam],$A33,Table2[PredictedWinner], $A33, Table2[GameIsOver], 1)</f>
        <v>5</v>
      </c>
      <c r="BV33">
        <f>BT33+BU33</f>
        <v>10</v>
      </c>
      <c r="BW33">
        <f>F33-BT33</f>
        <v>11</v>
      </c>
      <c r="BX33">
        <f>H33-BU33</f>
        <v>9</v>
      </c>
      <c r="BY33">
        <f>BW33+BX33</f>
        <v>20</v>
      </c>
      <c r="BZ33">
        <f>Table3[[#This Row],[TimesPredictedWinner]]/Table3[[#This Row],[GP]]</f>
        <v>0.33333333333333331</v>
      </c>
      <c r="CC33" s="1">
        <v>45756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10.3</v>
      </c>
      <c r="CJ33">
        <f>SUMIFS(Table2[GamePredictionScore], Table2[HomeTeam], Table3[[#This Row],[Teams]])</f>
        <v>8</v>
      </c>
      <c r="CK33">
        <f>Table3[[#This Row],[Column4]]+Table3[[#This Row],[Column3]]</f>
        <v>18.3</v>
      </c>
      <c r="CL33">
        <f>Table3[[#This Row],[Column5]]/Table3[[#This Row],[GP]]</f>
        <v>0.61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1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0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-2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0</v>
      </c>
      <c r="DD33" s="14">
        <f>(COUNTIFS(Table2[AwayTeam],UPPER($CV$30), Table2[ActualAwayScore],$CW33, Table2[ActualHomeScore],DD$31)+COUNTIFS(Table2[HomeTeam],UPPER($CV$30), Table2[ActualAwayScore],DD$31, Table2[ActualHomeScore],$CW33))*-1</f>
        <v>0</v>
      </c>
      <c r="DE33" s="14">
        <f>(COUNTIFS(Table2[AwayTeam],UPPER($CV$30), Table2[ActualAwayScore],$CW33, Table2[ActualHomeScore],DE$31)+COUNTIFS(Table2[HomeTeam],UPPER($CV$30), Table2[ActualAwayScore],DE$31, Table2[ActualHomeScore],$CW33))*-1</f>
        <v>-1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17</v>
      </c>
      <c r="DO33" s="14">
        <f>COUNTIFS(Table2[[ActualHomeScore]:[ActualHomeScore]],$DK33, Table2[[ActualAwayScore]:[ActualAwayScore]],DO$31)</f>
        <v>10</v>
      </c>
      <c r="DP33" s="14">
        <f>COUNTIFS(Table2[[ActualHomeScore]:[ActualHomeScore]],$DK33, Table2[[ActualAwayScore]:[ActualAwayScore]],DP$31)</f>
        <v>18</v>
      </c>
      <c r="DQ33" s="14">
        <f>COUNTIFS(Table2[[ActualHomeScore]:[ActualHomeScore]],$DK33, Table2[[ActualAwayScore]:[ActualAwayScore]],DQ$31)</f>
        <v>8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2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-2</v>
      </c>
      <c r="DB34" s="14">
        <f>(COUNTIFS(Table2[AwayTeam],UPPER($CV$30), Table2[ActualAwayScore],$CW34, Table2[ActualHomeScore],DB$31)+COUNTIFS(Table2[HomeTeam],UPPER($CV$30), Table2[ActualAwayScore],DB$31, Table2[ActualHomeScore],$CW34))*-1</f>
        <v>0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6</v>
      </c>
      <c r="DM34" s="14">
        <f>COUNTIFS(Table2[[ActualHomeScore]:[ActualHomeScore]],$DK34, Table2[[ActualAwayScore]:[ActualAwayScore]],DM$31)</f>
        <v>22</v>
      </c>
      <c r="DN34" s="127"/>
      <c r="DO34" s="14">
        <f>COUNTIFS(Table2[[ActualHomeScore]:[ActualHomeScore]],$DK34, Table2[[ActualAwayScore]:[ActualAwayScore]],DO$31)</f>
        <v>32</v>
      </c>
      <c r="DP34" s="14">
        <f>COUNTIFS(Table2[[ActualHomeScore]:[ActualHomeScore]],$DK34, Table2[[ActualAwayScore]:[ActualAwayScore]],DP$31)</f>
        <v>11</v>
      </c>
      <c r="DQ34" s="14">
        <f>COUNTIFS(Table2[[ActualHomeScore]:[ActualHomeScore]],$DK34, Table2[[ActualAwayScore]:[ActualAwayScore]],DQ$31)</f>
        <v>14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782</v>
      </c>
      <c r="E35">
        <f t="shared" ref="E35:CA35" si="13">SUM(E$2:E$33)</f>
        <v>26.902801466650182</v>
      </c>
      <c r="F35">
        <f t="shared" si="13"/>
        <v>465</v>
      </c>
      <c r="G35">
        <f t="shared" si="13"/>
        <v>847</v>
      </c>
      <c r="H35">
        <f t="shared" si="13"/>
        <v>465</v>
      </c>
      <c r="I35">
        <f t="shared" si="13"/>
        <v>847</v>
      </c>
      <c r="J35">
        <f t="shared" si="13"/>
        <v>930</v>
      </c>
      <c r="K35">
        <f t="shared" si="13"/>
        <v>1694</v>
      </c>
      <c r="L35">
        <f t="shared" si="13"/>
        <v>221</v>
      </c>
      <c r="M35">
        <f t="shared" si="13"/>
        <v>160</v>
      </c>
      <c r="N35">
        <f t="shared" si="13"/>
        <v>41</v>
      </c>
      <c r="O35">
        <f t="shared" si="13"/>
        <v>20</v>
      </c>
      <c r="P35">
        <f t="shared" si="13"/>
        <v>244</v>
      </c>
      <c r="Q35">
        <f t="shared" si="13"/>
        <v>181</v>
      </c>
      <c r="R35">
        <f t="shared" si="13"/>
        <v>39</v>
      </c>
      <c r="S35">
        <f t="shared" si="13"/>
        <v>24</v>
      </c>
      <c r="T35">
        <f t="shared" si="13"/>
        <v>244</v>
      </c>
      <c r="U35">
        <f t="shared" si="13"/>
        <v>181</v>
      </c>
      <c r="V35">
        <f t="shared" si="13"/>
        <v>39</v>
      </c>
      <c r="W35">
        <f t="shared" si="13"/>
        <v>24</v>
      </c>
      <c r="X35">
        <f t="shared" si="13"/>
        <v>221</v>
      </c>
      <c r="Y35">
        <f t="shared" si="13"/>
        <v>160</v>
      </c>
      <c r="Z35">
        <f t="shared" si="13"/>
        <v>41</v>
      </c>
      <c r="AA35">
        <f t="shared" si="13"/>
        <v>20</v>
      </c>
      <c r="AC35">
        <f t="shared" si="13"/>
        <v>465</v>
      </c>
      <c r="AD35">
        <f t="shared" si="13"/>
        <v>465</v>
      </c>
      <c r="AE35">
        <f t="shared" si="13"/>
        <v>341</v>
      </c>
      <c r="AF35">
        <f t="shared" si="13"/>
        <v>341</v>
      </c>
      <c r="AG35">
        <f t="shared" si="13"/>
        <v>80</v>
      </c>
      <c r="AH35">
        <f t="shared" si="13"/>
        <v>80</v>
      </c>
      <c r="AI35">
        <f t="shared" si="13"/>
        <v>44</v>
      </c>
      <c r="AJ35">
        <f t="shared" si="13"/>
        <v>44</v>
      </c>
      <c r="AO35">
        <f t="shared" si="13"/>
        <v>1054</v>
      </c>
      <c r="AP35">
        <f t="shared" si="13"/>
        <v>1395</v>
      </c>
      <c r="AQ35">
        <f t="shared" si="13"/>
        <v>18.144517423827772</v>
      </c>
      <c r="AR35">
        <f t="shared" si="13"/>
        <v>16.005294438460918</v>
      </c>
      <c r="AS35">
        <f t="shared" si="13"/>
        <v>4442</v>
      </c>
      <c r="AT35">
        <f t="shared" si="13"/>
        <v>6477</v>
      </c>
      <c r="AU35">
        <f t="shared" si="13"/>
        <v>2975.7008575077548</v>
      </c>
      <c r="AV35">
        <f t="shared" si="13"/>
        <v>3937.3024318613861</v>
      </c>
      <c r="AX35">
        <f t="shared" si="13"/>
        <v>27</v>
      </c>
      <c r="AY35">
        <f t="shared" si="13"/>
        <v>1404</v>
      </c>
      <c r="AZ35">
        <f t="shared" si="13"/>
        <v>1439</v>
      </c>
      <c r="BA35">
        <f t="shared" si="13"/>
        <v>-35</v>
      </c>
      <c r="BB35">
        <f t="shared" si="13"/>
        <v>19</v>
      </c>
      <c r="BC35">
        <f t="shared" si="13"/>
        <v>1439</v>
      </c>
      <c r="BD35">
        <f t="shared" si="13"/>
        <v>1404</v>
      </c>
      <c r="BE35">
        <f t="shared" si="13"/>
        <v>35</v>
      </c>
      <c r="BF35">
        <f t="shared" si="13"/>
        <v>2843</v>
      </c>
      <c r="BG35">
        <f t="shared" si="13"/>
        <v>2843</v>
      </c>
      <c r="BH35">
        <f t="shared" si="13"/>
        <v>0</v>
      </c>
      <c r="BI35">
        <f t="shared" si="13"/>
        <v>97.864704462924692</v>
      </c>
      <c r="BJ35">
        <f t="shared" si="13"/>
        <v>97.884810577302233</v>
      </c>
      <c r="BK35">
        <f t="shared" si="13"/>
        <v>-2.0106114377528406E-2</v>
      </c>
      <c r="BL35">
        <f t="shared" si="13"/>
        <v>0</v>
      </c>
      <c r="BM35">
        <f t="shared" si="13"/>
        <v>0</v>
      </c>
      <c r="BN35">
        <f t="shared" si="13"/>
        <v>18.877007469654529</v>
      </c>
      <c r="BO35">
        <f t="shared" si="13"/>
        <v>17.320335823876846</v>
      </c>
      <c r="BP35">
        <f t="shared" si="13"/>
        <v>1082.75</v>
      </c>
      <c r="BQ35">
        <f t="shared" si="13"/>
        <v>3126.52819402256</v>
      </c>
      <c r="BR35">
        <f t="shared" si="13"/>
        <v>891.44999999999982</v>
      </c>
      <c r="BS35">
        <f t="shared" si="13"/>
        <v>30.676254745131271</v>
      </c>
      <c r="BT35">
        <f t="shared" si="13"/>
        <v>202</v>
      </c>
      <c r="BU35">
        <f t="shared" si="13"/>
        <v>263</v>
      </c>
      <c r="BV35">
        <f t="shared" si="13"/>
        <v>465</v>
      </c>
      <c r="BW35">
        <f t="shared" si="13"/>
        <v>263</v>
      </c>
      <c r="BX35">
        <f t="shared" si="13"/>
        <v>202</v>
      </c>
      <c r="BY35">
        <f t="shared" si="13"/>
        <v>465</v>
      </c>
      <c r="BZ35">
        <f t="shared" si="13"/>
        <v>15.991548810848034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1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-2</v>
      </c>
      <c r="DD35" s="14">
        <f>(COUNTIFS(Table2[AwayTeam],UPPER($CV$30), Table2[ActualAwayScore],$CW35, Table2[ActualHomeScore],DD$31)+COUNTIFS(Table2[HomeTeam],UPPER($CV$30), Table2[ActualAwayScore],DD$31, Table2[ActualHomeScore],$CW35))*-1</f>
        <v>-1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4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37</v>
      </c>
      <c r="DO35" s="127"/>
      <c r="DP35" s="14">
        <f>COUNTIFS(Table2[[ActualHomeScore]:[ActualHomeScore]],$DK35, Table2[[ActualAwayScore]:[ActualAwayScore]],DP$31)</f>
        <v>34</v>
      </c>
      <c r="DQ35" s="14">
        <f>COUNTIFS(Table2[[ActualHomeScore]:[ActualHomeScore]],$DK35, Table2[[ActualAwayScore]:[ActualAwayScore]],DQ$31)</f>
        <v>9</v>
      </c>
      <c r="DR35" s="14">
        <f>COUNTIFS(Table2[[ActualHomeScore]:[ActualHomeScore]],$DK35, Table2[[ActualAwayScore]:[ActualAwayScore]],DR$31)</f>
        <v>5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24.4375</v>
      </c>
      <c r="E36">
        <f t="shared" ref="E36:CA36" si="14">AVERAGE(E$2:E$33)</f>
        <v>0.84071254583281818</v>
      </c>
      <c r="F36">
        <f t="shared" si="14"/>
        <v>14.53125</v>
      </c>
      <c r="G36">
        <f t="shared" si="14"/>
        <v>26.46875</v>
      </c>
      <c r="H36">
        <f t="shared" si="14"/>
        <v>14.53125</v>
      </c>
      <c r="I36">
        <f t="shared" si="14"/>
        <v>26.46875</v>
      </c>
      <c r="J36">
        <f t="shared" si="14"/>
        <v>29.0625</v>
      </c>
      <c r="K36">
        <f t="shared" si="14"/>
        <v>52.9375</v>
      </c>
      <c r="L36">
        <f t="shared" si="14"/>
        <v>6.90625</v>
      </c>
      <c r="M36">
        <f t="shared" si="14"/>
        <v>5</v>
      </c>
      <c r="N36">
        <f t="shared" si="14"/>
        <v>1.28125</v>
      </c>
      <c r="O36">
        <f t="shared" si="14"/>
        <v>0.625</v>
      </c>
      <c r="P36">
        <f t="shared" si="14"/>
        <v>7.625</v>
      </c>
      <c r="Q36">
        <f t="shared" si="14"/>
        <v>5.65625</v>
      </c>
      <c r="R36">
        <f t="shared" si="14"/>
        <v>1.21875</v>
      </c>
      <c r="S36">
        <f t="shared" si="14"/>
        <v>0.75</v>
      </c>
      <c r="T36">
        <f t="shared" si="14"/>
        <v>7.625</v>
      </c>
      <c r="U36">
        <f t="shared" si="14"/>
        <v>5.65625</v>
      </c>
      <c r="V36">
        <f t="shared" si="14"/>
        <v>1.21875</v>
      </c>
      <c r="W36">
        <f t="shared" si="14"/>
        <v>0.75</v>
      </c>
      <c r="X36">
        <f t="shared" si="14"/>
        <v>6.90625</v>
      </c>
      <c r="Y36">
        <f t="shared" si="14"/>
        <v>5</v>
      </c>
      <c r="Z36">
        <f t="shared" si="14"/>
        <v>1.28125</v>
      </c>
      <c r="AA36">
        <f t="shared" si="14"/>
        <v>0.625</v>
      </c>
      <c r="AC36">
        <f t="shared" si="14"/>
        <v>14.53125</v>
      </c>
      <c r="AD36">
        <f t="shared" si="14"/>
        <v>14.53125</v>
      </c>
      <c r="AE36">
        <f t="shared" si="14"/>
        <v>10.65625</v>
      </c>
      <c r="AF36">
        <f t="shared" si="14"/>
        <v>10.65625</v>
      </c>
      <c r="AG36">
        <f t="shared" si="14"/>
        <v>2.5</v>
      </c>
      <c r="AH36">
        <f t="shared" si="14"/>
        <v>2.5</v>
      </c>
      <c r="AI36">
        <f t="shared" si="14"/>
        <v>1.375</v>
      </c>
      <c r="AJ36">
        <f t="shared" si="14"/>
        <v>1.375</v>
      </c>
      <c r="AO36">
        <f t="shared" si="14"/>
        <v>32.9375</v>
      </c>
      <c r="AP36">
        <f t="shared" si="14"/>
        <v>43.59375</v>
      </c>
      <c r="AQ36">
        <f t="shared" si="14"/>
        <v>0.56701616949461786</v>
      </c>
      <c r="AR36">
        <f t="shared" si="14"/>
        <v>0.5001654512019037</v>
      </c>
      <c r="AS36">
        <f t="shared" si="14"/>
        <v>138.8125</v>
      </c>
      <c r="AT36">
        <f t="shared" si="14"/>
        <v>202.40625</v>
      </c>
      <c r="AU36">
        <f t="shared" si="14"/>
        <v>92.990651797117337</v>
      </c>
      <c r="AV36">
        <f t="shared" si="14"/>
        <v>123.04070099566832</v>
      </c>
      <c r="AX36">
        <f t="shared" si="14"/>
        <v>0.84375</v>
      </c>
      <c r="AY36">
        <f t="shared" si="14"/>
        <v>43.875</v>
      </c>
      <c r="AZ36">
        <f t="shared" si="14"/>
        <v>44.96875</v>
      </c>
      <c r="BA36">
        <f t="shared" si="14"/>
        <v>-1.09375</v>
      </c>
      <c r="BB36">
        <f t="shared" si="14"/>
        <v>0.59375</v>
      </c>
      <c r="BC36">
        <f t="shared" si="14"/>
        <v>44.96875</v>
      </c>
      <c r="BD36">
        <f t="shared" si="14"/>
        <v>43.875</v>
      </c>
      <c r="BE36">
        <f t="shared" si="14"/>
        <v>1.09375</v>
      </c>
      <c r="BF36">
        <f t="shared" si="14"/>
        <v>88.84375</v>
      </c>
      <c r="BG36">
        <f t="shared" si="14"/>
        <v>88.84375</v>
      </c>
      <c r="BH36">
        <f t="shared" si="14"/>
        <v>0</v>
      </c>
      <c r="BI36">
        <f t="shared" si="14"/>
        <v>3.0582720144663966</v>
      </c>
      <c r="BJ36">
        <f t="shared" si="14"/>
        <v>3.0589003305406948</v>
      </c>
      <c r="BK36">
        <f t="shared" si="14"/>
        <v>-6.2831607429776268E-4</v>
      </c>
      <c r="BL36" t="e">
        <f t="shared" si="14"/>
        <v>#DIV/0!</v>
      </c>
      <c r="BM36" t="e">
        <f t="shared" si="14"/>
        <v>#DIV/0!</v>
      </c>
      <c r="BN36">
        <f t="shared" si="14"/>
        <v>0.58990648342670404</v>
      </c>
      <c r="BO36">
        <f t="shared" si="14"/>
        <v>0.54126049449615143</v>
      </c>
      <c r="BP36">
        <f t="shared" si="14"/>
        <v>33.8359375</v>
      </c>
      <c r="BQ36">
        <f t="shared" si="14"/>
        <v>97.704006063205</v>
      </c>
      <c r="BR36">
        <f t="shared" si="14"/>
        <v>27.857812499999994</v>
      </c>
      <c r="BS36">
        <f t="shared" si="14"/>
        <v>0.95863296078535221</v>
      </c>
      <c r="BT36">
        <f t="shared" si="14"/>
        <v>6.3125</v>
      </c>
      <c r="BU36">
        <f t="shared" si="14"/>
        <v>8.21875</v>
      </c>
      <c r="BV36">
        <f t="shared" si="14"/>
        <v>14.53125</v>
      </c>
      <c r="BW36">
        <f t="shared" si="14"/>
        <v>8.21875</v>
      </c>
      <c r="BX36">
        <f t="shared" si="14"/>
        <v>6.3125</v>
      </c>
      <c r="BY36">
        <f t="shared" si="14"/>
        <v>14.53125</v>
      </c>
      <c r="BZ36">
        <f t="shared" si="14"/>
        <v>0.49973590033900106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3</v>
      </c>
      <c r="CZ36" s="14">
        <f>COUNTIFS(Table2[AwayTeam],UPPER($CV$30), Table2[ActualAwayScore],$CW36, Table2[ActualHomeScore],CZ$31)+COUNTIFS(Table2[HomeTeam],UPPER($CV$30), Table2[ActualAwayScore],CZ$31, Table2[ActualHomeScore],$CW36)</f>
        <v>2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18</v>
      </c>
      <c r="DN36" s="14">
        <f>COUNTIFS(Table2[[ActualHomeScore]:[ActualHomeScore]],$DK36, Table2[[ActualAwayScore]:[ActualAwayScore]],DN$31)</f>
        <v>10</v>
      </c>
      <c r="DO36" s="14">
        <f>COUNTIFS(Table2[[ActualHomeScore]:[ActualHomeScore]],$DK36, Table2[[ActualAwayScore]:[ActualAwayScore]],DO$31)</f>
        <v>38</v>
      </c>
      <c r="DP36" s="127"/>
      <c r="DQ36" s="14">
        <f>COUNTIFS(Table2[[ActualHomeScore]:[ActualHomeScore]],$DK36, Table2[[ActualAwayScore]:[ActualAwayScore]],DQ$31)</f>
        <v>13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2.5731486062798625</v>
      </c>
      <c r="E37">
        <f t="shared" ref="E37:CA37" si="15">_xlfn.STDEV.P(E$2:E$33)</f>
        <v>7.9859097602550846E-2</v>
      </c>
      <c r="F37">
        <f t="shared" si="15"/>
        <v>1.9523123309296595</v>
      </c>
      <c r="G37">
        <f t="shared" si="15"/>
        <v>1.9523123309296595</v>
      </c>
      <c r="H37">
        <f t="shared" si="15"/>
        <v>1.6004760034127348</v>
      </c>
      <c r="I37">
        <f t="shared" si="15"/>
        <v>1.6004760034127348</v>
      </c>
      <c r="J37">
        <f t="shared" si="15"/>
        <v>1.1162856937182344</v>
      </c>
      <c r="K37">
        <f t="shared" si="15"/>
        <v>1.1162856937182344</v>
      </c>
      <c r="L37">
        <f t="shared" si="15"/>
        <v>2.0056073737150051</v>
      </c>
      <c r="M37">
        <f t="shared" si="15"/>
        <v>2.0155644370746373</v>
      </c>
      <c r="N37">
        <f t="shared" si="15"/>
        <v>1.0072975913303874</v>
      </c>
      <c r="O37">
        <f t="shared" si="15"/>
        <v>0.69597054535375269</v>
      </c>
      <c r="P37">
        <f t="shared" si="15"/>
        <v>2.0577597041442912</v>
      </c>
      <c r="Q37">
        <f t="shared" si="15"/>
        <v>2.392819662552947</v>
      </c>
      <c r="R37">
        <f t="shared" si="15"/>
        <v>1.1105847277448038</v>
      </c>
      <c r="S37">
        <f t="shared" si="15"/>
        <v>1</v>
      </c>
      <c r="T37">
        <f t="shared" si="15"/>
        <v>2.0425168297960239</v>
      </c>
      <c r="U37">
        <f t="shared" si="15"/>
        <v>1.9139189997228201</v>
      </c>
      <c r="V37">
        <f t="shared" si="15"/>
        <v>1.1105847277448038</v>
      </c>
      <c r="W37">
        <f t="shared" si="15"/>
        <v>0.82915619758884995</v>
      </c>
      <c r="X37">
        <f t="shared" si="15"/>
        <v>1.8768220313870998</v>
      </c>
      <c r="Y37">
        <f t="shared" si="15"/>
        <v>1.695582495781317</v>
      </c>
      <c r="Z37">
        <f t="shared" si="15"/>
        <v>0.94321176704916065</v>
      </c>
      <c r="AA37">
        <f t="shared" si="15"/>
        <v>0.649519052838329</v>
      </c>
      <c r="AC37">
        <f t="shared" si="15"/>
        <v>2.5370304368493493</v>
      </c>
      <c r="AD37">
        <f t="shared" si="15"/>
        <v>2.5615470789153965</v>
      </c>
      <c r="AE37">
        <f t="shared" si="15"/>
        <v>2.824107989702235</v>
      </c>
      <c r="AF37">
        <f t="shared" si="15"/>
        <v>2.8897380395980532</v>
      </c>
      <c r="AG37">
        <f t="shared" si="15"/>
        <v>1.4577379737113252</v>
      </c>
      <c r="AH37">
        <f t="shared" si="15"/>
        <v>1.5811388300841898</v>
      </c>
      <c r="AI37">
        <f t="shared" si="15"/>
        <v>1.192424001771182</v>
      </c>
      <c r="AJ37">
        <f t="shared" si="15"/>
        <v>1.2930100540985752</v>
      </c>
      <c r="AO37">
        <f t="shared" si="15"/>
        <v>4.9430348724240254</v>
      </c>
      <c r="AP37">
        <f t="shared" si="15"/>
        <v>7.3733446235409339</v>
      </c>
      <c r="AQ37">
        <f t="shared" si="15"/>
        <v>8.410408547333556E-2</v>
      </c>
      <c r="AR37">
        <f t="shared" si="15"/>
        <v>8.2995298783848551E-2</v>
      </c>
      <c r="AS37">
        <f t="shared" si="15"/>
        <v>5.1261431651876439</v>
      </c>
      <c r="AT37">
        <f t="shared" si="15"/>
        <v>7.561660593910573</v>
      </c>
      <c r="AU37">
        <f t="shared" si="15"/>
        <v>13.793070017627018</v>
      </c>
      <c r="AV37">
        <f t="shared" si="15"/>
        <v>20.416843500826811</v>
      </c>
      <c r="AX37">
        <f t="shared" si="15"/>
        <v>1.0034121473751452</v>
      </c>
      <c r="AY37">
        <f t="shared" si="15"/>
        <v>7.461358790461694</v>
      </c>
      <c r="AZ37">
        <f t="shared" si="15"/>
        <v>8.9738661365935251</v>
      </c>
      <c r="BA37">
        <f t="shared" si="15"/>
        <v>10.613550816644729</v>
      </c>
      <c r="BB37">
        <f t="shared" si="15"/>
        <v>0.70086442162518137</v>
      </c>
      <c r="BC37">
        <f t="shared" si="15"/>
        <v>9.0536055490340424</v>
      </c>
      <c r="BD37">
        <f t="shared" si="15"/>
        <v>8.2262916918864484</v>
      </c>
      <c r="BE37">
        <f t="shared" si="15"/>
        <v>9.9541429032086928</v>
      </c>
      <c r="BF37">
        <f t="shared" si="15"/>
        <v>9.624543414495049</v>
      </c>
      <c r="BG37">
        <f t="shared" si="15"/>
        <v>10.271652054927678</v>
      </c>
      <c r="BH37">
        <f t="shared" si="15"/>
        <v>15.309310892394864</v>
      </c>
      <c r="BI37">
        <f t="shared" si="15"/>
        <v>0.32277830065826146</v>
      </c>
      <c r="BJ37">
        <f t="shared" si="15"/>
        <v>0.34875055112281245</v>
      </c>
      <c r="BK37">
        <f t="shared" si="15"/>
        <v>0.52438667093808178</v>
      </c>
      <c r="BL37" t="e">
        <f t="shared" si="15"/>
        <v>#DIV/0!</v>
      </c>
      <c r="BM37" t="e">
        <f t="shared" si="15"/>
        <v>#DIV/0!</v>
      </c>
      <c r="BN37">
        <f t="shared" si="15"/>
        <v>0.1139797301423095</v>
      </c>
      <c r="BO37">
        <f t="shared" si="15"/>
        <v>0.13325702907347747</v>
      </c>
      <c r="BP37">
        <f t="shared" si="15"/>
        <v>1.9829442430622575</v>
      </c>
      <c r="BQ37">
        <f t="shared" si="15"/>
        <v>5.9745792412601562</v>
      </c>
      <c r="BR37">
        <f t="shared" si="15"/>
        <v>5.2351592229696484</v>
      </c>
      <c r="BS37">
        <f t="shared" si="15"/>
        <v>0.17640643717749271</v>
      </c>
      <c r="BT37">
        <f t="shared" si="15"/>
        <v>3.3488570811547036</v>
      </c>
      <c r="BU37">
        <f t="shared" si="15"/>
        <v>3.1098068167492334</v>
      </c>
      <c r="BV37">
        <f t="shared" si="15"/>
        <v>5.5395418075414868</v>
      </c>
      <c r="BW37">
        <f t="shared" si="15"/>
        <v>3.1198394890602947</v>
      </c>
      <c r="BX37">
        <f t="shared" si="15"/>
        <v>3.3018697354680726</v>
      </c>
      <c r="BY37">
        <f t="shared" si="15"/>
        <v>5.4999112208743881</v>
      </c>
      <c r="BZ37">
        <f t="shared" si="15"/>
        <v>0.1881149000276183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3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14</v>
      </c>
      <c r="DN37" s="14">
        <f>COUNTIFS(Table2[[ActualHomeScore]:[ActualHomeScore]],$DK37, Table2[[ActualAwayScore]:[ActualAwayScore]],DN$31)</f>
        <v>15</v>
      </c>
      <c r="DO37" s="14">
        <f>COUNTIFS(Table2[[ActualHomeScore]:[ActualHomeScore]],$DK37, Table2[[ActualAwayScore]:[ActualAwayScore]],DO$31)</f>
        <v>9</v>
      </c>
      <c r="DP37" s="14">
        <f>COUNTIFS(Table2[[ActualHomeScore]:[ActualHomeScore]],$DK37, Table2[[ActualAwayScore]:[ActualAwayScore]],DP$31)</f>
        <v>6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1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2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4</v>
      </c>
      <c r="DO38" s="14">
        <f>COUNTIFS(Table2[[ActualHomeScore]:[ActualHomeScore]],$DK38, Table2[[ActualAwayScore]:[ActualAwayScore]],DO$31)</f>
        <v>17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4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1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1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1</v>
      </c>
      <c r="DN39" s="14">
        <f>COUNTIFS(Table2[[ActualHomeScore]:[ActualHomeScore]],$DK39, Table2[[ActualAwayScore]:[ActualAwayScore]],DN$31)</f>
        <v>3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3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1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1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1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0.4</v>
      </c>
      <c r="CZ46" s="131">
        <f t="shared" si="16"/>
        <v>0</v>
      </c>
      <c r="DA46" s="131">
        <f t="shared" si="16"/>
        <v>0</v>
      </c>
      <c r="DB46" s="131">
        <f t="shared" si="16"/>
        <v>0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1.6</v>
      </c>
      <c r="DN46" s="131">
        <f t="shared" si="17"/>
        <v>1.5</v>
      </c>
      <c r="DO46" s="131">
        <f t="shared" si="17"/>
        <v>5.4</v>
      </c>
      <c r="DP46" s="131">
        <f>ABS(DP32*DB18)</f>
        <v>2.8</v>
      </c>
      <c r="DQ46" s="131">
        <f t="shared" si="17"/>
        <v>4</v>
      </c>
      <c r="DR46" s="131">
        <f t="shared" si="17"/>
        <v>0</v>
      </c>
      <c r="DS46" s="131">
        <f t="shared" si="17"/>
        <v>2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0.65</v>
      </c>
      <c r="CY47" s="127"/>
      <c r="CZ47" s="131">
        <f t="shared" si="18"/>
        <v>0</v>
      </c>
      <c r="DA47" s="131">
        <f t="shared" si="18"/>
        <v>1.5</v>
      </c>
      <c r="DB47" s="131">
        <f t="shared" si="18"/>
        <v>0</v>
      </c>
      <c r="DC47" s="131">
        <f t="shared" si="18"/>
        <v>0</v>
      </c>
      <c r="DD47" s="131">
        <f t="shared" si="18"/>
        <v>0</v>
      </c>
      <c r="DE47" s="131">
        <f t="shared" si="18"/>
        <v>1.1500000000000001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3.9000000000000004</v>
      </c>
      <c r="DM47" s="127"/>
      <c r="DN47" s="131">
        <f t="shared" si="19"/>
        <v>11.049999999999999</v>
      </c>
      <c r="DO47" s="131">
        <f t="shared" si="19"/>
        <v>7.5</v>
      </c>
      <c r="DP47" s="131">
        <f t="shared" si="19"/>
        <v>15.3</v>
      </c>
      <c r="DQ47" s="131">
        <f t="shared" si="19"/>
        <v>7.6</v>
      </c>
      <c r="DR47" s="131">
        <f t="shared" si="19"/>
        <v>2.1</v>
      </c>
      <c r="DS47" s="131">
        <f t="shared" si="19"/>
        <v>2.3000000000000003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0.8</v>
      </c>
      <c r="CY48" s="131">
        <f t="shared" si="20"/>
        <v>0.9</v>
      </c>
      <c r="CZ48" s="127"/>
      <c r="DA48" s="131">
        <f t="shared" si="20"/>
        <v>1.8000000000000003</v>
      </c>
      <c r="DB48" s="131">
        <f t="shared" si="20"/>
        <v>0</v>
      </c>
      <c r="DC48" s="131">
        <f t="shared" si="20"/>
        <v>0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4.8000000000000007</v>
      </c>
      <c r="DM48" s="131">
        <f t="shared" si="21"/>
        <v>19.8</v>
      </c>
      <c r="DN48" s="127"/>
      <c r="DO48" s="131">
        <f t="shared" si="21"/>
        <v>28.800000000000004</v>
      </c>
      <c r="DP48" s="131">
        <f t="shared" si="21"/>
        <v>11</v>
      </c>
      <c r="DQ48" s="131">
        <f t="shared" si="21"/>
        <v>15.400000000000002</v>
      </c>
      <c r="DR48" s="131">
        <f t="shared" si="21"/>
        <v>4.8000000000000007</v>
      </c>
      <c r="DS48" s="131">
        <f t="shared" si="21"/>
        <v>1.3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1.0499999999999998</v>
      </c>
      <c r="CZ49" s="131">
        <f t="shared" si="22"/>
        <v>1.1499999999999999</v>
      </c>
      <c r="DA49" s="127"/>
      <c r="DB49" s="131">
        <f t="shared" si="22"/>
        <v>3.4499999999999997</v>
      </c>
      <c r="DC49" s="131">
        <f t="shared" si="22"/>
        <v>2.5</v>
      </c>
      <c r="DD49" s="131">
        <f t="shared" si="22"/>
        <v>1.35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3.8</v>
      </c>
      <c r="DM49" s="131">
        <f t="shared" si="23"/>
        <v>12.599999999999998</v>
      </c>
      <c r="DN49" s="131">
        <f t="shared" si="23"/>
        <v>42.55</v>
      </c>
      <c r="DO49" s="127"/>
      <c r="DP49" s="131">
        <f t="shared" si="23"/>
        <v>39.099999999999994</v>
      </c>
      <c r="DQ49" s="131">
        <f t="shared" si="23"/>
        <v>11.25</v>
      </c>
      <c r="DR49" s="131">
        <f t="shared" si="23"/>
        <v>6.75</v>
      </c>
      <c r="DS49" s="131">
        <f t="shared" si="23"/>
        <v>2.9</v>
      </c>
      <c r="DT49" s="131">
        <f t="shared" si="23"/>
        <v>4.6500000000000004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3.5999999999999996</v>
      </c>
      <c r="CZ50" s="131">
        <f t="shared" si="24"/>
        <v>2.6</v>
      </c>
      <c r="DA50" s="131">
        <f t="shared" si="24"/>
        <v>1.4</v>
      </c>
      <c r="DB50" s="127"/>
      <c r="DC50" s="131">
        <f t="shared" si="24"/>
        <v>0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1.1000000000000001</v>
      </c>
      <c r="DM50" s="131">
        <f t="shared" si="25"/>
        <v>21.599999999999998</v>
      </c>
      <c r="DN50" s="131">
        <f t="shared" si="25"/>
        <v>13</v>
      </c>
      <c r="DO50" s="131">
        <f t="shared" si="25"/>
        <v>53.199999999999996</v>
      </c>
      <c r="DP50" s="127"/>
      <c r="DQ50" s="131">
        <f t="shared" si="25"/>
        <v>18.200000000000003</v>
      </c>
      <c r="DR50" s="131">
        <f t="shared" si="25"/>
        <v>0</v>
      </c>
      <c r="DS50" s="131">
        <f t="shared" si="25"/>
        <v>1.6</v>
      </c>
      <c r="DT50" s="131">
        <f t="shared" si="25"/>
        <v>1.7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4.0500000000000007</v>
      </c>
      <c r="CZ51" s="131">
        <f t="shared" si="26"/>
        <v>0</v>
      </c>
      <c r="DA51" s="131">
        <f t="shared" si="26"/>
        <v>0</v>
      </c>
      <c r="DB51" s="131">
        <f t="shared" si="26"/>
        <v>0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18.900000000000002</v>
      </c>
      <c r="DN51" s="131">
        <f t="shared" si="27"/>
        <v>21.75</v>
      </c>
      <c r="DO51" s="131">
        <f t="shared" si="27"/>
        <v>13.950000000000001</v>
      </c>
      <c r="DP51" s="131">
        <f t="shared" si="27"/>
        <v>9.8999999999999986</v>
      </c>
      <c r="DQ51" s="127"/>
      <c r="DR51" s="131">
        <f t="shared" si="27"/>
        <v>4.95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1.5</v>
      </c>
      <c r="CZ52" s="131">
        <f t="shared" si="28"/>
        <v>0</v>
      </c>
      <c r="DA52" s="131">
        <f t="shared" si="28"/>
        <v>0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2.8</v>
      </c>
      <c r="DM52" s="131">
        <f t="shared" si="29"/>
        <v>4.5</v>
      </c>
      <c r="DN52" s="131">
        <f t="shared" si="29"/>
        <v>6.3999999999999995</v>
      </c>
      <c r="DO52" s="131">
        <f t="shared" si="29"/>
        <v>28.9</v>
      </c>
      <c r="DP52" s="131">
        <f t="shared" si="29"/>
        <v>1.7999999999999998</v>
      </c>
      <c r="DQ52" s="131">
        <f t="shared" si="29"/>
        <v>7.6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1.6500000000000001</v>
      </c>
      <c r="CZ53" s="131">
        <f t="shared" si="30"/>
        <v>0</v>
      </c>
      <c r="DA53" s="131">
        <f t="shared" si="30"/>
        <v>0</v>
      </c>
      <c r="DB53" s="131">
        <f t="shared" si="30"/>
        <v>1.9500000000000002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1.6500000000000001</v>
      </c>
      <c r="DN53" s="131">
        <f t="shared" si="31"/>
        <v>5.25</v>
      </c>
      <c r="DO53" s="131">
        <f t="shared" si="31"/>
        <v>3.7</v>
      </c>
      <c r="DP53" s="131">
        <f t="shared" si="31"/>
        <v>5.8500000000000005</v>
      </c>
      <c r="DQ53" s="131">
        <f t="shared" si="31"/>
        <v>0</v>
      </c>
      <c r="DR53" s="131">
        <f t="shared" si="31"/>
        <v>2.1500000000000004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2.1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2.2000000000000002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2.15</v>
      </c>
      <c r="DP55" s="131">
        <f t="shared" si="35"/>
        <v>2.25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35.549999999999997</v>
      </c>
      <c r="DW57" s="88">
        <f>SUM(DL46:DV56)</f>
        <v>544.54999999999995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R1048576 AQ1:AR34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37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36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2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2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4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34</v>
      </c>
      <c r="E3" s="62">
        <f>INDEX(Table3[PTS], MATCH(Table6[[#This Row],[Teams]], Table3[Teams],0))</f>
        <v>34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35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4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2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26</v>
      </c>
      <c r="E4" s="62">
        <f>INDEX(Table3[PTS], MATCH(Table6[[#This Row],[Teams]], Table3[Teams],0))</f>
        <v>26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31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4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2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36</v>
      </c>
      <c r="E5" s="62">
        <f>INDEX(Table3[PTS], MATCH(Table6[[#This Row],[Teams]], Table3[Teams],0))</f>
        <v>36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28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2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2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4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32</v>
      </c>
      <c r="E6" s="62">
        <f>INDEX(Table3[PTS], MATCH(Table6[[#This Row],[Teams]], Table3[Teams],0))</f>
        <v>32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25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2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28</v>
      </c>
      <c r="E7" s="62">
        <f>INDEX(Table3[PTS], MATCH(Table6[[#This Row],[Teams]], Table3[Teams],0))</f>
        <v>28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37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3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2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30</v>
      </c>
      <c r="E8" s="62">
        <f>INDEX(Table3[PTS], MATCH(Table6[[#This Row],[Teams]], Table3[Teams],0))</f>
        <v>30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48</v>
      </c>
      <c r="E9" s="62">
        <f>INDEX(Table3[PTS], MATCH(Table6[[#This Row],[Teams]], Table3[Teams],0))</f>
        <v>48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31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2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45</v>
      </c>
      <c r="E10" s="62">
        <f>INDEX(Table3[PTS], MATCH(Table6[[#This Row],[Teams]], Table3[Teams],0))</f>
        <v>45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35</v>
      </c>
      <c r="E11" s="62">
        <f>INDEX(Table3[PTS], MATCH(Table6[[#This Row],[Teams]], Table3[Teams],0))</f>
        <v>35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31</v>
      </c>
      <c r="E12" s="62">
        <f>INDEX(Table3[PTS], MATCH(Table6[[#This Row],[Teams]], Table3[Teams],0))</f>
        <v>31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29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2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1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30</v>
      </c>
      <c r="E13" s="62">
        <f>INDEX(Table3[PTS], MATCH(Table6[[#This Row],[Teams]], Table3[Teams],0))</f>
        <v>30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45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2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2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1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2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35</v>
      </c>
      <c r="E14" s="62">
        <f>INDEX(Table3[PTS], MATCH(Table6[[#This Row],[Teams]], Table3[Teams],0))</f>
        <v>35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48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4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2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4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2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37</v>
      </c>
      <c r="E15" s="62">
        <f>INDEX(Table3[PTS], MATCH(Table6[[#This Row],[Teams]], Table3[Teams],0))</f>
        <v>37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30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2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4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33</v>
      </c>
      <c r="E16" s="62">
        <f>INDEX(Table3[PTS], MATCH(Table6[[#This Row],[Teams]], Table3[Teams],0))</f>
        <v>33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37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2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2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33</v>
      </c>
      <c r="E17" s="62">
        <f>INDEX(Table3[PTS], MATCH(Table6[[#This Row],[Teams]], Table3[Teams],0))</f>
        <v>33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31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3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2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24</v>
      </c>
      <c r="E18" s="62">
        <f>INDEX(Table3[PTS], MATCH(Table6[[#This Row],[Teams]], Table3[Teams],0))</f>
        <v>24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24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4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2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35</v>
      </c>
      <c r="E19" s="62">
        <f>INDEX(Table3[PTS], MATCH(Table6[[#This Row],[Teams]], Table3[Teams],0))</f>
        <v>35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30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2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1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34</v>
      </c>
      <c r="E20" s="62">
        <f>INDEX(Table3[PTS], MATCH(Table6[[#This Row],[Teams]], Table3[Teams],0))</f>
        <v>34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30</v>
      </c>
      <c r="E21" s="62">
        <f>INDEX(Table3[PTS], MATCH(Table6[[#This Row],[Teams]], Table3[Teams],0))</f>
        <v>30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32</v>
      </c>
      <c r="E22" s="62">
        <f>INDEX(Table3[PTS], MATCH(Table6[[#This Row],[Teams]], Table3[Teams],0))</f>
        <v>32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39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1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4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2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6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34</v>
      </c>
      <c r="E23" s="62">
        <f>INDEX(Table3[PTS], MATCH(Table6[[#This Row],[Teams]], Table3[Teams],0))</f>
        <v>34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36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2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33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31</v>
      </c>
      <c r="E25" s="62">
        <f>INDEX(Table3[PTS], MATCH(Table6[[#This Row],[Teams]], Table3[Teams],0))</f>
        <v>31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34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1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1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2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2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30</v>
      </c>
      <c r="E26" s="62">
        <f>INDEX(Table3[PTS], MATCH(Table6[[#This Row],[Teams]], Table3[Teams],0))</f>
        <v>30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35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2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4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34</v>
      </c>
      <c r="E27" s="62">
        <f>INDEX(Table3[PTS], MATCH(Table6[[#This Row],[Teams]], Table3[Teams],0))</f>
        <v>34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32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3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1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32</v>
      </c>
      <c r="E28" s="62">
        <f>INDEX(Table3[PTS], MATCH(Table6[[#This Row],[Teams]], Table3[Teams],0))</f>
        <v>32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34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1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2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31</v>
      </c>
      <c r="E29" s="62">
        <f>INDEX(Table3[PTS], MATCH(Table6[[#This Row],[Teams]], Table3[Teams],0))</f>
        <v>31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32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2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25</v>
      </c>
      <c r="E30" s="62">
        <f>INDEX(Table3[PTS], MATCH(Table6[[#This Row],[Teams]], Table3[Teams],0))</f>
        <v>25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36</v>
      </c>
      <c r="E31" s="62">
        <f>INDEX(Table3[PTS], MATCH(Table6[[#This Row],[Teams]], Table3[Teams],0))</f>
        <v>36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29</v>
      </c>
      <c r="E32" s="62">
        <f>INDEX(Table3[PTS], MATCH(Table6[[#This Row],[Teams]], Table3[Teams],0))</f>
        <v>29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32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2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2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4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2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1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39</v>
      </c>
      <c r="E33" s="116">
        <f>INDEX(Table3[PTS], MATCH(Table6[[#This Row],[Teams]], Table3[Teams],0))</f>
        <v>39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34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2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30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2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3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2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30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2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2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2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3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33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2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2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35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2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2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2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1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2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26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34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35</v>
      </c>
    </row>
    <row r="42" spans="1:53" x14ac:dyDescent="0.25">
      <c r="U42" cm="1">
        <f t="array" ref="U42">SMALL(U35:U39 + U25:U29,5)</f>
        <v>68</v>
      </c>
    </row>
    <row r="44" spans="1:53" x14ac:dyDescent="0.25">
      <c r="U44">
        <f>LARGE(_xlfn._xlws.SORT(_xlfn.VSTACK(U35:U39,U25:U29),1,-1), 1)</f>
        <v>35</v>
      </c>
    </row>
    <row r="45" spans="1:53" x14ac:dyDescent="0.25">
      <c r="U45">
        <f>LARGE(_xlfn._xlws.SORT(_xlfn.VSTACK(U35:U39,U25:U29),1,-1), 2)</f>
        <v>35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14</v>
      </c>
      <c r="BP3" s="166">
        <f>BO3+BO4</f>
        <v>29</v>
      </c>
      <c r="BQ3" s="167">
        <f>82-BP3</f>
        <v>53</v>
      </c>
    </row>
    <row r="4" spans="1:69" ht="12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66"/>
      <c r="BQ4" s="167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18</v>
      </c>
      <c r="BP5" s="166">
        <f t="shared" ref="BP5" si="1">BO5+BO6</f>
        <v>31</v>
      </c>
      <c r="BQ5" s="167">
        <f t="shared" ref="BQ5" si="2">82-BP5</f>
        <v>51</v>
      </c>
    </row>
    <row r="6" spans="1:69" ht="12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13</v>
      </c>
      <c r="BP6" s="166"/>
      <c r="BQ6" s="167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17</v>
      </c>
      <c r="BP7" s="166">
        <f t="shared" ref="BP7" si="3">BO7+BO8</f>
        <v>29</v>
      </c>
      <c r="BQ7" s="167">
        <f t="shared" ref="BQ7" si="4">82-BP7</f>
        <v>53</v>
      </c>
    </row>
    <row r="8" spans="1:69" ht="12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12</v>
      </c>
      <c r="BP8" s="166"/>
      <c r="BQ8" s="167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16</v>
      </c>
      <c r="BP9" s="166">
        <f t="shared" ref="BP9" si="5">BO9+BO10</f>
        <v>29</v>
      </c>
      <c r="BQ9" s="167">
        <f t="shared" ref="BQ9" si="6">82-BP9</f>
        <v>53</v>
      </c>
    </row>
    <row r="10" spans="1:69" ht="12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13</v>
      </c>
      <c r="BP10" s="166"/>
      <c r="BQ10" s="167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13</v>
      </c>
      <c r="BP11" s="166">
        <f t="shared" ref="BP11" si="7">BO11+BO12</f>
        <v>27</v>
      </c>
      <c r="BQ11" s="167">
        <f t="shared" ref="BQ11" si="8">82-BP11</f>
        <v>55</v>
      </c>
    </row>
    <row r="12" spans="1:69" ht="12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14</v>
      </c>
      <c r="BP12" s="166"/>
      <c r="BQ12" s="167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13</v>
      </c>
      <c r="BP13" s="166">
        <f t="shared" ref="BP13" si="9">BO13+BO14</f>
        <v>30</v>
      </c>
      <c r="BQ13" s="167">
        <f t="shared" ref="BQ13" si="10">82-BP13</f>
        <v>52</v>
      </c>
    </row>
    <row r="14" spans="1:69" ht="12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17</v>
      </c>
      <c r="BP14" s="166"/>
      <c r="BQ14" s="167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16</v>
      </c>
      <c r="BP15" s="166">
        <f t="shared" ref="BP15" si="11">BO15+BO16</f>
        <v>30</v>
      </c>
      <c r="BQ15" s="167">
        <f t="shared" ref="BQ15" si="12">82-BP15</f>
        <v>52</v>
      </c>
    </row>
    <row r="16" spans="1:69" ht="12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14</v>
      </c>
      <c r="BP16" s="166"/>
      <c r="BQ16" s="167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13</v>
      </c>
      <c r="BP17" s="166">
        <f t="shared" ref="BP17" si="13">BO17+BO18</f>
        <v>28</v>
      </c>
      <c r="BQ17" s="167">
        <f t="shared" ref="BQ17" si="14">82-BP17</f>
        <v>54</v>
      </c>
    </row>
    <row r="18" spans="1:69" ht="12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15</v>
      </c>
      <c r="BP18" s="166"/>
      <c r="BQ18" s="167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15</v>
      </c>
      <c r="BP19" s="166">
        <f t="shared" ref="BP19" si="15">BO19+BO20</f>
        <v>29</v>
      </c>
      <c r="BQ19" s="167">
        <f t="shared" ref="BQ19" si="16">82-BP19</f>
        <v>53</v>
      </c>
    </row>
    <row r="20" spans="1:69" ht="12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14</v>
      </c>
      <c r="BP20" s="166"/>
      <c r="BQ20" s="167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16</v>
      </c>
      <c r="BP21" s="166">
        <f t="shared" ref="BP21" si="17">BO21+BO22</f>
        <v>29</v>
      </c>
      <c r="BQ21" s="167">
        <f t="shared" ref="BQ21" si="18">82-BP21</f>
        <v>53</v>
      </c>
    </row>
    <row r="22" spans="1:69" ht="12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13</v>
      </c>
      <c r="BP22" s="166"/>
      <c r="BQ22" s="167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15</v>
      </c>
      <c r="BP23" s="166">
        <f t="shared" ref="BP23" si="19">BO23+BO24</f>
        <v>30</v>
      </c>
      <c r="BQ23" s="167">
        <f t="shared" ref="BQ23" si="20">82-BP23</f>
        <v>52</v>
      </c>
    </row>
    <row r="24" spans="1:69" ht="12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15</v>
      </c>
      <c r="BP24" s="166"/>
      <c r="BQ24" s="167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15</v>
      </c>
      <c r="BP25" s="166">
        <f t="shared" ref="BP25" si="21">BO25+BO26</f>
        <v>30</v>
      </c>
      <c r="BQ25" s="167">
        <f t="shared" ref="BQ25" si="22">82-BP25</f>
        <v>52</v>
      </c>
    </row>
    <row r="26" spans="1:69" ht="12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15</v>
      </c>
      <c r="BP26" s="166"/>
      <c r="BQ26" s="167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12</v>
      </c>
      <c r="BP27" s="166">
        <f t="shared" ref="BP27" si="23">BO27+BO28</f>
        <v>28</v>
      </c>
      <c r="BQ27" s="167">
        <f t="shared" ref="BQ27" si="24">82-BP27</f>
        <v>54</v>
      </c>
    </row>
    <row r="28" spans="1:69" ht="12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16</v>
      </c>
      <c r="BP28" s="166"/>
      <c r="BQ28" s="167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15</v>
      </c>
      <c r="BP29" s="166">
        <f t="shared" ref="BP29" si="25">BO29+BO30</f>
        <v>30</v>
      </c>
      <c r="BQ29" s="167">
        <f t="shared" ref="BQ29" si="26">82-BP29</f>
        <v>52</v>
      </c>
    </row>
    <row r="30" spans="1:69" ht="12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15</v>
      </c>
      <c r="BP30" s="166"/>
      <c r="BQ30" s="167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19</v>
      </c>
      <c r="BP31" s="166">
        <f t="shared" ref="BP31" si="27">BO31+BO32</f>
        <v>31</v>
      </c>
      <c r="BQ31" s="167">
        <f t="shared" ref="BQ31" si="28">82-BP31</f>
        <v>51</v>
      </c>
    </row>
    <row r="32" spans="1:69" ht="12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12</v>
      </c>
      <c r="BP32" s="166"/>
      <c r="BQ32" s="167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16</v>
      </c>
      <c r="BP33" s="166">
        <f t="shared" ref="BP33" si="29">BO33+BO34</f>
        <v>28</v>
      </c>
      <c r="BQ33" s="167">
        <f t="shared" ref="BQ33" si="30">82-BP33</f>
        <v>54</v>
      </c>
    </row>
    <row r="34" spans="1:69" ht="12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12</v>
      </c>
      <c r="BP34" s="166"/>
      <c r="BQ34" s="167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66">
        <f t="shared" ref="BP35" si="31">BO35+BO36</f>
        <v>28</v>
      </c>
      <c r="BQ35" s="167">
        <f t="shared" ref="BQ35" si="32">82-BP35</f>
        <v>54</v>
      </c>
    </row>
    <row r="36" spans="1:69" ht="12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0"/>
        <v>15</v>
      </c>
      <c r="BP36" s="166"/>
      <c r="BQ36" s="167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17</v>
      </c>
      <c r="BP37" s="166">
        <f t="shared" ref="BP37" si="33">BO37+BO38</f>
        <v>29</v>
      </c>
      <c r="BQ37" s="167">
        <f t="shared" ref="BQ37" si="34">82-BP37</f>
        <v>53</v>
      </c>
    </row>
    <row r="38" spans="1:69" ht="12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12</v>
      </c>
      <c r="BP38" s="166"/>
      <c r="BQ38" s="167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15</v>
      </c>
      <c r="BP39" s="166">
        <f t="shared" ref="BP39" si="35">BO39+BO40</f>
        <v>29</v>
      </c>
      <c r="BQ39" s="167">
        <f t="shared" ref="BQ39" si="36">82-BP39</f>
        <v>53</v>
      </c>
    </row>
    <row r="40" spans="1:69" ht="12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14</v>
      </c>
      <c r="BP40" s="166"/>
      <c r="BQ40" s="167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15</v>
      </c>
      <c r="BP41" s="166">
        <f t="shared" ref="BP41" si="37">BO41+BO42</f>
        <v>30</v>
      </c>
      <c r="BQ41" s="167">
        <f t="shared" ref="BQ41" si="38">82-BP41</f>
        <v>52</v>
      </c>
    </row>
    <row r="42" spans="1:69" ht="12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15</v>
      </c>
      <c r="BP42" s="166"/>
      <c r="BQ42" s="167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17</v>
      </c>
      <c r="BP43" s="166">
        <f t="shared" ref="BP43" si="39">BO43+BO44</f>
        <v>31</v>
      </c>
      <c r="BQ43" s="167">
        <f t="shared" ref="BQ43" si="40">82-BP43</f>
        <v>51</v>
      </c>
    </row>
    <row r="44" spans="1:69" ht="12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14</v>
      </c>
      <c r="BP44" s="166"/>
      <c r="BQ44" s="167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11</v>
      </c>
      <c r="BP45" s="166">
        <f t="shared" ref="BP45" si="41">BO45+BO46</f>
        <v>27</v>
      </c>
      <c r="BQ45" s="167">
        <f t="shared" ref="BQ45" si="42">82-BP45</f>
        <v>55</v>
      </c>
    </row>
    <row r="46" spans="1:69" ht="12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16</v>
      </c>
      <c r="BP46" s="166"/>
      <c r="BQ46" s="167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15</v>
      </c>
      <c r="BP47" s="166">
        <f t="shared" ref="BP47" si="43">BO47+BO48</f>
        <v>27</v>
      </c>
      <c r="BQ47" s="167">
        <f t="shared" ref="BQ47" si="44">82-BP47</f>
        <v>55</v>
      </c>
    </row>
    <row r="48" spans="1:69" ht="12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12</v>
      </c>
      <c r="BP48" s="166"/>
      <c r="BQ48" s="167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14</v>
      </c>
      <c r="BP49" s="166">
        <f t="shared" ref="BP49" si="45">BO49+BO50</f>
        <v>30</v>
      </c>
      <c r="BQ49" s="167">
        <f t="shared" ref="BQ49" si="46">82-BP49</f>
        <v>52</v>
      </c>
    </row>
    <row r="50" spans="1:69" ht="12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16</v>
      </c>
      <c r="BP50" s="166"/>
      <c r="BQ50" s="167"/>
    </row>
    <row r="51" spans="1:69" ht="12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14</v>
      </c>
      <c r="BP51" s="166">
        <f t="shared" ref="BP51" si="47">BO51+BO52</f>
        <v>30</v>
      </c>
      <c r="BQ51" s="167">
        <f t="shared" ref="BQ51" si="48">82-BP51</f>
        <v>52</v>
      </c>
    </row>
    <row r="52" spans="1:69" ht="12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16</v>
      </c>
      <c r="BP52" s="166"/>
      <c r="BQ52" s="167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13</v>
      </c>
      <c r="BP53" s="166">
        <f t="shared" ref="BP53" si="49">BO53+BO54</f>
        <v>29</v>
      </c>
      <c r="BQ53" s="167">
        <f t="shared" ref="BQ53" si="50">82-BP53</f>
        <v>53</v>
      </c>
    </row>
    <row r="54" spans="1:69" ht="12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66"/>
      <c r="BQ54" s="167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14</v>
      </c>
      <c r="BP55" s="166">
        <f t="shared" ref="BP55" si="51">BO55+BO56</f>
        <v>30</v>
      </c>
      <c r="BQ55" s="167">
        <f t="shared" ref="BQ55" si="52">82-BP55</f>
        <v>52</v>
      </c>
    </row>
    <row r="56" spans="1:69" ht="12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16</v>
      </c>
      <c r="BP56" s="166"/>
      <c r="BQ56" s="167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10</v>
      </c>
      <c r="BP57" s="166">
        <f t="shared" ref="BP57" si="53">BO57+BO58</f>
        <v>28</v>
      </c>
      <c r="BQ57" s="167">
        <f t="shared" ref="BQ57" si="54">82-BP57</f>
        <v>54</v>
      </c>
    </row>
    <row r="58" spans="1:69" ht="12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0"/>
        <v>18</v>
      </c>
      <c r="BP58" s="166"/>
      <c r="BQ58" s="167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0"/>
        <v>13</v>
      </c>
      <c r="BP59" s="166">
        <f t="shared" ref="BP59" si="55">BO59+BO60</f>
        <v>28</v>
      </c>
      <c r="BQ59" s="167">
        <f t="shared" ref="BQ59" si="56">82-BP59</f>
        <v>54</v>
      </c>
    </row>
    <row r="60" spans="1:69" ht="12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15</v>
      </c>
      <c r="BP60" s="166"/>
      <c r="BQ60" s="167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15</v>
      </c>
      <c r="BP61" s="166">
        <f t="shared" ref="BP61" si="57">BO61+BO62</f>
        <v>28</v>
      </c>
      <c r="BQ61" s="167">
        <f t="shared" ref="BQ61" si="58">82-BP61</f>
        <v>54</v>
      </c>
    </row>
    <row r="62" spans="1:69" ht="12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13</v>
      </c>
      <c r="BP62" s="166"/>
      <c r="BQ62" s="167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0"/>
        <v>14</v>
      </c>
      <c r="BP63" s="166">
        <f t="shared" ref="BP63" si="59">BO63+BO64</f>
        <v>29</v>
      </c>
      <c r="BQ63" s="167">
        <f t="shared" ref="BQ63" si="60">82-BP63</f>
        <v>53</v>
      </c>
    </row>
    <row r="64" spans="1:69" ht="12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15</v>
      </c>
      <c r="BP64" s="166"/>
      <c r="BQ64" s="167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12</v>
      </c>
      <c r="BP65" s="166">
        <f t="shared" ref="BP65" si="61">BO65+BO66</f>
        <v>29</v>
      </c>
      <c r="BQ65" s="167">
        <f t="shared" ref="BQ65" si="62">82-BP65</f>
        <v>53</v>
      </c>
    </row>
    <row r="66" spans="1:69" ht="12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0"/>
        <v>17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465</v>
      </c>
      <c r="BQ67" s="27">
        <f>SUM(BQ3:BQ66)/2</f>
        <v>847</v>
      </c>
    </row>
    <row r="68" spans="1:69" x14ac:dyDescent="0.25">
      <c r="BP68" s="43">
        <f>2*BP67/SUM(BP3:BQ66)</f>
        <v>0.35442073170731708</v>
      </c>
      <c r="BQ68" s="43">
        <f>2*BQ67/SUM(BP3:BQ66)</f>
        <v>0.64557926829268297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Y19" sqref="Y19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1-1-1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1-1-0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1-0-0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1-1-0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0-2-0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1-1-0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2-0-0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2-1-0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0-1-0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1-0-0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2-1-0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1-0-0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0-2-0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1-2-0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0-1-0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0-2-0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0-1-0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1-1-0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0-1-0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0-1-1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1-1-0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0-1-0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0-1-0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1-0-0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1-0-0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2-0-0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2-1-0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1-2-0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0-0-1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2-0-0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1-1-0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2-0-0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1-0-0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1-0-0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1-0-0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0-0-1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1-0-0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1-1-0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1-0-0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1-0-0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1-1-0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2-0-0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0-1-0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1-1-0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0-1-0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1-0-0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2-0-0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1-0-1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1-1-0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0-1-0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1-0-0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0-1-0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1-1-0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0-0-1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1-1-0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1-0-0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1-1-0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0-3-0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1-0-1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0-0-1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0-1-0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0-1-0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0-1-0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1-1-0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0-1-0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2-0-0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0-1-1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0-1-1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1-0-0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1-0-0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0-1-0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1-0-0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0-0-1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1-0-0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0-0-1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2-0-0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1-0-0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3-0-0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1-0-0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1-0-0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1-1-0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0-2-0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1-1-0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0-1-0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2-0-0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1-0-0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1-0-1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1-0-1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1-0-1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1-0-0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1-0-0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0-1-0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0-1-0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1-0-0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1-1-0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2-1-0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0-2-0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0-1-0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1-0-1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0-2-0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0-1-0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0-1-0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1-1-0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1-0-0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1-1-1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1-0-0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0.33333333333333331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>0.5</v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0.47222222222222221</v>
      </c>
      <c r="AI37" s="101">
        <f>AVERAGE($B37:$Q37)</f>
        <v>0.54487179487179493</v>
      </c>
      <c r="AJ37" s="103">
        <f>AVERAGE($Z37:$AG37)</f>
        <v>0.45</v>
      </c>
      <c r="AK37" s="103">
        <f>AVERAGE($R37:$Y37)</f>
        <v>0.5</v>
      </c>
      <c r="AL37" s="103">
        <f>AVERAGE($J37:$Q37)</f>
        <v>0.54166666666666663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0.25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0.25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0.75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0.52500000000000002</v>
      </c>
      <c r="AI38" s="101">
        <f t="shared" ref="AI38:AI68" si="1">AVERAGE($B38:$Q38)</f>
        <v>0.37121212121212116</v>
      </c>
      <c r="AJ38" s="103">
        <f t="shared" ref="AJ38:AJ68" si="2">AVERAGE($Z38:$AG38)</f>
        <v>0.45833333333333331</v>
      </c>
      <c r="AK38" s="103">
        <f t="shared" ref="AK38:AK68" si="3">AVERAGE($R38:$Y38)</f>
        <v>0.625</v>
      </c>
      <c r="AL38" s="103">
        <f t="shared" ref="AL38:AL68" si="4">AVERAGE($J38:$Q38)</f>
        <v>0.26190476190476192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>0.5</v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>0.5</v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0.46153846153846156</v>
      </c>
      <c r="AI39" s="101">
        <f t="shared" si="1"/>
        <v>0.45</v>
      </c>
      <c r="AJ39" s="103">
        <f t="shared" si="2"/>
        <v>0.5</v>
      </c>
      <c r="AK39" s="103">
        <f t="shared" si="3"/>
        <v>0.42857142857142855</v>
      </c>
      <c r="AL39" s="103">
        <f t="shared" si="4"/>
        <v>0.42857142857142855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0.66666666666666663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>1</v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0.25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0.625</v>
      </c>
      <c r="AI40" s="101">
        <f t="shared" si="1"/>
        <v>0.68055555555555547</v>
      </c>
      <c r="AJ40" s="103">
        <f t="shared" si="2"/>
        <v>0.70833333333333337</v>
      </c>
      <c r="AK40" s="103">
        <f t="shared" si="3"/>
        <v>0.5</v>
      </c>
      <c r="AL40" s="103">
        <f t="shared" si="4"/>
        <v>0.67708333333333326</v>
      </c>
      <c r="AM40" s="103">
        <f t="shared" si="5"/>
        <v>0.6875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0.33333333333333331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>0.5</v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0.25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0.47499999999999998</v>
      </c>
      <c r="AI41" s="101">
        <f t="shared" si="1"/>
        <v>0.56481481481481477</v>
      </c>
      <c r="AJ41" s="103">
        <f t="shared" si="2"/>
        <v>0.5625</v>
      </c>
      <c r="AK41" s="103">
        <f t="shared" si="3"/>
        <v>0.41666666666666669</v>
      </c>
      <c r="AL41" s="103">
        <f t="shared" si="4"/>
        <v>0.65</v>
      </c>
      <c r="AM41" s="103">
        <f t="shared" si="5"/>
        <v>0.45833333333333331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>0</v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0.75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>0.5</v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0.5</v>
      </c>
      <c r="AI42" s="101">
        <f t="shared" si="1"/>
        <v>0.39393939393939398</v>
      </c>
      <c r="AJ42" s="103">
        <f t="shared" si="2"/>
        <v>0.5</v>
      </c>
      <c r="AK42" s="103">
        <f t="shared" si="3"/>
        <v>0.5</v>
      </c>
      <c r="AL42" s="103">
        <f t="shared" si="4"/>
        <v>0.41666666666666663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0.25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0.25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>0.5</v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>0.5</v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</v>
      </c>
      <c r="AJ43" s="103">
        <f t="shared" si="2"/>
        <v>0.5</v>
      </c>
      <c r="AK43" s="103">
        <f t="shared" si="3"/>
        <v>0.5</v>
      </c>
      <c r="AL43" s="103">
        <f t="shared" si="4"/>
        <v>0.53125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>0.5</v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>1</v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0.75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0.57499999999999996</v>
      </c>
      <c r="AI44" s="102">
        <f t="shared" si="1"/>
        <v>0.6</v>
      </c>
      <c r="AJ44" s="104">
        <f t="shared" si="2"/>
        <v>0.45833333333333331</v>
      </c>
      <c r="AK44" s="104">
        <f t="shared" si="3"/>
        <v>0.75</v>
      </c>
      <c r="AL44" s="104">
        <f t="shared" si="4"/>
        <v>0.6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0.33333333333333331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>0.5</v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0.50641025641025639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0.51190476190476186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0.75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1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0.25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0.75</v>
      </c>
      <c r="W46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>1</v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0.6</v>
      </c>
      <c r="AI46" s="101">
        <f t="shared" si="1"/>
        <v>0.75</v>
      </c>
      <c r="AJ46" s="103">
        <f t="shared" si="2"/>
        <v>0.5</v>
      </c>
      <c r="AK46" s="103">
        <f t="shared" si="3"/>
        <v>0.66666666666666663</v>
      </c>
      <c r="AL46" s="103">
        <f t="shared" si="4"/>
        <v>0.7</v>
      </c>
      <c r="AM46" s="103">
        <f t="shared" si="5"/>
        <v>0.79166666666666663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>0.5</v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>1</v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>0.5</v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>0.5</v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0.60416666666666663</v>
      </c>
      <c r="AI47" s="101">
        <f t="shared" si="1"/>
        <v>0.63461538461538458</v>
      </c>
      <c r="AJ47" s="103">
        <f t="shared" si="2"/>
        <v>0.6875</v>
      </c>
      <c r="AK47" s="103">
        <f t="shared" si="3"/>
        <v>0.5625</v>
      </c>
      <c r="AL47" s="103">
        <f t="shared" si="4"/>
        <v>0.66666666666666663</v>
      </c>
      <c r="AM47" s="103">
        <f t="shared" si="5"/>
        <v>0.6071428571428571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0.25</v>
      </c>
      <c r="D48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>1</v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>1</v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0.25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0.58333333333333337</v>
      </c>
      <c r="AJ48" s="103">
        <f t="shared" si="2"/>
        <v>0.5</v>
      </c>
      <c r="AK48" s="103">
        <f t="shared" si="3"/>
        <v>0.5</v>
      </c>
      <c r="AL48" s="103">
        <f t="shared" si="4"/>
        <v>0.6071428571428571</v>
      </c>
      <c r="AM48" s="103">
        <f t="shared" si="5"/>
        <v>0.5625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>0</v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0.75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0.43181818181818182</v>
      </c>
      <c r="AI49" s="101">
        <f t="shared" si="1"/>
        <v>0.52500000000000002</v>
      </c>
      <c r="AJ49" s="103">
        <f t="shared" si="2"/>
        <v>0.625</v>
      </c>
      <c r="AK49" s="103">
        <f t="shared" si="3"/>
        <v>0.2</v>
      </c>
      <c r="AL49" s="103">
        <f t="shared" si="4"/>
        <v>0.54166666666666663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>0</v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>1</v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0.75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0.42307692307692307</v>
      </c>
      <c r="AI50" s="101">
        <f t="shared" si="1"/>
        <v>0.54545454545454541</v>
      </c>
      <c r="AJ50" s="103">
        <f t="shared" si="2"/>
        <v>0.58333333333333337</v>
      </c>
      <c r="AK50" s="103">
        <f t="shared" si="3"/>
        <v>0.2857142857142857</v>
      </c>
      <c r="AL50" s="103">
        <f t="shared" si="4"/>
        <v>0.5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0.75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0.25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>0.5</v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>1</v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0.375</v>
      </c>
      <c r="AI51" s="101">
        <f t="shared" si="1"/>
        <v>0.50595238095238093</v>
      </c>
      <c r="AJ51" s="103">
        <f t="shared" si="2"/>
        <v>0.33333333333333331</v>
      </c>
      <c r="AK51" s="103">
        <f t="shared" si="3"/>
        <v>0.5</v>
      </c>
      <c r="AL51" s="103">
        <f t="shared" si="4"/>
        <v>0.5357142857142857</v>
      </c>
      <c r="AM51" s="103">
        <f t="shared" si="5"/>
        <v>0.47619047619047616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>0</v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</v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0.25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>0.5</v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0.5</v>
      </c>
      <c r="AI52" s="102">
        <f t="shared" si="1"/>
        <v>0.44444444444444448</v>
      </c>
      <c r="AJ52" s="104">
        <f t="shared" si="2"/>
        <v>0.375</v>
      </c>
      <c r="AK52" s="104">
        <f t="shared" si="3"/>
        <v>0.54166666666666663</v>
      </c>
      <c r="AL52" s="104">
        <f t="shared" si="4"/>
        <v>0.6</v>
      </c>
      <c r="AM52" s="104">
        <f t="shared" si="5"/>
        <v>0.33333333333333337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0.75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>0.5</v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0.75</v>
      </c>
      <c r="AH53" s="101">
        <f t="shared" si="0"/>
        <v>0.53125</v>
      </c>
      <c r="AI53" s="101">
        <f>AVERAGE($B53:$Q53)</f>
        <v>0.60416666666666663</v>
      </c>
      <c r="AJ53" s="103">
        <f t="shared" si="2"/>
        <v>0.5</v>
      </c>
      <c r="AK53" s="103">
        <f t="shared" si="3"/>
        <v>0.55000000000000004</v>
      </c>
      <c r="AL53" s="103">
        <f t="shared" si="4"/>
        <v>0.55000000000000004</v>
      </c>
      <c r="AM53" s="103">
        <f t="shared" si="5"/>
        <v>0.6428571428571429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0.16666666666666666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>0.5</v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0.53030303030303028</v>
      </c>
      <c r="AI54" s="101">
        <f t="shared" si="1"/>
        <v>0.45</v>
      </c>
      <c r="AJ54" s="103">
        <f t="shared" si="2"/>
        <v>0.61111111111111105</v>
      </c>
      <c r="AK54" s="103">
        <f t="shared" si="3"/>
        <v>0.43333333333333329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>0.5</v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>0.5</v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>0</v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0.51923076923076927</v>
      </c>
      <c r="AI55" s="101">
        <f t="shared" si="1"/>
        <v>0.5</v>
      </c>
      <c r="AJ55" s="103">
        <f t="shared" si="2"/>
        <v>0.5357142857142857</v>
      </c>
      <c r="AK55" s="103">
        <f t="shared" si="3"/>
        <v>0.5</v>
      </c>
      <c r="AL55" s="103">
        <f t="shared" si="4"/>
        <v>0.55000000000000004</v>
      </c>
      <c r="AM55" s="103">
        <f t="shared" si="5"/>
        <v>0.45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0.25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>0</v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>0.75</v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0.54166666666666663</v>
      </c>
      <c r="AI56" s="101">
        <f t="shared" si="1"/>
        <v>0.625</v>
      </c>
      <c r="AJ56" s="103">
        <f t="shared" si="2"/>
        <v>0.56666666666666665</v>
      </c>
      <c r="AK56" s="103">
        <f t="shared" si="3"/>
        <v>0.52380952380952384</v>
      </c>
      <c r="AL56" s="103">
        <f t="shared" si="4"/>
        <v>0.625</v>
      </c>
      <c r="AM56" s="103">
        <f t="shared" si="5"/>
        <v>0.625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0.25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0.25</v>
      </c>
      <c r="L57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>0.5</v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>1</v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0.79166666666666663</v>
      </c>
      <c r="AI57" s="101">
        <f t="shared" si="1"/>
        <v>0.47916666666666669</v>
      </c>
      <c r="AJ57" s="103">
        <f t="shared" si="2"/>
        <v>0.8571428571428571</v>
      </c>
      <c r="AK57" s="103">
        <f t="shared" si="3"/>
        <v>0.7</v>
      </c>
      <c r="AL57" s="103">
        <f t="shared" si="4"/>
        <v>0.375</v>
      </c>
      <c r="AM57" s="103">
        <f t="shared" si="5"/>
        <v>0.58333333333333337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>0.5</v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>0.5</v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0.52500000000000002</v>
      </c>
      <c r="AI58" s="101">
        <f t="shared" si="1"/>
        <v>0.47222222222222221</v>
      </c>
      <c r="AJ58" s="103">
        <f t="shared" si="2"/>
        <v>0.45833333333333331</v>
      </c>
      <c r="AK58" s="103">
        <f t="shared" si="3"/>
        <v>0.625</v>
      </c>
      <c r="AL58" s="103">
        <f t="shared" si="4"/>
        <v>0.45833333333333331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>0.5</v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>1</v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0.65</v>
      </c>
      <c r="AI59" s="101">
        <f t="shared" si="1"/>
        <v>0.5</v>
      </c>
      <c r="AJ59" s="103">
        <f t="shared" si="2"/>
        <v>0.6875</v>
      </c>
      <c r="AK59" s="103">
        <f t="shared" si="3"/>
        <v>0.625</v>
      </c>
      <c r="AL59" s="103">
        <f t="shared" si="4"/>
        <v>0.45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>0.5</v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0.75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>1</v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0.66666666666666663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0.5641025641025641</v>
      </c>
      <c r="AI60" s="102">
        <f t="shared" si="1"/>
        <v>0.52500000000000002</v>
      </c>
      <c r="AJ60" s="104">
        <f t="shared" si="2"/>
        <v>0.47619047619047622</v>
      </c>
      <c r="AK60" s="104">
        <f t="shared" si="3"/>
        <v>0.66666666666666663</v>
      </c>
      <c r="AL60" s="104">
        <f t="shared" si="4"/>
        <v>0.375</v>
      </c>
      <c r="AM60" s="104">
        <f t="shared" si="5"/>
        <v>0.625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>0.5</v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>0.5</v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0.25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0.58333333333333337</v>
      </c>
      <c r="AI61" s="101">
        <f t="shared" si="1"/>
        <v>0.3125</v>
      </c>
      <c r="AJ61" s="103">
        <f t="shared" si="2"/>
        <v>0.52380952380952384</v>
      </c>
      <c r="AK61" s="103">
        <f t="shared" si="3"/>
        <v>0.66666666666666674</v>
      </c>
      <c r="AL61" s="103">
        <f t="shared" si="4"/>
        <v>0.3125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0.25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0.25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>0</v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0.36538461538461536</v>
      </c>
      <c r="AI62" s="101">
        <f t="shared" si="1"/>
        <v>0.4375</v>
      </c>
      <c r="AJ62" s="103">
        <f t="shared" si="2"/>
        <v>0.41666666666666669</v>
      </c>
      <c r="AK62" s="103">
        <f t="shared" si="3"/>
        <v>0.32142857142857145</v>
      </c>
      <c r="AL62" s="103">
        <f t="shared" si="4"/>
        <v>0.45833333333333331</v>
      </c>
      <c r="AM62" s="103">
        <f t="shared" si="5"/>
        <v>0.375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0.75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>1</v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0.625</v>
      </c>
      <c r="AJ63" s="103">
        <f t="shared" si="2"/>
        <v>0.5</v>
      </c>
      <c r="AK63" s="103">
        <f t="shared" si="3"/>
        <v>0.375</v>
      </c>
      <c r="AL63" s="103">
        <f t="shared" si="4"/>
        <v>0.58333333333333337</v>
      </c>
      <c r="AM63" s="103">
        <f t="shared" si="5"/>
        <v>0.6428571428571429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0.75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>0.5</v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>0.5</v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>0.5</v>
      </c>
      <c r="AH64" s="101">
        <f t="shared" si="0"/>
        <v>0.4236111111111111</v>
      </c>
      <c r="AI64" s="101">
        <f t="shared" si="1"/>
        <v>0.52500000000000002</v>
      </c>
      <c r="AJ64" s="103">
        <f t="shared" si="2"/>
        <v>0.41666666666666669</v>
      </c>
      <c r="AK64" s="103">
        <f t="shared" si="3"/>
        <v>0.43055555555555552</v>
      </c>
      <c r="AL64" s="103">
        <f t="shared" si="4"/>
        <v>0.58333333333333337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>0.5</v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>0.5</v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0.5</v>
      </c>
      <c r="AH65" s="101">
        <f t="shared" si="0"/>
        <v>0.55000000000000004</v>
      </c>
      <c r="AI65" s="101">
        <f t="shared" si="1"/>
        <v>0.61538461538461542</v>
      </c>
      <c r="AJ65" s="103">
        <f t="shared" si="2"/>
        <v>0.6</v>
      </c>
      <c r="AK65" s="103">
        <f t="shared" si="3"/>
        <v>0.5</v>
      </c>
      <c r="AL65" s="103">
        <f t="shared" si="4"/>
        <v>0.5357142857142857</v>
      </c>
      <c r="AM65" s="103">
        <f t="shared" si="5"/>
        <v>0.70833333333333337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0.25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>0.5</v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0.75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0.55555555555555558</v>
      </c>
      <c r="AI66" s="101">
        <f t="shared" si="1"/>
        <v>0.52083333333333337</v>
      </c>
      <c r="AJ66" s="103">
        <f t="shared" si="2"/>
        <v>0.45</v>
      </c>
      <c r="AK66" s="103">
        <f t="shared" si="3"/>
        <v>0.6875</v>
      </c>
      <c r="AL66" s="103">
        <f t="shared" si="4"/>
        <v>0.3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>0.25</v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>0.5</v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>0</v>
      </c>
      <c r="AH67" s="101">
        <f t="shared" si="0"/>
        <v>0.53472222222222221</v>
      </c>
      <c r="AI67" s="101">
        <f t="shared" si="1"/>
        <v>0.57499999999999996</v>
      </c>
      <c r="AJ67" s="103">
        <f t="shared" si="2"/>
        <v>0.65</v>
      </c>
      <c r="AK67" s="103">
        <f t="shared" si="3"/>
        <v>0.45238095238095238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0.75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>1</v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0.33333333333333331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>0.5</v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0.50641025641025639</v>
      </c>
      <c r="AI68" s="102">
        <f t="shared" si="1"/>
        <v>0.42857142857142855</v>
      </c>
      <c r="AJ68" s="104">
        <f t="shared" si="2"/>
        <v>0.43055555555555558</v>
      </c>
      <c r="AK68" s="104">
        <f t="shared" si="3"/>
        <v>0.5714285714285714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2024-10-08T19:22:30Z</dcterms:created>
  <dcterms:modified xsi:type="dcterms:W3CDTF">2025-12-09T20:32:01Z</dcterms:modified>
</cp:coreProperties>
</file>