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71EE5CB2-EAAE-4E24-8854-C66376A2C239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4" i="1" l="1"/>
  <c r="A45" i="1"/>
  <c r="A46" i="1"/>
  <c r="A47" i="1"/>
  <c r="A48" i="1"/>
  <c r="A49" i="1"/>
  <c r="A50" i="1"/>
  <c r="A51" i="1"/>
  <c r="A52" i="1"/>
  <c r="A53" i="1"/>
  <c r="A54" i="1"/>
  <c r="A55" i="1"/>
  <c r="N44" i="1"/>
  <c r="N45" i="1"/>
  <c r="N46" i="1"/>
  <c r="N47" i="1"/>
  <c r="N48" i="1"/>
  <c r="N49" i="1"/>
  <c r="N50" i="1"/>
  <c r="N51" i="1"/>
  <c r="N52" i="1"/>
  <c r="N53" i="1"/>
  <c r="N54" i="1"/>
  <c r="N55" i="1"/>
  <c r="X44" i="1"/>
  <c r="X45" i="1"/>
  <c r="X46" i="1"/>
  <c r="X47" i="1"/>
  <c r="X48" i="1"/>
  <c r="X49" i="1"/>
  <c r="X50" i="1"/>
  <c r="X51" i="1"/>
  <c r="X52" i="1"/>
  <c r="X53" i="1"/>
  <c r="X54" i="1"/>
  <c r="X55" i="1"/>
  <c r="Y44" i="1"/>
  <c r="Y45" i="1"/>
  <c r="Y46" i="1"/>
  <c r="Y47" i="1"/>
  <c r="Y48" i="1"/>
  <c r="Y49" i="1"/>
  <c r="Y50" i="1"/>
  <c r="Y51" i="1"/>
  <c r="Y52" i="1"/>
  <c r="Y53" i="1"/>
  <c r="Y54" i="1"/>
  <c r="Y55" i="1"/>
  <c r="A36" i="1"/>
  <c r="A37" i="1"/>
  <c r="A38" i="1"/>
  <c r="A39" i="1"/>
  <c r="A40" i="1"/>
  <c r="A41" i="1"/>
  <c r="A42" i="1"/>
  <c r="A43" i="1"/>
  <c r="N36" i="1"/>
  <c r="N37" i="1"/>
  <c r="N38" i="1"/>
  <c r="N39" i="1"/>
  <c r="N40" i="1"/>
  <c r="N41" i="1"/>
  <c r="N42" i="1"/>
  <c r="N43" i="1"/>
  <c r="X36" i="1"/>
  <c r="X37" i="1"/>
  <c r="X38" i="1"/>
  <c r="X39" i="1"/>
  <c r="X40" i="1"/>
  <c r="X41" i="1"/>
  <c r="X42" i="1"/>
  <c r="X43" i="1"/>
  <c r="Y36" i="1"/>
  <c r="Y37" i="1"/>
  <c r="Y38" i="1"/>
  <c r="Y39" i="1"/>
  <c r="Y40" i="1"/>
  <c r="Y41" i="1"/>
  <c r="Y42" i="1"/>
  <c r="Y43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V36" i="1"/>
  <c r="W36" i="1"/>
  <c r="V37" i="1"/>
  <c r="W37" i="1"/>
  <c r="V38" i="1"/>
  <c r="W38" i="1"/>
  <c r="V39" i="1"/>
  <c r="W39" i="1"/>
  <c r="V40" i="1"/>
  <c r="W40" i="1"/>
  <c r="V41" i="1"/>
  <c r="W41" i="1"/>
  <c r="V42" i="1"/>
  <c r="W42" i="1"/>
  <c r="V43" i="1"/>
  <c r="W43" i="1"/>
  <c r="V44" i="1"/>
  <c r="W44" i="1"/>
  <c r="V45" i="1"/>
  <c r="W45" i="1"/>
  <c r="V46" i="1"/>
  <c r="W46" i="1"/>
  <c r="V47" i="1"/>
  <c r="W47" i="1"/>
  <c r="V48" i="1"/>
  <c r="W48" i="1"/>
  <c r="V49" i="1"/>
  <c r="W49" i="1"/>
  <c r="V50" i="1"/>
  <c r="W50" i="1"/>
  <c r="V51" i="1"/>
  <c r="W51" i="1"/>
  <c r="V52" i="1"/>
  <c r="W52" i="1"/>
  <c r="V53" i="1"/>
  <c r="W53" i="1"/>
  <c r="V54" i="1"/>
  <c r="W54" i="1"/>
  <c r="V55" i="1"/>
  <c r="W55" i="1"/>
  <c r="V56" i="1"/>
  <c r="W56" i="1"/>
  <c r="V57" i="1"/>
  <c r="W57" i="1"/>
  <c r="V58" i="1"/>
  <c r="W58" i="1"/>
  <c r="V59" i="1"/>
  <c r="W59" i="1"/>
  <c r="V60" i="1"/>
  <c r="W60" i="1"/>
  <c r="V61" i="1"/>
  <c r="W61" i="1"/>
  <c r="V62" i="1"/>
  <c r="W62" i="1"/>
  <c r="V63" i="1"/>
  <c r="W63" i="1"/>
  <c r="V64" i="1"/>
  <c r="W64" i="1"/>
  <c r="V65" i="1"/>
  <c r="W65" i="1"/>
  <c r="V66" i="1"/>
  <c r="W66" i="1"/>
  <c r="V67" i="1"/>
  <c r="W67" i="1"/>
  <c r="V68" i="1"/>
  <c r="W68" i="1"/>
  <c r="V69" i="1"/>
  <c r="W69" i="1"/>
  <c r="V70" i="1"/>
  <c r="W70" i="1"/>
  <c r="V71" i="1"/>
  <c r="W71" i="1"/>
  <c r="V72" i="1"/>
  <c r="W72" i="1"/>
  <c r="V73" i="1"/>
  <c r="W73" i="1"/>
  <c r="V74" i="1"/>
  <c r="W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AK5" i="1" s="1"/>
  <c r="N5" i="1"/>
  <c r="V5" i="1" s="1"/>
  <c r="N6" i="1"/>
  <c r="V6" i="1" s="1"/>
  <c r="N7" i="1"/>
  <c r="V7" i="1" s="1"/>
  <c r="N8" i="1"/>
  <c r="V8" i="1" s="1"/>
  <c r="N9" i="1"/>
  <c r="V9" i="1" s="1"/>
  <c r="N10" i="1"/>
  <c r="V10" i="1" s="1"/>
  <c r="N11" i="1"/>
  <c r="V11" i="1" s="1"/>
  <c r="N12" i="1"/>
  <c r="V12" i="1" s="1"/>
  <c r="N13" i="1"/>
  <c r="V13" i="1" s="1"/>
  <c r="AK4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V2" i="1" s="1"/>
  <c r="AK10" i="1" s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K9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E5" i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AK8" i="1" l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AL4" i="1"/>
  <c r="BE25" i="1"/>
  <c r="BL25" i="1" s="1"/>
  <c r="CI25" i="1"/>
  <c r="CD25" i="1"/>
  <c r="AL9" i="1"/>
  <c r="BH23" i="1"/>
  <c r="BH26" i="1"/>
  <c r="BH29" i="1"/>
  <c r="BH32" i="1"/>
  <c r="BJ60" i="1"/>
  <c r="BJ27" i="1"/>
  <c r="BI24" i="1"/>
  <c r="AL5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AE6" i="1"/>
  <c r="AE7" i="1" s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L10" i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CL30" i="1" l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CK23" i="1" l="1"/>
</calcChain>
</file>

<file path=xl/sharedStrings.xml><?xml version="1.0" encoding="utf-8"?>
<sst xmlns="http://schemas.openxmlformats.org/spreadsheetml/2006/main" count="532" uniqueCount="179">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</sst>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</cellXfs>
  <cellStyles count="1">
    <cellStyle name="Normal" xfId="0" builtinId="0"/>
  </cellStyles>
  <dxfs count="92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8696B"/>
      <color rgb="FFFF0000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91">
      <calculatedColumnFormula>AM22</calculatedColumnFormula>
    </tableColumn>
    <tableColumn id="3" xr3:uid="{B7BD47C3-C6CD-433B-8763-2E7BF28F91A9}" name="GP H" dataDxfId="90">
      <calculatedColumnFormula>AN22</calculatedColumnFormula>
    </tableColumn>
    <tableColumn id="4" xr3:uid="{A7C2CDB8-1006-4E42-85C9-739B917E0E3B}" name="GP A" dataDxfId="89">
      <calculatedColumnFormula>AO22</calculatedColumnFormula>
    </tableColumn>
    <tableColumn id="5" xr3:uid="{FBF9C9A1-A231-4AC5-98EC-8575F964E9E7}" name="W TOT" dataDxfId="88">
      <calculatedColumnFormula>AP22</calculatedColumnFormula>
    </tableColumn>
    <tableColumn id="6" xr3:uid="{4F1AF376-3B42-4A7B-88AE-2AEB54C684FD}" name="L TOT" dataDxfId="87">
      <calculatedColumnFormula>AQ22</calculatedColumnFormula>
    </tableColumn>
    <tableColumn id="7" xr3:uid="{CD4CF37C-B565-4072-A8DF-97ABD75AC2BE}" name="W H" dataDxfId="86">
      <calculatedColumnFormula>AR22</calculatedColumnFormula>
    </tableColumn>
    <tableColumn id="8" xr3:uid="{1F359623-5047-4AA5-8DFE-2A1235BD0244}" name="L H" dataDxfId="85">
      <calculatedColumnFormula>AS22</calculatedColumnFormula>
    </tableColumn>
    <tableColumn id="9" xr3:uid="{F8112AD4-AB28-4E89-97C1-D0AD9007C7A5}" name="W A" dataDxfId="84">
      <calculatedColumnFormula>AT22</calculatedColumnFormula>
    </tableColumn>
    <tableColumn id="10" xr3:uid="{E0BC1C3D-B833-4A33-A2F7-C67BE06DEDA1}" name="L A" dataDxfId="83">
      <calculatedColumnFormula>AU22</calculatedColumnFormula>
    </tableColumn>
    <tableColumn id="11" xr3:uid="{B9A986DF-FE9E-415D-924B-8EB61CBE5CC3}" name="GF H" dataDxfId="82">
      <calculatedColumnFormula>SUMIFS($T$2:$T$100,$M$2:$M$100,AH22,$E$2:$E$100,1)+SUMIFS($T$2:$T$100,$M$2:$M$100,AH22,$E$2:$E$100,2)+SUMIFS($T$2:$T$100,$M$2:$M$100,AH22,$E$2:$E$100,3)+SUMIFS($T$2:$T$100,$M$2:$M$100,AH22,$E$2:$E$100,4)</calculatedColumnFormula>
    </tableColumn>
    <tableColumn id="12" xr3:uid="{83BAED9D-BBE1-4C76-BBCA-313CCD921E11}" name="GF A" dataDxfId="81">
      <calculatedColumnFormula>SUMIFS($S$2:$S$100,$L$2:$L$100,AH22,$E$2:$E$100,1) + SUMIFS($S$2:$S$100,$L$2:$L$100,AH22,$E$2:$E$100,2)+SUMIFS($S$2:$S$100,$L$2:$L$100,AH22,$E$2:$E$100,3)+SUMIFS($S$2:$S$100,$L$2:$L$100,AH22,$E$2:$E$100,4)</calculatedColumnFormula>
    </tableColumn>
    <tableColumn id="13" xr3:uid="{9D239E38-642E-49BB-AFCC-7F4B50408CD9}" name="GA H" dataDxfId="80">
      <calculatedColumnFormula>SUMIFS($S$2:$S$100,$M$2:$M$100,AH22,$E$2:$E$100,1)+SUMIFS($S$2:$S$100,$M$2:$M$100,AH22,$E$2:$E$100,2)+SUMIFS($S$2:$S$100,$M$2:$M$100,AH22,$E$2:$E$100,3)+SUMIFS($S$2:$S$100,$M$2:$M$100,AH22,$E$2:$E$100,4)</calculatedColumnFormula>
    </tableColumn>
    <tableColumn id="14" xr3:uid="{C28D4692-8893-4399-B12F-0EFEC4ACE55F}" name="GA A" dataDxfId="79">
      <calculatedColumnFormula>SUMIFS($T$2:$T$100,$L$2:$L$100,AH22,$E$2:$E$100,1)+(SUMIFS($T$2:$T$100,$L$2:$L$100,AH22,$E$2:$E$100,2)+SUMIFS($T$2:$T$100,$L$2:$L$100,AH22,$E$2:$E$100,3)+SUMIFS($T$2:$T$100,$L$2:$L$100,AH22,$E$2:$E$100,4))</calculatedColumnFormula>
    </tableColumn>
    <tableColumn id="15" xr3:uid="{EFE9EFE5-C5A6-4D37-BAFD-4A00F7B02584}" name="DIFF H" dataDxfId="78">
      <calculatedColumnFormula>BX22-BZ22</calculatedColumnFormula>
    </tableColumn>
    <tableColumn id="16" xr3:uid="{B9AF8DC9-F982-4D02-B43F-486449573036}" name="DIFF A" dataDxfId="77">
      <calculatedColumnFormula>BY22-CA22</calculatedColumnFormula>
    </tableColumn>
    <tableColumn id="17" xr3:uid="{E94B86FE-AA74-466B-A7F6-2C43B9EEA68A}" name="GF T" dataDxfId="76">
      <calculatedColumnFormula>BX22+BY22</calculatedColumnFormula>
    </tableColumn>
    <tableColumn id="18" xr3:uid="{437A09FB-7E7B-457E-AD72-B615E2FEC992}" name="GA T" dataDxfId="75">
      <calculatedColumnFormula>BZ22+CA22</calculatedColumnFormula>
    </tableColumn>
    <tableColumn id="19" xr3:uid="{D83A9D62-4017-4FF7-BA18-93B627CB0BEF}" name="DIFF T" dataDxfId="74">
      <calculatedColumnFormula>(BX22+BY22)-(BZ22+CA22)</calculatedColumnFormula>
    </tableColumn>
    <tableColumn id="20" xr3:uid="{139C299F-4896-455D-A9B3-7CA4FF9ECE1D}" name="GFPG H" dataDxfId="73">
      <calculatedColumnFormula>BX22/BP22</calculatedColumnFormula>
    </tableColumn>
    <tableColumn id="21" xr3:uid="{5ED7F4F1-4524-4204-90BC-07DFE35665ED}" name="GFPG A" dataDxfId="72">
      <calculatedColumnFormula>BY22/BQ22</calculatedColumnFormula>
    </tableColumn>
    <tableColumn id="22" xr3:uid="{3BAC0D7E-D609-46FC-BB96-6327BEC9045F}" name="GAPG H" dataDxfId="71">
      <calculatedColumnFormula>BZ22/BP22</calculatedColumnFormula>
    </tableColumn>
    <tableColumn id="23" xr3:uid="{894AF6A4-2FD4-468F-8740-6E39104F12C5}" name="GAPG A" dataDxfId="70">
      <calculatedColumnFormula>CA22/BQ22</calculatedColumnFormula>
    </tableColumn>
    <tableColumn id="24" xr3:uid="{CFA1DE8E-0094-499E-B287-EEFFFC39239B}" name="GFPG " dataDxfId="69">
      <calculatedColumnFormula>CD22/BO22</calculatedColumnFormula>
    </tableColumn>
    <tableColumn id="25" xr3:uid="{5723B53A-51E1-40DB-A91D-49D133C87D25}" name="GAPG " dataDxfId="68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55" totalsRowShown="0" headerRowDxfId="67">
  <autoFilter ref="A1:Z55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66"/>
    <tableColumn id="3" xr3:uid="{6E19CA59-B6A3-4131-B285-CE1F7BAF3D31}" name="TIME" dataDxfId="65"/>
    <tableColumn id="4" xr3:uid="{02F4D888-3BD5-4016-BA9A-EC8A0CBEA44E}" name="CONF" dataDxfId="64"/>
    <tableColumn id="5" xr3:uid="{DEBF2CDE-9CD3-427B-90BB-33C4A230FDB2}" name="ROUNDNUM" dataDxfId="63"/>
    <tableColumn id="6" xr3:uid="{0B2FA3E5-A739-4507-920E-FD6BD73D06FC}" name="SERIESCODE" dataDxfId="62"/>
    <tableColumn id="7" xr3:uid="{E0FB355A-FF65-48EA-9A64-1208BDA18DEA}" name="GAMENUM" dataDxfId="61"/>
    <tableColumn id="8" xr3:uid="{48075340-6AD4-4735-8D81-DCE8BDEA7894}" name="TOPSEED" dataDxfId="60"/>
    <tableColumn id="9" xr3:uid="{47D97FCE-3C11-4B03-A932-BB3CCC5294A3}" name="LOWSEED" dataDxfId="59"/>
    <tableColumn id="10" xr3:uid="{2657E2A1-FA3E-4247-AB77-0882735B5D98}" name="TOPSEEDWINS" dataDxfId="58"/>
    <tableColumn id="11" xr3:uid="{F857D9CD-319A-4A1F-8A87-5B89AB0E3AE4}" name="LOWSEEDWINS" dataDxfId="57"/>
    <tableColumn id="12" xr3:uid="{F49B8205-50A8-4D22-BDFA-A8C59906257D}" name="AWAYTEAM" dataDxfId="56"/>
    <tableColumn id="13" xr3:uid="{10A989E8-E464-444A-B995-FE5CD8D50A3E}" name="HOMETEAM" dataDxfId="55"/>
    <tableColumn id="14" xr3:uid="{BEBB472F-C00C-43D1-BA57-177EECF3D1A4}" name="MYCHOICE" dataDxfId="54">
      <calculatedColumnFormula>IF(OR(ISBLANK(O2), ISBLANK($P2)), "", IF($O2&gt;$P2, $L2,$M2))</calculatedColumnFormula>
    </tableColumn>
    <tableColumn id="15" xr3:uid="{3265132F-9519-4D83-9071-5A806C9B66A7}" name="PAWAYSCORE" dataDxfId="53"/>
    <tableColumn id="16" xr3:uid="{61D192BF-2F44-45CA-B41E-2E154B58B73C}" name="PHOMESCORE" dataDxfId="52"/>
    <tableColumn id="17" xr3:uid="{4FBCD938-E47F-4A71-B757-19409794237B}" name="PResult" dataDxfId="51"/>
    <tableColumn id="18" xr3:uid="{910345CE-2F3B-453D-B129-551EEF8A2ED1}" name="LOCKEDIN" dataDxfId="50"/>
    <tableColumn id="19" xr3:uid="{B5B3650D-B08F-4959-92AE-19041FF77E90}" name="AAWAYSCORE" dataDxfId="49"/>
    <tableColumn id="20" xr3:uid="{335FAADC-EF48-4918-8FC4-59E64D4FF575}" name="AHOMESCORE" dataDxfId="48"/>
    <tableColumn id="21" xr3:uid="{D0C1DED2-3AB8-4A82-B413-410B2E943C31}" name="OTROUNDNUM" dataDxfId="47"/>
    <tableColumn id="22" xr3:uid="{13F2CA6A-0805-4608-99D8-D82B730F1411}" name="CORRECT" dataDxfId="46">
      <calculatedColumnFormula>IF(ISBLANK($U2),"",IF($S2=$T2,0,IF($L2=$N2,IF($S2&gt;$T2,1,0),IF($T2&gt;$S2,1,0))))</calculatedColumnFormula>
    </tableColumn>
    <tableColumn id="23" xr3:uid="{C52B97FA-25BE-428D-BE11-A51A7A6F4023}" name="WINNER" dataDxfId="45">
      <calculatedColumnFormula>IF(OR(ISBLANK($S2), ISBLANK($T2), ISBLANK($U2)), "", IF(S2&gt;T2,L2,M2))</calculatedColumnFormula>
    </tableColumn>
    <tableColumn id="26" xr3:uid="{5D5BFFE0-4374-4A91-BEA2-4CDF401FCD34}" name="Column2" dataDxfId="44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43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89"/>
  <sheetViews>
    <sheetView tabSelected="1" topLeftCell="A21" workbookViewId="0">
      <selection activeCell="S41" sqref="S41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3" t="s">
        <v>15</v>
      </c>
      <c r="X1" s="33" t="s">
        <v>176</v>
      </c>
      <c r="Y1" s="33" t="s">
        <v>172</v>
      </c>
      <c r="Z1" s="33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 t="shared" ref="V2:V65" si="0">IF(ISBLANK($U2),"",IF($S2=$T2,0,IF($L2=$N2,IF($S2&gt;$T2,1,0),IF($T2&gt;$S2,1,0))))</f>
        <v>1</v>
      </c>
      <c r="W2" s="5" t="str">
        <f t="shared" ref="W2:W33" si="1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2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3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5">
        <f t="shared" si="0"/>
        <v>0</v>
      </c>
      <c r="W3" s="5" t="str">
        <f t="shared" si="1"/>
        <v>COL</v>
      </c>
      <c r="X3" s="5">
        <f>IF(ISBLANK(Table2[[#This Row],[OTROUNDNUM]]), "", Table2[[#This Row],[PAWAYSCORE]]-Table2[[#This Row],[AAWAYSCORE]])</f>
        <v>-2</v>
      </c>
      <c r="Y3" s="5">
        <f>IF(ISBLANK(Table2[[#This Row],[OTROUNDNUM]]), "", Table2[[#This Row],[PHOMESCORE]]-Table2[[#This Row],[AHOMESCORE]])</f>
        <v>3</v>
      </c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6</v>
      </c>
      <c r="AK3">
        <f>SUMIFS($V$2:$V$100,$F$2:$F$100,AG3)</f>
        <v>2</v>
      </c>
      <c r="AL3">
        <f t="shared" ref="AL3:AL17" si="4">AK3/AJ3</f>
        <v>0.33333333333333331</v>
      </c>
      <c r="AM3">
        <f>SUMIFS($T$2:$T$100,$M$2:$M$100,AH3,$E$2:$E$100,1) + SUMIFS($S$2:$S$100,$L$2:$L$100,AH3,$E$2:$E$100,1)</f>
        <v>15</v>
      </c>
      <c r="AN3">
        <f t="shared" ref="AN3" si="5">SUMIFS($T$2:$T$99,$M$2:$M$99,AI3,$E$2:$E$99,1) + SUMIFS($S$2:$S$99,$L$2:$L$99,AI3,$E$2:$E$99,1)</f>
        <v>14</v>
      </c>
      <c r="AO3">
        <f>SUMIFS(T2:T79,F2:F79,AG3)</f>
        <v>15</v>
      </c>
    </row>
    <row r="4" spans="1:45" x14ac:dyDescent="0.25">
      <c r="A4" t="str">
        <f t="shared" si="2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3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IF(ISBLANK($U4),"",IF($S4=$T4,0,IF($L4=$N4,IF($S4&gt;$T4,1,0),IF($T4&gt;$S4,1,0))))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45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6</v>
      </c>
      <c r="AK4">
        <f t="shared" ref="AK4:AK17" si="6">SUMIFS($V$2:$V$100,$F$2:$F$100,AG4)</f>
        <v>4</v>
      </c>
      <c r="AL4">
        <f t="shared" si="4"/>
        <v>0.66666666666666663</v>
      </c>
      <c r="AM4">
        <f t="shared" ref="AM4:AN10" si="7">SUMIFS($T$2:$T$99,$M$2:$M$99,AH4,$E$2:$E$99,1) + SUMIFS($S$2:$S$99,$L$2:$L$99,AH4,$E$2:$E$99,1)</f>
        <v>9</v>
      </c>
      <c r="AN4">
        <f t="shared" si="7"/>
        <v>13</v>
      </c>
    </row>
    <row r="5" spans="1:45" x14ac:dyDescent="0.25">
      <c r="A5" t="str">
        <f t="shared" si="2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3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 t="shared" si="0"/>
        <v>1</v>
      </c>
      <c r="W5" s="5" t="str">
        <f t="shared" si="1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COUNTA(J2:J99)</f>
        <v>45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6"/>
        <v>1</v>
      </c>
      <c r="AL5">
        <f t="shared" si="4"/>
        <v>0.2</v>
      </c>
      <c r="AM5">
        <f t="shared" si="7"/>
        <v>18</v>
      </c>
      <c r="AN5">
        <f t="shared" si="7"/>
        <v>12</v>
      </c>
    </row>
    <row r="6" spans="1:45" x14ac:dyDescent="0.25">
      <c r="A6" s="1" t="str">
        <f t="shared" si="2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3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5">
        <f t="shared" si="0"/>
        <v>1</v>
      </c>
      <c r="W6" s="5" t="str">
        <f t="shared" si="1"/>
        <v>VGK</v>
      </c>
      <c r="X6" s="5">
        <f>IF(ISBLANK(Table2[[#This Row],[OTROUNDNUM]]), "", Table2[[#This Row],[PAWAYSCORE]]-Table2[[#This Row],[AAWAYSCORE]])</f>
        <v>0</v>
      </c>
      <c r="Y6" s="5">
        <f>IF(ISBLANK(Table2[[#This Row],[OTROUNDNUM]]), "", Table2[[#This Row],[PHOMESCORE]]-Table2[[#This Row],[AHOMESCORE]])</f>
        <v>0</v>
      </c>
      <c r="AB6" t="s">
        <v>45</v>
      </c>
      <c r="AC6" s="5"/>
      <c r="AD6" s="8"/>
      <c r="AE6" s="13">
        <f>SUM(V2:V99)</f>
        <v>18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6"/>
        <v>1</v>
      </c>
      <c r="AL6">
        <f t="shared" si="4"/>
        <v>0.2</v>
      </c>
      <c r="AM6">
        <f t="shared" si="7"/>
        <v>14</v>
      </c>
      <c r="AN6">
        <f t="shared" si="7"/>
        <v>11</v>
      </c>
    </row>
    <row r="7" spans="1:45" x14ac:dyDescent="0.25">
      <c r="A7" t="str">
        <f t="shared" si="2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3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22">
        <v>1</v>
      </c>
      <c r="V7" s="5">
        <f t="shared" si="0"/>
        <v>1</v>
      </c>
      <c r="W7" s="5" t="str">
        <f t="shared" si="1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0.4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 t="shared" si="6"/>
        <v>4</v>
      </c>
      <c r="AL7">
        <f t="shared" si="4"/>
        <v>0.66666666666666663</v>
      </c>
      <c r="AM7">
        <f t="shared" si="7"/>
        <v>15</v>
      </c>
      <c r="AN7">
        <f t="shared" si="7"/>
        <v>17</v>
      </c>
    </row>
    <row r="8" spans="1:45" x14ac:dyDescent="0.25">
      <c r="A8" t="str">
        <f t="shared" si="2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3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 t="shared" si="0"/>
        <v>1</v>
      </c>
      <c r="W8" s="5" t="str">
        <f t="shared" si="1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 t="shared" si="6"/>
        <v>2</v>
      </c>
      <c r="AL8">
        <f t="shared" si="4"/>
        <v>0.33333333333333331</v>
      </c>
      <c r="AM8">
        <f t="shared" si="7"/>
        <v>20</v>
      </c>
      <c r="AN8">
        <f t="shared" si="7"/>
        <v>21</v>
      </c>
    </row>
    <row r="9" spans="1:45" x14ac:dyDescent="0.25">
      <c r="A9" t="str">
        <f t="shared" ref="A9:A14" si="8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3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 t="shared" si="0"/>
        <v>0</v>
      </c>
      <c r="W9" s="5" t="str">
        <f t="shared" si="1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6</v>
      </c>
      <c r="AK9">
        <f t="shared" si="6"/>
        <v>3</v>
      </c>
      <c r="AL9">
        <f t="shared" si="4"/>
        <v>0.5</v>
      </c>
      <c r="AM9">
        <f t="shared" si="7"/>
        <v>13</v>
      </c>
      <c r="AN9">
        <f t="shared" si="7"/>
        <v>15</v>
      </c>
    </row>
    <row r="10" spans="1:45" x14ac:dyDescent="0.25">
      <c r="A10" s="1" t="str">
        <f t="shared" si="8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3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5">
        <f t="shared" si="0"/>
        <v>1</v>
      </c>
      <c r="W10" s="5" t="str">
        <f t="shared" si="1"/>
        <v>LAK</v>
      </c>
      <c r="X10" s="5">
        <f>IF(ISBLANK(Table2[[#This Row],[OTROUNDNUM]]), "", Table2[[#This Row],[PAWAYSCORE]]-Table2[[#This Row],[AAWAYSCORE]])</f>
        <v>-3</v>
      </c>
      <c r="Y10" s="5">
        <f>IF(ISBLANK(Table2[[#This Row],[OTROUNDNUM]]), "", Table2[[#This Row],[PHOMESCORE]]-Table2[[#This Row],[AHOMESCORE]])</f>
        <v>-2</v>
      </c>
      <c r="Z10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5</v>
      </c>
      <c r="AK10" s="1">
        <f t="shared" si="6"/>
        <v>1</v>
      </c>
      <c r="AL10" s="1">
        <f t="shared" si="4"/>
        <v>0.2</v>
      </c>
      <c r="AM10" s="1">
        <f t="shared" si="7"/>
        <v>10</v>
      </c>
      <c r="AN10" s="1">
        <f t="shared" si="7"/>
        <v>16</v>
      </c>
      <c r="AO10" s="1"/>
      <c r="AP10" s="1"/>
      <c r="AQ10" s="1"/>
      <c r="AR10" s="1"/>
      <c r="AS10" s="1"/>
    </row>
    <row r="11" spans="1:45" x14ac:dyDescent="0.25">
      <c r="A11" t="str">
        <f t="shared" si="8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31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3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 t="shared" si="0"/>
        <v>1</v>
      </c>
      <c r="W11" s="5" t="str">
        <f t="shared" si="1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e">
        <f t="array" ref="AH11">INDEX(H:H, MATCH(2, 1/(F:F=AG11)))</f>
        <v>#N/A</v>
      </c>
      <c r="AI11" s="15" t="e">
        <f t="array" ref="AI11">INDEX(I:I, MATCH(2, 1/(F:F=AG11)))</f>
        <v>#N/A</v>
      </c>
      <c r="AJ11" t="e">
        <f t="array" ref="AJ11">INDEX(G:G, MATCH(2, 1/(F:F=AG11)))</f>
        <v>#N/A</v>
      </c>
      <c r="AK11">
        <f t="shared" si="6"/>
        <v>0</v>
      </c>
      <c r="AL11" t="e">
        <f t="shared" si="4"/>
        <v>#N/A</v>
      </c>
      <c r="AM11">
        <f t="shared" ref="AM11:AN14" si="9">SUMIFS($T$2:$T$99,$M$2:$M$99,AH11,$E$2:$E$99,2) + SUMIFS($S$2:$S$99,$L$2:$L$99,AH11,$E$2:$E$99,2)</f>
        <v>0</v>
      </c>
      <c r="AN11">
        <f t="shared" si="9"/>
        <v>0</v>
      </c>
    </row>
    <row r="12" spans="1:45" x14ac:dyDescent="0.25">
      <c r="A12" t="str">
        <f t="shared" si="8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3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 t="shared" si="0"/>
        <v>0</v>
      </c>
      <c r="W12" s="5" t="str">
        <f t="shared" si="1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e">
        <f t="array" ref="AH12">INDEX(H:H, MATCH(2, 1/(F:F=AG12)))</f>
        <v>#N/A</v>
      </c>
      <c r="AI12" s="15" t="e">
        <f t="array" ref="AI12">INDEX(I:I, MATCH(2, 1/(F:F=AG12)))</f>
        <v>#N/A</v>
      </c>
      <c r="AJ12" t="e">
        <f t="array" ref="AJ12">INDEX(G:G, MATCH(2, 1/(F:F=AG12)))</f>
        <v>#N/A</v>
      </c>
      <c r="AK12">
        <f t="shared" si="6"/>
        <v>0</v>
      </c>
      <c r="AL12" t="e">
        <f t="shared" si="4"/>
        <v>#N/A</v>
      </c>
      <c r="AM12">
        <f t="shared" si="9"/>
        <v>0</v>
      </c>
      <c r="AN12">
        <f t="shared" si="9"/>
        <v>0</v>
      </c>
    </row>
    <row r="13" spans="1:45" x14ac:dyDescent="0.25">
      <c r="A13" t="str">
        <f t="shared" si="8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3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 t="shared" si="0"/>
        <v>0</v>
      </c>
      <c r="W13" s="5" t="str">
        <f t="shared" si="1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AD13" s="8"/>
      <c r="AG13" s="6" t="s">
        <v>56</v>
      </c>
      <c r="AH13" s="15" t="e">
        <f t="array" ref="AH13">INDEX(H:H, MATCH(2, 1/(F:F=AG13)))</f>
        <v>#N/A</v>
      </c>
      <c r="AI13" s="15" t="e">
        <f t="array" ref="AI13">INDEX(I:I, MATCH(2, 1/(F:F=AG13)))</f>
        <v>#N/A</v>
      </c>
      <c r="AJ13" t="e">
        <f t="array" ref="AJ13">INDEX(G:G, MATCH(2, 1/(F:F=AG13)))</f>
        <v>#N/A</v>
      </c>
      <c r="AK13">
        <f t="shared" si="6"/>
        <v>0</v>
      </c>
      <c r="AL13" t="e">
        <f t="shared" si="4"/>
        <v>#N/A</v>
      </c>
      <c r="AM13">
        <f t="shared" si="9"/>
        <v>0</v>
      </c>
      <c r="AN13">
        <f t="shared" si="9"/>
        <v>0</v>
      </c>
    </row>
    <row r="14" spans="1:45" x14ac:dyDescent="0.25">
      <c r="A14" s="1" t="str">
        <f t="shared" si="8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3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5">
        <f t="shared" si="0"/>
        <v>0</v>
      </c>
      <c r="W14" s="5" t="str">
        <f t="shared" si="1"/>
        <v>MIN</v>
      </c>
      <c r="X14" s="5">
        <f>IF(ISBLANK(Table2[[#This Row],[OTROUNDNUM]]), "", Table2[[#This Row],[PAWAYSCORE]]-Table2[[#This Row],[AAWAYSCORE]])</f>
        <v>-3</v>
      </c>
      <c r="Y14" s="5">
        <f>IF(ISBLANK(Table2[[#This Row],[OTROUNDNUM]]), "", Table2[[#This Row],[PHOMESCORE]]-Table2[[#This Row],[AHOMESCORE]])</f>
        <v>1</v>
      </c>
      <c r="AD14" s="8"/>
      <c r="AG14" s="16" t="s">
        <v>57</v>
      </c>
      <c r="AH14" s="11" t="e">
        <f t="array" ref="AH14">INDEX(H:H, MATCH(2, 1/(F:F=AG14)))</f>
        <v>#N/A</v>
      </c>
      <c r="AI14" s="11" t="e">
        <f t="array" ref="AI14">INDEX(I:I, MATCH(2, 1/(F:F=AG14)))</f>
        <v>#N/A</v>
      </c>
      <c r="AJ14" s="1" t="e">
        <f t="array" ref="AJ14">INDEX(G:G, MATCH(2, 1/(F:F=AG14)))</f>
        <v>#N/A</v>
      </c>
      <c r="AK14" s="1">
        <f t="shared" si="6"/>
        <v>0</v>
      </c>
      <c r="AL14" s="1" t="e">
        <f t="shared" si="4"/>
        <v>#N/A</v>
      </c>
      <c r="AM14" s="1">
        <f t="shared" si="9"/>
        <v>0</v>
      </c>
      <c r="AN14" s="1">
        <f t="shared" si="9"/>
        <v>0</v>
      </c>
      <c r="AO14" s="1"/>
      <c r="AP14" s="1"/>
      <c r="AQ14" s="1"/>
      <c r="AR14" s="1"/>
      <c r="AS14" s="1"/>
    </row>
    <row r="15" spans="1:45" x14ac:dyDescent="0.25">
      <c r="A15" t="str">
        <f t="shared" si="2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3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22">
        <v>0</v>
      </c>
      <c r="V15" s="5">
        <f t="shared" si="0"/>
        <v>0</v>
      </c>
      <c r="W15" s="5" t="str">
        <f t="shared" si="1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6"/>
        <v>0</v>
      </c>
      <c r="AL15" t="e">
        <f t="shared" si="4"/>
        <v>#N/A</v>
      </c>
      <c r="AM15">
        <f>SUMIFS($T$2:$T$99,$M$2:$M$99,AH15,$E$2:$E$99,3) + SUMIFS($S$2:$S$99,$L$2:$L$99,AH15,$E$2:$E$99,3)</f>
        <v>0</v>
      </c>
      <c r="AN15">
        <f>SUMIFS($T$2:$T$99,$M$2:$M$99,AI15,$E$2:$E$99,3) + SUMIFS($S$2:$S$99,$L$2:$L$99,AI15,$E$2:$E$99,3)</f>
        <v>0</v>
      </c>
    </row>
    <row r="16" spans="1:45" x14ac:dyDescent="0.25">
      <c r="A16" t="str">
        <f t="shared" si="2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3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 t="shared" si="0"/>
        <v>0</v>
      </c>
      <c r="W16" s="5" t="str">
        <f t="shared" si="1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6"/>
        <v>0</v>
      </c>
      <c r="AL16" s="1" t="e">
        <f t="shared" si="4"/>
        <v>#N/A</v>
      </c>
      <c r="AM16" s="1">
        <f>SUMIFS($T$2:$T$99,$M$2:$M$99,AH16,$E$2:$E$99,3) + SUMIFS($S$2:$S$99,$L$2:$L$99,AH16,$E$2:$E$99,3)</f>
        <v>0</v>
      </c>
      <c r="AN16" s="1">
        <f>SUMIFS($T$2:$T$99,$M$2:$M$99,AI16,$E$2:$E$99,3) + SUMIFS($S$2:$S$99,$L$2:$L$99,AI16,$E$2:$E$99,3)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2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3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5">
        <f t="shared" si="0"/>
        <v>0</v>
      </c>
      <c r="W17" s="5" t="str">
        <f t="shared" si="1"/>
        <v>LAK</v>
      </c>
      <c r="X17" s="5">
        <f>IF(ISBLANK(Table2[[#This Row],[OTROUNDNUM]]), "", Table2[[#This Row],[PAWAYSCORE]]-Table2[[#This Row],[AAWAYSCORE]])</f>
        <v>3</v>
      </c>
      <c r="Y17" s="5">
        <f>IF(ISBLANK(Table2[[#This Row],[OTROUNDNUM]]), "", Table2[[#This Row],[PHOMESCORE]]-Table2[[#This Row],[AHOMESCORE]])</f>
        <v>-2</v>
      </c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6"/>
        <v>0</v>
      </c>
      <c r="AL17" s="19" t="e">
        <f t="shared" si="4"/>
        <v>#N/A</v>
      </c>
      <c r="AM17" s="18">
        <f>SUMIFS($T$2:$T$99,$M$2:$M$99,AH17,$E$2:$E$99,1) + SUMIFS($S$2:$S$99,$L$2:$L$99,AH17,$E$2:$E$99,1)</f>
        <v>0</v>
      </c>
      <c r="AN17" s="18">
        <f>SUMIFS($T$2:$T$99,$M$2:$M$99,AI17,$E$2:$E$99,4) + SUMIFS($S$2:$S$99,$L$2:$L$99,AI17,$E$2:$E$99,4)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2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3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 t="shared" si="0"/>
        <v>1</v>
      </c>
      <c r="W18" s="5" t="str">
        <f t="shared" si="1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177</v>
      </c>
      <c r="AD18" s="8"/>
    </row>
    <row r="19" spans="1:90" x14ac:dyDescent="0.25">
      <c r="A19" t="str">
        <f t="shared" si="2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3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 t="shared" si="0"/>
        <v>0</v>
      </c>
      <c r="W19" s="5" t="str">
        <f t="shared" si="1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2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3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 t="shared" si="0"/>
        <v>1</v>
      </c>
      <c r="W20" s="5" t="str">
        <f t="shared" si="1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AD20" s="8"/>
    </row>
    <row r="21" spans="1:90" x14ac:dyDescent="0.25">
      <c r="A21" s="1" t="str">
        <f t="shared" si="2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3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5">
        <f t="shared" si="0"/>
        <v>0</v>
      </c>
      <c r="W21" s="5" t="str">
        <f t="shared" si="1"/>
        <v>STL</v>
      </c>
      <c r="X21" s="5">
        <f>IF(ISBLANK(Table2[[#This Row],[OTROUNDNUM]]), "", Table2[[#This Row],[PAWAYSCORE]]-Table2[[#This Row],[AAWAYSCORE]])</f>
        <v>3</v>
      </c>
      <c r="Y21" s="5">
        <f>IF(ISBLANK(Table2[[#This Row],[OTROUNDNUM]]), "", Table2[[#This Row],[PHOMESCORE]]-Table2[[#This Row],[AHOMESCORE]])</f>
        <v>-4</v>
      </c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2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3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 t="shared" si="0"/>
        <v>0</v>
      </c>
      <c r="W22" s="5" t="str">
        <f t="shared" si="1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178</v>
      </c>
      <c r="AD22" s="8"/>
      <c r="AH22" t="s">
        <v>39</v>
      </c>
      <c r="AI22">
        <f t="shared" ref="AI22:AI37" si="10">COUNTIFS($L$2:$L$100, AH22, $E$2:$E$100, 1) + COUNTIFS($M$2:$M$100, AH22, $E$2:$E$100, 1)</f>
        <v>5</v>
      </c>
      <c r="AJ22">
        <f t="shared" ref="AJ22:AJ37" si="11">COUNTIFS($L$2:$L$100, AH22, $E$2:$E$100, 2) + COUNTIFS($M$2:$M$100, AH22, $E$2:$E$100, 2)</f>
        <v>0</v>
      </c>
      <c r="AK22">
        <f t="shared" ref="AK22:AK37" si="12">COUNTIFS($L$2:$L$100, AH22, $E$2:$E$100, 3) + COUNTIFS($M$2:$M$100, AH22, $E$2:$E$100, 3)</f>
        <v>0</v>
      </c>
      <c r="AL22">
        <f t="shared" ref="AL22:AL37" si="13">COUNTIFS($L$2:$L$100, AH22, $E$2:$E$100, 4) + COUNTIFS($M$2:$M$100, AH22, $E$2:$E$100, 4)</f>
        <v>0</v>
      </c>
      <c r="AM22">
        <f>AI22+AJ22+AK22+AL22</f>
        <v>5</v>
      </c>
      <c r="AN22">
        <f t="shared" ref="AN22:AN37" si="14">COUNTIF($M$2:$M$100, AH22)</f>
        <v>3</v>
      </c>
      <c r="AO22">
        <f t="shared" ref="AO22:AO37" si="15">COUNTIF($L$2:$L$100, AH22)</f>
        <v>2</v>
      </c>
      <c r="AP22">
        <f t="shared" ref="AP22:AP37" si="16">AR22+AT22</f>
        <v>3</v>
      </c>
      <c r="AQ22">
        <f t="shared" ref="AQ22:AQ37" si="17">AM22-AP22</f>
        <v>2</v>
      </c>
      <c r="AR22">
        <f t="shared" ref="AR22:AR37" si="18">SUMPRODUCT(($M$2:$M$100=AH22)*($T$2:$T$100&gt;$S$2:$S$100))</f>
        <v>2</v>
      </c>
      <c r="AS22">
        <f t="shared" ref="AS22:AS37" si="19">SUMPRODUCT(($M$2:$M$100=AH22)*($T$2:$T$100&lt;$S$2:$S$100))</f>
        <v>0</v>
      </c>
      <c r="AT22">
        <f t="shared" ref="AT22:AT37" si="20">SUMPRODUCT(($L$2:$L$100=AH22)*($T$2:$T$100&lt;$S$2:$S$100))</f>
        <v>1</v>
      </c>
      <c r="AU22">
        <f t="shared" ref="AU22:AU37" si="21">SUMPRODUCT(($L$2:$L$100=AH22)*($T$2:$T$100&gt;$S$2:$S$100))</f>
        <v>1</v>
      </c>
      <c r="AV22">
        <f t="shared" ref="AV22:AV37" si="22">COUNTIFS($M$2:$M$100,AH22,$E$2:$E$100,1)</f>
        <v>3</v>
      </c>
      <c r="AW22">
        <f t="shared" ref="AW22:AW37" si="23">COUNTIFS($L$2:$L$100,AH22,$E$2:$E$100,1)</f>
        <v>2</v>
      </c>
      <c r="AX22">
        <f t="shared" ref="AX22:AX37" si="24">SUMIFS($T$2:$T$100, $M$2:$M$100, AH22,$E$2:$E$100, 1)</f>
        <v>6</v>
      </c>
      <c r="AY22">
        <f t="shared" ref="AY22:AY37" si="25">SUMIFS($S$2:$S$100, $L$2:$L$100, AH22,$E$2:$E$100, 1)</f>
        <v>8</v>
      </c>
      <c r="AZ22">
        <f t="shared" ref="AZ22:AZ37" si="26">SUMIFS($S$2:$S$100, $M$2:$M$100, AH22,$E$2:$E$100, 1)</f>
        <v>3</v>
      </c>
      <c r="BA22">
        <f t="shared" ref="BA22:BA37" si="27">SUMIFS($T$2:$T$100, $L$2:$L$100, AH22,$E$2:$E$100, 1)</f>
        <v>8</v>
      </c>
      <c r="BB22">
        <f>AX22-AZ22</f>
        <v>3</v>
      </c>
      <c r="BC22">
        <f>AY22-BA22</f>
        <v>0</v>
      </c>
      <c r="BD22">
        <f>AX22+AY22</f>
        <v>14</v>
      </c>
      <c r="BE22">
        <f>AZ22+BA22</f>
        <v>11</v>
      </c>
      <c r="BF22">
        <f>(AX22+AY22)-(AZ22+BA22)</f>
        <v>3</v>
      </c>
      <c r="BG22">
        <f>AX22/AV22</f>
        <v>2</v>
      </c>
      <c r="BH22">
        <f>AY22/AW22</f>
        <v>4</v>
      </c>
      <c r="BI22">
        <f>AZ22/AV22</f>
        <v>1</v>
      </c>
      <c r="BJ22">
        <f>BA22/AW22</f>
        <v>4</v>
      </c>
      <c r="BK22">
        <f t="shared" ref="BK22:BK37" si="28">BD22/AI22</f>
        <v>2.8</v>
      </c>
      <c r="BL22">
        <f t="shared" ref="BL22:BL37" si="29">BE22/AI22</f>
        <v>2.2000000000000002</v>
      </c>
      <c r="BN22" t="str">
        <f t="shared" ref="BN22:BN37" si="30">AH22</f>
        <v>WSH</v>
      </c>
      <c r="BO22" s="15">
        <f t="shared" ref="BO22:BW37" si="31">AM22</f>
        <v>5</v>
      </c>
      <c r="BP22" s="15">
        <f t="shared" si="31"/>
        <v>3</v>
      </c>
      <c r="BQ22" s="15">
        <f t="shared" si="31"/>
        <v>2</v>
      </c>
      <c r="BR22" s="15">
        <f t="shared" si="31"/>
        <v>3</v>
      </c>
      <c r="BS22" s="15">
        <f t="shared" si="31"/>
        <v>2</v>
      </c>
      <c r="BT22" s="15">
        <f t="shared" si="31"/>
        <v>2</v>
      </c>
      <c r="BU22" s="15">
        <f t="shared" si="31"/>
        <v>0</v>
      </c>
      <c r="BV22" s="15">
        <f t="shared" si="31"/>
        <v>1</v>
      </c>
      <c r="BW22" s="15">
        <f t="shared" si="31"/>
        <v>1</v>
      </c>
      <c r="BX22" s="15">
        <f t="shared" ref="BX22:BX37" si="32">SUMIFS($T$2:$T$100,$M$2:$M$100,AH22,$E$2:$E$100,1)+SUMIFS($T$2:$T$100,$M$2:$M$100,AH22,$E$2:$E$100,2)+SUMIFS($T$2:$T$100,$M$2:$M$100,AH22,$E$2:$E$100,3)+SUMIFS($T$2:$T$100,$M$2:$M$100,AH22,$E$2:$E$100,4)</f>
        <v>6</v>
      </c>
      <c r="BY22" s="15">
        <f t="shared" ref="BY22:BY37" si="33">SUMIFS($S$2:$S$100,$L$2:$L$100,AH22,$E$2:$E$100,1) + SUMIFS($S$2:$S$100,$L$2:$L$100,AH22,$E$2:$E$100,2)+SUMIFS($S$2:$S$100,$L$2:$L$100,AH22,$E$2:$E$100,3)+SUMIFS($S$2:$S$100,$L$2:$L$100,AH22,$E$2:$E$100,4)</f>
        <v>8</v>
      </c>
      <c r="BZ22" s="15">
        <f t="shared" ref="BZ22:BZ37" si="34">SUMIFS($S$2:$S$100,$M$2:$M$100,AH22,$E$2:$E$100,1)+SUMIFS($S$2:$S$100,$M$2:$M$100,AH22,$E$2:$E$100,2)+SUMIFS($S$2:$S$100,$M$2:$M$100,AH22,$E$2:$E$100,3)+SUMIFS($S$2:$S$100,$M$2:$M$100,AH22,$E$2:$E$100,4)</f>
        <v>3</v>
      </c>
      <c r="CA22" s="15">
        <f t="shared" ref="CA22:CA37" si="35">SUMIFS($T$2:$T$100,$L$2:$L$100,AH22,$E$2:$E$100,1)+(SUMIFS($T$2:$T$100,$L$2:$L$100,AH22,$E$2:$E$100,2)+SUMIFS($T$2:$T$100,$L$2:$L$100,AH22,$E$2:$E$100,3)+SUMIFS($T$2:$T$100,$L$2:$L$100,AH22,$E$2:$E$100,4))</f>
        <v>8</v>
      </c>
      <c r="CB22" s="15">
        <f t="shared" ref="CB22:CC37" si="36">BX22-BZ22</f>
        <v>3</v>
      </c>
      <c r="CC22" s="15">
        <f t="shared" si="36"/>
        <v>0</v>
      </c>
      <c r="CD22" s="15">
        <f t="shared" ref="CD22:CD37" si="37">BX22+BY22</f>
        <v>14</v>
      </c>
      <c r="CE22" s="15">
        <f t="shared" ref="CE22:CE37" si="38">BZ22+CA22</f>
        <v>11</v>
      </c>
      <c r="CF22" s="15">
        <f t="shared" ref="CF22:CF37" si="39">(BX22+BY22)-(BZ22+CA22)</f>
        <v>3</v>
      </c>
      <c r="CG22" s="20">
        <f t="shared" ref="CG22:CH37" si="40">BX22/BP22</f>
        <v>2</v>
      </c>
      <c r="CH22" s="20">
        <f t="shared" si="40"/>
        <v>4</v>
      </c>
      <c r="CI22" s="20">
        <f t="shared" ref="CI22:CJ37" si="41">BZ22/BP22</f>
        <v>1</v>
      </c>
      <c r="CJ22" s="20">
        <f t="shared" si="41"/>
        <v>4</v>
      </c>
      <c r="CK22" s="20">
        <f t="shared" ref="CK22:CK37" si="42">CD22/BO22</f>
        <v>2.8</v>
      </c>
      <c r="CL22" s="20">
        <f t="shared" ref="CL22:CL37" si="43">CE22/BO22</f>
        <v>2.2000000000000002</v>
      </c>
    </row>
    <row r="23" spans="1:90" x14ac:dyDescent="0.25">
      <c r="A23" t="str">
        <f t="shared" si="2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3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 t="shared" si="0"/>
        <v>0</v>
      </c>
      <c r="W23" s="5" t="str">
        <f t="shared" si="1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164</v>
      </c>
      <c r="AI23">
        <f t="shared" si="10"/>
        <v>5</v>
      </c>
      <c r="AJ23">
        <f t="shared" si="11"/>
        <v>0</v>
      </c>
      <c r="AK23">
        <f t="shared" si="12"/>
        <v>0</v>
      </c>
      <c r="AL23">
        <f t="shared" si="13"/>
        <v>0</v>
      </c>
      <c r="AM23">
        <f t="shared" ref="AM23:AM37" si="44">AI23+AJ23+AK23+AL23</f>
        <v>5</v>
      </c>
      <c r="AN23">
        <f t="shared" si="14"/>
        <v>2</v>
      </c>
      <c r="AO23">
        <f t="shared" si="15"/>
        <v>3</v>
      </c>
      <c r="AP23">
        <f t="shared" si="16"/>
        <v>1</v>
      </c>
      <c r="AQ23">
        <f t="shared" si="17"/>
        <v>4</v>
      </c>
      <c r="AR23">
        <f t="shared" si="18"/>
        <v>1</v>
      </c>
      <c r="AS23">
        <f t="shared" si="19"/>
        <v>1</v>
      </c>
      <c r="AT23">
        <f t="shared" si="20"/>
        <v>0</v>
      </c>
      <c r="AU23">
        <f t="shared" si="21"/>
        <v>2</v>
      </c>
      <c r="AV23">
        <f t="shared" si="22"/>
        <v>2</v>
      </c>
      <c r="AW23">
        <f t="shared" si="23"/>
        <v>3</v>
      </c>
      <c r="AX23">
        <f t="shared" si="24"/>
        <v>8</v>
      </c>
      <c r="AY23">
        <f t="shared" si="25"/>
        <v>3</v>
      </c>
      <c r="AZ23">
        <f t="shared" si="26"/>
        <v>8</v>
      </c>
      <c r="BA23">
        <f t="shared" si="27"/>
        <v>6</v>
      </c>
      <c r="BB23">
        <f t="shared" ref="BB23:BC37" si="45">AX23-AZ23</f>
        <v>0</v>
      </c>
      <c r="BC23">
        <f t="shared" si="45"/>
        <v>-3</v>
      </c>
      <c r="BD23">
        <f t="shared" ref="BD23:BD37" si="46">AX23+AY23</f>
        <v>11</v>
      </c>
      <c r="BE23">
        <f t="shared" ref="BE23:BE37" si="47">AZ23+BA23</f>
        <v>14</v>
      </c>
      <c r="BF23">
        <f t="shared" ref="BF23:BF37" si="48">(AX23+AY23)-(AZ23+BA23)</f>
        <v>-3</v>
      </c>
      <c r="BG23">
        <f t="shared" ref="BG23:BH37" si="49">AX23/AV23</f>
        <v>4</v>
      </c>
      <c r="BH23">
        <f t="shared" si="49"/>
        <v>1</v>
      </c>
      <c r="BI23">
        <f t="shared" ref="BI23:BJ37" si="50">AZ23/AV23</f>
        <v>4</v>
      </c>
      <c r="BJ23">
        <f t="shared" si="50"/>
        <v>2</v>
      </c>
      <c r="BK23">
        <f t="shared" si="28"/>
        <v>2.2000000000000002</v>
      </c>
      <c r="BL23">
        <f t="shared" si="29"/>
        <v>2.8</v>
      </c>
      <c r="BN23" t="str">
        <f t="shared" si="30"/>
        <v>MTL</v>
      </c>
      <c r="BO23" s="15">
        <f t="shared" si="31"/>
        <v>5</v>
      </c>
      <c r="BP23" s="15">
        <f t="shared" si="31"/>
        <v>2</v>
      </c>
      <c r="BQ23" s="15">
        <f t="shared" si="31"/>
        <v>3</v>
      </c>
      <c r="BR23" s="15">
        <f t="shared" si="31"/>
        <v>1</v>
      </c>
      <c r="BS23" s="15">
        <f t="shared" si="31"/>
        <v>4</v>
      </c>
      <c r="BT23" s="15">
        <f t="shared" si="31"/>
        <v>1</v>
      </c>
      <c r="BU23" s="15">
        <f t="shared" si="31"/>
        <v>1</v>
      </c>
      <c r="BV23" s="15">
        <f t="shared" si="31"/>
        <v>0</v>
      </c>
      <c r="BW23" s="15">
        <f t="shared" si="31"/>
        <v>2</v>
      </c>
      <c r="BX23" s="15">
        <f t="shared" si="32"/>
        <v>8</v>
      </c>
      <c r="BY23" s="15">
        <f t="shared" si="33"/>
        <v>3</v>
      </c>
      <c r="BZ23" s="15">
        <f t="shared" si="34"/>
        <v>8</v>
      </c>
      <c r="CA23" s="15">
        <f t="shared" si="35"/>
        <v>6</v>
      </c>
      <c r="CB23" s="15">
        <f t="shared" si="36"/>
        <v>0</v>
      </c>
      <c r="CC23" s="15">
        <f t="shared" si="36"/>
        <v>-3</v>
      </c>
      <c r="CD23" s="15">
        <f t="shared" si="37"/>
        <v>11</v>
      </c>
      <c r="CE23" s="15">
        <f t="shared" si="38"/>
        <v>14</v>
      </c>
      <c r="CF23" s="15">
        <f t="shared" si="39"/>
        <v>-3</v>
      </c>
      <c r="CG23" s="20">
        <f t="shared" si="40"/>
        <v>4</v>
      </c>
      <c r="CH23" s="20">
        <f t="shared" si="40"/>
        <v>1</v>
      </c>
      <c r="CI23" s="20">
        <f t="shared" si="41"/>
        <v>4</v>
      </c>
      <c r="CJ23" s="20">
        <f t="shared" si="41"/>
        <v>2</v>
      </c>
      <c r="CK23" s="20">
        <f t="shared" si="42"/>
        <v>2.2000000000000002</v>
      </c>
      <c r="CL23" s="20">
        <f t="shared" si="43"/>
        <v>2.8</v>
      </c>
    </row>
    <row r="24" spans="1:90" x14ac:dyDescent="0.25">
      <c r="A24" s="1" t="str">
        <f t="shared" si="2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3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5">
        <f t="shared" si="0"/>
        <v>1</v>
      </c>
      <c r="W24" s="5" t="str">
        <f t="shared" si="1"/>
        <v>EDM</v>
      </c>
      <c r="X24" s="5">
        <f>IF(ISBLANK(Table2[[#This Row],[OTROUNDNUM]]), "", Table2[[#This Row],[PAWAYSCORE]]-Table2[[#This Row],[AAWAYSCORE]])</f>
        <v>0</v>
      </c>
      <c r="Y24" s="5">
        <f>IF(ISBLANK(Table2[[#This Row],[OTROUNDNUM]]), "", Table2[[#This Row],[PHOMESCORE]]-Table2[[#This Row],[AHOMESCORE]])</f>
        <v>-2</v>
      </c>
      <c r="AD24" s="8"/>
      <c r="AH24" t="s">
        <v>18</v>
      </c>
      <c r="AI24">
        <f t="shared" si="10"/>
        <v>5</v>
      </c>
      <c r="AJ24">
        <f t="shared" si="11"/>
        <v>0</v>
      </c>
      <c r="AK24">
        <f t="shared" si="12"/>
        <v>0</v>
      </c>
      <c r="AL24">
        <f t="shared" si="13"/>
        <v>0</v>
      </c>
      <c r="AM24">
        <f t="shared" si="44"/>
        <v>5</v>
      </c>
      <c r="AN24">
        <f t="shared" si="14"/>
        <v>3</v>
      </c>
      <c r="AO24">
        <f t="shared" si="15"/>
        <v>2</v>
      </c>
      <c r="AP24">
        <f t="shared" si="16"/>
        <v>3</v>
      </c>
      <c r="AQ24">
        <f t="shared" si="17"/>
        <v>2</v>
      </c>
      <c r="AR24">
        <f t="shared" si="18"/>
        <v>2</v>
      </c>
      <c r="AS24">
        <f t="shared" si="19"/>
        <v>1</v>
      </c>
      <c r="AT24">
        <f t="shared" si="20"/>
        <v>1</v>
      </c>
      <c r="AU24">
        <f t="shared" si="21"/>
        <v>1</v>
      </c>
      <c r="AV24">
        <f t="shared" si="22"/>
        <v>3</v>
      </c>
      <c r="AW24">
        <f t="shared" si="23"/>
        <v>2</v>
      </c>
      <c r="AX24">
        <f t="shared" si="24"/>
        <v>11</v>
      </c>
      <c r="AY24">
        <f t="shared" si="25"/>
        <v>7</v>
      </c>
      <c r="AZ24">
        <f t="shared" si="26"/>
        <v>7</v>
      </c>
      <c r="BA24">
        <f t="shared" si="27"/>
        <v>5</v>
      </c>
      <c r="BB24">
        <f t="shared" si="45"/>
        <v>4</v>
      </c>
      <c r="BC24">
        <f t="shared" si="45"/>
        <v>2</v>
      </c>
      <c r="BD24">
        <f t="shared" si="46"/>
        <v>18</v>
      </c>
      <c r="BE24">
        <f t="shared" si="47"/>
        <v>12</v>
      </c>
      <c r="BF24">
        <f t="shared" si="48"/>
        <v>6</v>
      </c>
      <c r="BG24">
        <f t="shared" si="49"/>
        <v>3.6666666666666665</v>
      </c>
      <c r="BH24">
        <f t="shared" si="49"/>
        <v>3.5</v>
      </c>
      <c r="BI24">
        <f t="shared" si="50"/>
        <v>2.3333333333333335</v>
      </c>
      <c r="BJ24">
        <f t="shared" si="50"/>
        <v>2.5</v>
      </c>
      <c r="BK24">
        <f t="shared" si="28"/>
        <v>3.6</v>
      </c>
      <c r="BL24">
        <f t="shared" si="29"/>
        <v>2.4</v>
      </c>
      <c r="BN24" t="str">
        <f t="shared" si="30"/>
        <v>CAR</v>
      </c>
      <c r="BO24" s="15">
        <f t="shared" si="31"/>
        <v>5</v>
      </c>
      <c r="BP24" s="15">
        <f t="shared" si="31"/>
        <v>3</v>
      </c>
      <c r="BQ24" s="15">
        <f t="shared" si="31"/>
        <v>2</v>
      </c>
      <c r="BR24" s="15">
        <f t="shared" si="31"/>
        <v>3</v>
      </c>
      <c r="BS24" s="15">
        <f t="shared" si="31"/>
        <v>2</v>
      </c>
      <c r="BT24" s="15">
        <f t="shared" si="31"/>
        <v>2</v>
      </c>
      <c r="BU24" s="15">
        <f t="shared" si="31"/>
        <v>1</v>
      </c>
      <c r="BV24" s="15">
        <f t="shared" si="31"/>
        <v>1</v>
      </c>
      <c r="BW24" s="15">
        <f t="shared" si="31"/>
        <v>1</v>
      </c>
      <c r="BX24" s="15">
        <f t="shared" si="32"/>
        <v>11</v>
      </c>
      <c r="BY24" s="15">
        <f t="shared" si="33"/>
        <v>7</v>
      </c>
      <c r="BZ24" s="15">
        <f t="shared" si="34"/>
        <v>7</v>
      </c>
      <c r="CA24" s="15">
        <f t="shared" si="35"/>
        <v>5</v>
      </c>
      <c r="CB24" s="15">
        <f t="shared" si="36"/>
        <v>4</v>
      </c>
      <c r="CC24" s="15">
        <f t="shared" si="36"/>
        <v>2</v>
      </c>
      <c r="CD24" s="15">
        <f t="shared" si="37"/>
        <v>18</v>
      </c>
      <c r="CE24" s="15">
        <f t="shared" si="38"/>
        <v>12</v>
      </c>
      <c r="CF24" s="15">
        <f t="shared" si="39"/>
        <v>6</v>
      </c>
      <c r="CG24" s="20">
        <f t="shared" si="40"/>
        <v>3.6666666666666665</v>
      </c>
      <c r="CH24" s="20">
        <f t="shared" si="40"/>
        <v>3.5</v>
      </c>
      <c r="CI24" s="20">
        <f t="shared" si="41"/>
        <v>2.3333333333333335</v>
      </c>
      <c r="CJ24" s="20">
        <f t="shared" si="41"/>
        <v>2.5</v>
      </c>
      <c r="CK24" s="20">
        <f t="shared" si="42"/>
        <v>3.6</v>
      </c>
      <c r="CL24" s="20">
        <f t="shared" si="43"/>
        <v>2.4</v>
      </c>
    </row>
    <row r="25" spans="1:90" x14ac:dyDescent="0.25">
      <c r="A25" s="21" t="str">
        <f t="shared" si="2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3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 t="shared" si="0"/>
        <v>1</v>
      </c>
      <c r="W25" s="5" t="str">
        <f t="shared" si="1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10"/>
        <v>5</v>
      </c>
      <c r="AJ25">
        <f t="shared" si="11"/>
        <v>0</v>
      </c>
      <c r="AK25">
        <f t="shared" si="12"/>
        <v>0</v>
      </c>
      <c r="AL25">
        <f t="shared" si="13"/>
        <v>0</v>
      </c>
      <c r="AM25">
        <f t="shared" si="44"/>
        <v>5</v>
      </c>
      <c r="AN25">
        <f t="shared" si="14"/>
        <v>2</v>
      </c>
      <c r="AO25">
        <f t="shared" si="15"/>
        <v>3</v>
      </c>
      <c r="AP25">
        <f t="shared" si="16"/>
        <v>2</v>
      </c>
      <c r="AQ25">
        <f t="shared" si="17"/>
        <v>3</v>
      </c>
      <c r="AR25">
        <f t="shared" si="18"/>
        <v>1</v>
      </c>
      <c r="AS25">
        <f t="shared" si="19"/>
        <v>1</v>
      </c>
      <c r="AT25">
        <f t="shared" si="20"/>
        <v>1</v>
      </c>
      <c r="AU25">
        <f t="shared" si="21"/>
        <v>2</v>
      </c>
      <c r="AV25">
        <f t="shared" si="22"/>
        <v>2</v>
      </c>
      <c r="AW25">
        <f t="shared" si="23"/>
        <v>3</v>
      </c>
      <c r="AX25">
        <f t="shared" si="24"/>
        <v>5</v>
      </c>
      <c r="AY25">
        <f t="shared" si="25"/>
        <v>7</v>
      </c>
      <c r="AZ25">
        <f t="shared" si="26"/>
        <v>7</v>
      </c>
      <c r="BA25">
        <f t="shared" si="27"/>
        <v>11</v>
      </c>
      <c r="BB25">
        <f t="shared" si="45"/>
        <v>-2</v>
      </c>
      <c r="BC25">
        <f t="shared" si="45"/>
        <v>-4</v>
      </c>
      <c r="BD25">
        <f t="shared" si="46"/>
        <v>12</v>
      </c>
      <c r="BE25">
        <f t="shared" si="47"/>
        <v>18</v>
      </c>
      <c r="BF25">
        <f t="shared" si="48"/>
        <v>-6</v>
      </c>
      <c r="BG25">
        <f t="shared" si="49"/>
        <v>2.5</v>
      </c>
      <c r="BH25">
        <f t="shared" si="49"/>
        <v>2.3333333333333335</v>
      </c>
      <c r="BI25">
        <f t="shared" si="50"/>
        <v>3.5</v>
      </c>
      <c r="BJ25">
        <f t="shared" si="50"/>
        <v>3.6666666666666665</v>
      </c>
      <c r="BK25">
        <f t="shared" si="28"/>
        <v>2.4</v>
      </c>
      <c r="BL25">
        <f t="shared" si="29"/>
        <v>3.6</v>
      </c>
      <c r="BN25" t="str">
        <f t="shared" si="30"/>
        <v>NJD</v>
      </c>
      <c r="BO25" s="15">
        <f t="shared" si="31"/>
        <v>5</v>
      </c>
      <c r="BP25" s="15">
        <f t="shared" si="31"/>
        <v>2</v>
      </c>
      <c r="BQ25" s="15">
        <f t="shared" si="31"/>
        <v>3</v>
      </c>
      <c r="BR25" s="15">
        <f t="shared" si="31"/>
        <v>2</v>
      </c>
      <c r="BS25" s="15">
        <f t="shared" si="31"/>
        <v>3</v>
      </c>
      <c r="BT25" s="15">
        <f t="shared" si="31"/>
        <v>1</v>
      </c>
      <c r="BU25" s="15">
        <f t="shared" si="31"/>
        <v>1</v>
      </c>
      <c r="BV25" s="15">
        <f t="shared" si="31"/>
        <v>1</v>
      </c>
      <c r="BW25" s="15">
        <f t="shared" si="31"/>
        <v>2</v>
      </c>
      <c r="BX25" s="15">
        <f t="shared" si="32"/>
        <v>5</v>
      </c>
      <c r="BY25" s="15">
        <f t="shared" si="33"/>
        <v>7</v>
      </c>
      <c r="BZ25" s="15">
        <f t="shared" si="34"/>
        <v>7</v>
      </c>
      <c r="CA25" s="15">
        <f t="shared" si="35"/>
        <v>11</v>
      </c>
      <c r="CB25" s="15">
        <f t="shared" si="36"/>
        <v>-2</v>
      </c>
      <c r="CC25" s="15">
        <f t="shared" si="36"/>
        <v>-4</v>
      </c>
      <c r="CD25" s="15">
        <f t="shared" si="37"/>
        <v>12</v>
      </c>
      <c r="CE25" s="15">
        <f t="shared" si="38"/>
        <v>18</v>
      </c>
      <c r="CF25" s="15">
        <f t="shared" si="39"/>
        <v>-6</v>
      </c>
      <c r="CG25" s="20">
        <f t="shared" si="40"/>
        <v>2.5</v>
      </c>
      <c r="CH25" s="20">
        <f t="shared" si="40"/>
        <v>2.3333333333333335</v>
      </c>
      <c r="CI25" s="20">
        <f t="shared" si="41"/>
        <v>3.5</v>
      </c>
      <c r="CJ25" s="20">
        <f t="shared" si="41"/>
        <v>3.6666666666666665</v>
      </c>
      <c r="CK25" s="20">
        <f t="shared" si="42"/>
        <v>2.4</v>
      </c>
      <c r="CL25" s="20">
        <f t="shared" si="43"/>
        <v>3.6</v>
      </c>
    </row>
    <row r="26" spans="1:90" x14ac:dyDescent="0.25">
      <c r="A26" t="str">
        <f t="shared" si="2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3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 t="shared" si="0"/>
        <v>1</v>
      </c>
      <c r="W26" s="5" t="str">
        <f t="shared" si="1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10"/>
        <v>6</v>
      </c>
      <c r="AJ26">
        <f t="shared" si="11"/>
        <v>0</v>
      </c>
      <c r="AK26">
        <f t="shared" si="12"/>
        <v>0</v>
      </c>
      <c r="AL26">
        <f t="shared" si="13"/>
        <v>0</v>
      </c>
      <c r="AM26">
        <f t="shared" si="44"/>
        <v>6</v>
      </c>
      <c r="AN26">
        <f t="shared" si="14"/>
        <v>4</v>
      </c>
      <c r="AO26">
        <f t="shared" si="15"/>
        <v>2</v>
      </c>
      <c r="AP26">
        <f t="shared" si="16"/>
        <v>3</v>
      </c>
      <c r="AQ26">
        <f t="shared" si="17"/>
        <v>3</v>
      </c>
      <c r="AR26">
        <f t="shared" si="18"/>
        <v>2</v>
      </c>
      <c r="AS26">
        <f t="shared" si="19"/>
        <v>1</v>
      </c>
      <c r="AT26">
        <f t="shared" si="20"/>
        <v>1</v>
      </c>
      <c r="AU26">
        <f t="shared" si="21"/>
        <v>1</v>
      </c>
      <c r="AV26">
        <f t="shared" si="22"/>
        <v>4</v>
      </c>
      <c r="AW26">
        <f t="shared" si="23"/>
        <v>2</v>
      </c>
      <c r="AX26">
        <f t="shared" si="24"/>
        <v>9</v>
      </c>
      <c r="AY26">
        <f t="shared" si="25"/>
        <v>6</v>
      </c>
      <c r="AZ26">
        <f t="shared" si="26"/>
        <v>8</v>
      </c>
      <c r="BA26">
        <f t="shared" si="27"/>
        <v>6</v>
      </c>
      <c r="BB26">
        <f t="shared" si="45"/>
        <v>1</v>
      </c>
      <c r="BC26">
        <f t="shared" si="45"/>
        <v>0</v>
      </c>
      <c r="BD26">
        <f t="shared" si="46"/>
        <v>15</v>
      </c>
      <c r="BE26">
        <f t="shared" si="47"/>
        <v>14</v>
      </c>
      <c r="BF26">
        <f t="shared" si="48"/>
        <v>1</v>
      </c>
      <c r="BG26">
        <f t="shared" si="49"/>
        <v>2.25</v>
      </c>
      <c r="BH26">
        <f t="shared" si="49"/>
        <v>3</v>
      </c>
      <c r="BI26">
        <f t="shared" si="50"/>
        <v>2</v>
      </c>
      <c r="BJ26">
        <f t="shared" si="50"/>
        <v>3</v>
      </c>
      <c r="BK26">
        <f t="shared" si="28"/>
        <v>2.5</v>
      </c>
      <c r="BL26">
        <f t="shared" si="29"/>
        <v>2.3333333333333335</v>
      </c>
      <c r="BN26" t="str">
        <f t="shared" si="30"/>
        <v>TOR</v>
      </c>
      <c r="BO26" s="15">
        <f t="shared" si="31"/>
        <v>6</v>
      </c>
      <c r="BP26" s="15">
        <f t="shared" si="31"/>
        <v>4</v>
      </c>
      <c r="BQ26" s="15">
        <f t="shared" si="31"/>
        <v>2</v>
      </c>
      <c r="BR26" s="15">
        <f t="shared" si="31"/>
        <v>3</v>
      </c>
      <c r="BS26" s="15">
        <f t="shared" si="31"/>
        <v>3</v>
      </c>
      <c r="BT26" s="15">
        <f t="shared" si="31"/>
        <v>2</v>
      </c>
      <c r="BU26" s="15">
        <f t="shared" si="31"/>
        <v>1</v>
      </c>
      <c r="BV26" s="15">
        <f t="shared" si="31"/>
        <v>1</v>
      </c>
      <c r="BW26" s="15">
        <f t="shared" si="31"/>
        <v>1</v>
      </c>
      <c r="BX26" s="15">
        <f t="shared" si="32"/>
        <v>9</v>
      </c>
      <c r="BY26" s="15">
        <f t="shared" si="33"/>
        <v>6</v>
      </c>
      <c r="BZ26" s="15">
        <f t="shared" si="34"/>
        <v>8</v>
      </c>
      <c r="CA26" s="15">
        <f t="shared" si="35"/>
        <v>6</v>
      </c>
      <c r="CB26" s="15">
        <f t="shared" si="36"/>
        <v>1</v>
      </c>
      <c r="CC26" s="15">
        <f t="shared" si="36"/>
        <v>0</v>
      </c>
      <c r="CD26" s="15">
        <f t="shared" si="37"/>
        <v>15</v>
      </c>
      <c r="CE26" s="15">
        <f t="shared" si="38"/>
        <v>14</v>
      </c>
      <c r="CF26" s="15">
        <f t="shared" si="39"/>
        <v>1</v>
      </c>
      <c r="CG26" s="20">
        <f t="shared" si="40"/>
        <v>2.25</v>
      </c>
      <c r="CH26" s="20">
        <f t="shared" si="40"/>
        <v>3</v>
      </c>
      <c r="CI26" s="20">
        <f t="shared" si="41"/>
        <v>2</v>
      </c>
      <c r="CJ26" s="20">
        <f t="shared" si="41"/>
        <v>3</v>
      </c>
      <c r="CK26" s="20">
        <f t="shared" si="42"/>
        <v>2.5</v>
      </c>
      <c r="CL26" s="20">
        <f t="shared" si="43"/>
        <v>2.3333333333333335</v>
      </c>
    </row>
    <row r="27" spans="1:90" x14ac:dyDescent="0.25">
      <c r="A27" t="str">
        <f t="shared" si="2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3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 t="shared" si="0"/>
        <v>1</v>
      </c>
      <c r="W27" s="5" t="str">
        <f t="shared" si="1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10"/>
        <v>6</v>
      </c>
      <c r="AJ27">
        <f t="shared" si="11"/>
        <v>0</v>
      </c>
      <c r="AK27">
        <f t="shared" si="12"/>
        <v>0</v>
      </c>
      <c r="AL27">
        <f t="shared" si="13"/>
        <v>0</v>
      </c>
      <c r="AM27">
        <f t="shared" si="44"/>
        <v>6</v>
      </c>
      <c r="AN27">
        <f t="shared" si="14"/>
        <v>2</v>
      </c>
      <c r="AO27">
        <f t="shared" si="15"/>
        <v>4</v>
      </c>
      <c r="AP27">
        <f t="shared" si="16"/>
        <v>2</v>
      </c>
      <c r="AQ27">
        <f t="shared" si="17"/>
        <v>4</v>
      </c>
      <c r="AR27">
        <f t="shared" si="18"/>
        <v>1</v>
      </c>
      <c r="AS27">
        <f t="shared" si="19"/>
        <v>1</v>
      </c>
      <c r="AT27">
        <f t="shared" si="20"/>
        <v>1</v>
      </c>
      <c r="AU27">
        <f t="shared" si="21"/>
        <v>2</v>
      </c>
      <c r="AV27">
        <f t="shared" si="22"/>
        <v>2</v>
      </c>
      <c r="AW27">
        <f t="shared" si="23"/>
        <v>4</v>
      </c>
      <c r="AX27">
        <f t="shared" si="24"/>
        <v>6</v>
      </c>
      <c r="AY27">
        <f t="shared" si="25"/>
        <v>8</v>
      </c>
      <c r="AZ27">
        <f t="shared" si="26"/>
        <v>6</v>
      </c>
      <c r="BA27">
        <f t="shared" si="27"/>
        <v>9</v>
      </c>
      <c r="BB27">
        <f t="shared" si="45"/>
        <v>0</v>
      </c>
      <c r="BC27">
        <f t="shared" si="45"/>
        <v>-1</v>
      </c>
      <c r="BD27">
        <f t="shared" si="46"/>
        <v>14</v>
      </c>
      <c r="BE27">
        <f t="shared" si="47"/>
        <v>15</v>
      </c>
      <c r="BF27">
        <f t="shared" si="48"/>
        <v>-1</v>
      </c>
      <c r="BG27">
        <f t="shared" si="49"/>
        <v>3</v>
      </c>
      <c r="BH27">
        <f t="shared" si="49"/>
        <v>2</v>
      </c>
      <c r="BI27">
        <f t="shared" si="50"/>
        <v>3</v>
      </c>
      <c r="BJ27">
        <f t="shared" si="50"/>
        <v>2.25</v>
      </c>
      <c r="BK27">
        <f t="shared" si="28"/>
        <v>2.3333333333333335</v>
      </c>
      <c r="BL27">
        <f t="shared" si="29"/>
        <v>2.5</v>
      </c>
      <c r="BN27" t="str">
        <f t="shared" si="30"/>
        <v>OTT</v>
      </c>
      <c r="BO27" s="15">
        <f t="shared" si="31"/>
        <v>6</v>
      </c>
      <c r="BP27" s="15">
        <f t="shared" si="31"/>
        <v>2</v>
      </c>
      <c r="BQ27" s="15">
        <f t="shared" si="31"/>
        <v>4</v>
      </c>
      <c r="BR27" s="15">
        <f t="shared" si="31"/>
        <v>2</v>
      </c>
      <c r="BS27" s="15">
        <f t="shared" si="31"/>
        <v>4</v>
      </c>
      <c r="BT27" s="15">
        <f t="shared" si="31"/>
        <v>1</v>
      </c>
      <c r="BU27" s="15">
        <f t="shared" si="31"/>
        <v>1</v>
      </c>
      <c r="BV27" s="15">
        <f t="shared" si="31"/>
        <v>1</v>
      </c>
      <c r="BW27" s="15">
        <f t="shared" si="31"/>
        <v>2</v>
      </c>
      <c r="BX27" s="15">
        <f t="shared" si="32"/>
        <v>6</v>
      </c>
      <c r="BY27" s="15">
        <f t="shared" si="33"/>
        <v>8</v>
      </c>
      <c r="BZ27" s="15">
        <f t="shared" si="34"/>
        <v>6</v>
      </c>
      <c r="CA27" s="15">
        <f t="shared" si="35"/>
        <v>9</v>
      </c>
      <c r="CB27" s="15">
        <f t="shared" si="36"/>
        <v>0</v>
      </c>
      <c r="CC27" s="15">
        <f t="shared" si="36"/>
        <v>-1</v>
      </c>
      <c r="CD27" s="15">
        <f t="shared" si="37"/>
        <v>14</v>
      </c>
      <c r="CE27" s="15">
        <f t="shared" si="38"/>
        <v>15</v>
      </c>
      <c r="CF27" s="15">
        <f t="shared" si="39"/>
        <v>-1</v>
      </c>
      <c r="CG27" s="20">
        <f t="shared" si="40"/>
        <v>3</v>
      </c>
      <c r="CH27" s="20">
        <f t="shared" si="40"/>
        <v>2</v>
      </c>
      <c r="CI27" s="20">
        <f t="shared" si="41"/>
        <v>3</v>
      </c>
      <c r="CJ27" s="20">
        <f t="shared" si="41"/>
        <v>2.25</v>
      </c>
      <c r="CK27" s="20">
        <f t="shared" si="42"/>
        <v>2.3333333333333335</v>
      </c>
      <c r="CL27" s="20">
        <f t="shared" si="43"/>
        <v>2.5</v>
      </c>
    </row>
    <row r="28" spans="1:90" x14ac:dyDescent="0.25">
      <c r="A28" s="1" t="str">
        <f t="shared" si="2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3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5">
        <f t="shared" si="0"/>
        <v>1</v>
      </c>
      <c r="W28" s="5" t="str">
        <f t="shared" si="1"/>
        <v>COL</v>
      </c>
      <c r="X28" s="5">
        <f>IF(ISBLANK(Table2[[#This Row],[OTROUNDNUM]]), "", Table2[[#This Row],[PAWAYSCORE]]-Table2[[#This Row],[AAWAYSCORE]])</f>
        <v>2</v>
      </c>
      <c r="Y28" s="5">
        <f>IF(ISBLANK(Table2[[#This Row],[OTROUNDNUM]]), "", Table2[[#This Row],[PHOMESCORE]]-Table2[[#This Row],[AHOMESCORE]])</f>
        <v>-1</v>
      </c>
      <c r="AD28" s="8"/>
      <c r="AH28" t="s">
        <v>36</v>
      </c>
      <c r="AI28">
        <f t="shared" si="10"/>
        <v>6</v>
      </c>
      <c r="AJ28">
        <f t="shared" si="11"/>
        <v>0</v>
      </c>
      <c r="AK28">
        <f t="shared" si="12"/>
        <v>0</v>
      </c>
      <c r="AL28">
        <f t="shared" si="13"/>
        <v>0</v>
      </c>
      <c r="AM28">
        <f t="shared" si="44"/>
        <v>6</v>
      </c>
      <c r="AN28">
        <f t="shared" si="14"/>
        <v>4</v>
      </c>
      <c r="AO28">
        <f t="shared" si="15"/>
        <v>2</v>
      </c>
      <c r="AP28">
        <f t="shared" si="16"/>
        <v>1</v>
      </c>
      <c r="AQ28">
        <f t="shared" si="17"/>
        <v>5</v>
      </c>
      <c r="AR28">
        <f t="shared" si="18"/>
        <v>0</v>
      </c>
      <c r="AS28">
        <f t="shared" si="19"/>
        <v>2</v>
      </c>
      <c r="AT28">
        <f t="shared" si="20"/>
        <v>1</v>
      </c>
      <c r="AU28">
        <f t="shared" si="21"/>
        <v>1</v>
      </c>
      <c r="AV28">
        <f t="shared" si="22"/>
        <v>4</v>
      </c>
      <c r="AW28">
        <f t="shared" si="23"/>
        <v>2</v>
      </c>
      <c r="AX28">
        <f t="shared" si="24"/>
        <v>2</v>
      </c>
      <c r="AY28">
        <f t="shared" si="25"/>
        <v>7</v>
      </c>
      <c r="AZ28">
        <f t="shared" si="26"/>
        <v>8</v>
      </c>
      <c r="BA28">
        <f t="shared" si="27"/>
        <v>5</v>
      </c>
      <c r="BB28">
        <f t="shared" si="45"/>
        <v>-6</v>
      </c>
      <c r="BC28">
        <f t="shared" si="45"/>
        <v>2</v>
      </c>
      <c r="BD28">
        <f t="shared" si="46"/>
        <v>9</v>
      </c>
      <c r="BE28">
        <f t="shared" si="47"/>
        <v>13</v>
      </c>
      <c r="BF28">
        <f t="shared" si="48"/>
        <v>-4</v>
      </c>
      <c r="BG28">
        <f t="shared" si="49"/>
        <v>0.5</v>
      </c>
      <c r="BH28">
        <f t="shared" si="49"/>
        <v>3.5</v>
      </c>
      <c r="BI28">
        <f t="shared" si="50"/>
        <v>2</v>
      </c>
      <c r="BJ28">
        <f t="shared" si="50"/>
        <v>2.5</v>
      </c>
      <c r="BK28">
        <f t="shared" si="28"/>
        <v>1.5</v>
      </c>
      <c r="BL28">
        <f t="shared" si="29"/>
        <v>2.1666666666666665</v>
      </c>
      <c r="BN28" t="str">
        <f t="shared" si="30"/>
        <v>TBL</v>
      </c>
      <c r="BO28" s="15">
        <f t="shared" si="31"/>
        <v>6</v>
      </c>
      <c r="BP28" s="15">
        <f t="shared" si="31"/>
        <v>4</v>
      </c>
      <c r="BQ28" s="15">
        <f t="shared" si="31"/>
        <v>2</v>
      </c>
      <c r="BR28" s="15">
        <f t="shared" si="31"/>
        <v>1</v>
      </c>
      <c r="BS28" s="15">
        <f t="shared" si="31"/>
        <v>5</v>
      </c>
      <c r="BT28" s="15">
        <f t="shared" si="31"/>
        <v>0</v>
      </c>
      <c r="BU28" s="15">
        <f t="shared" si="31"/>
        <v>2</v>
      </c>
      <c r="BV28" s="15">
        <f t="shared" si="31"/>
        <v>1</v>
      </c>
      <c r="BW28" s="15">
        <f t="shared" si="31"/>
        <v>1</v>
      </c>
      <c r="BX28" s="15">
        <f t="shared" si="32"/>
        <v>2</v>
      </c>
      <c r="BY28" s="15">
        <f t="shared" si="33"/>
        <v>7</v>
      </c>
      <c r="BZ28" s="15">
        <f t="shared" si="34"/>
        <v>8</v>
      </c>
      <c r="CA28" s="15">
        <f t="shared" si="35"/>
        <v>5</v>
      </c>
      <c r="CB28" s="15">
        <f t="shared" si="36"/>
        <v>-6</v>
      </c>
      <c r="CC28" s="15">
        <f t="shared" si="36"/>
        <v>2</v>
      </c>
      <c r="CD28" s="15">
        <f t="shared" si="37"/>
        <v>9</v>
      </c>
      <c r="CE28" s="15">
        <f t="shared" si="38"/>
        <v>13</v>
      </c>
      <c r="CF28" s="15">
        <f t="shared" si="39"/>
        <v>-4</v>
      </c>
      <c r="CG28" s="20">
        <f t="shared" si="40"/>
        <v>0.5</v>
      </c>
      <c r="CH28" s="20">
        <f t="shared" si="40"/>
        <v>3.5</v>
      </c>
      <c r="CI28" s="20">
        <f t="shared" si="41"/>
        <v>2</v>
      </c>
      <c r="CJ28" s="20">
        <f t="shared" si="41"/>
        <v>2.5</v>
      </c>
      <c r="CK28" s="20">
        <f t="shared" si="42"/>
        <v>1.5</v>
      </c>
      <c r="CL28" s="20">
        <f t="shared" si="43"/>
        <v>2.1666666666666665</v>
      </c>
    </row>
    <row r="29" spans="1:90" x14ac:dyDescent="0.25">
      <c r="A29" t="str">
        <f t="shared" si="2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3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 t="shared" si="0"/>
        <v>0</v>
      </c>
      <c r="W29" s="5" t="str">
        <f t="shared" si="1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10"/>
        <v>6</v>
      </c>
      <c r="AJ29">
        <f t="shared" si="11"/>
        <v>0</v>
      </c>
      <c r="AK29">
        <f t="shared" si="12"/>
        <v>0</v>
      </c>
      <c r="AL29">
        <f t="shared" si="13"/>
        <v>0</v>
      </c>
      <c r="AM29">
        <f t="shared" si="44"/>
        <v>6</v>
      </c>
      <c r="AN29">
        <f t="shared" si="14"/>
        <v>2</v>
      </c>
      <c r="AO29">
        <f t="shared" si="15"/>
        <v>4</v>
      </c>
      <c r="AP29">
        <f t="shared" si="16"/>
        <v>3</v>
      </c>
      <c r="AQ29">
        <f t="shared" si="17"/>
        <v>3</v>
      </c>
      <c r="AR29">
        <f t="shared" si="18"/>
        <v>1</v>
      </c>
      <c r="AS29">
        <f t="shared" si="19"/>
        <v>1</v>
      </c>
      <c r="AT29">
        <f t="shared" si="20"/>
        <v>2</v>
      </c>
      <c r="AU29">
        <f t="shared" si="21"/>
        <v>0</v>
      </c>
      <c r="AV29">
        <f t="shared" si="22"/>
        <v>2</v>
      </c>
      <c r="AW29">
        <f t="shared" si="23"/>
        <v>4</v>
      </c>
      <c r="AX29">
        <f t="shared" si="24"/>
        <v>5</v>
      </c>
      <c r="AY29">
        <f t="shared" si="25"/>
        <v>8</v>
      </c>
      <c r="AZ29">
        <f t="shared" si="26"/>
        <v>7</v>
      </c>
      <c r="BA29">
        <f t="shared" si="27"/>
        <v>2</v>
      </c>
      <c r="BB29">
        <f t="shared" si="45"/>
        <v>-2</v>
      </c>
      <c r="BC29">
        <f t="shared" si="45"/>
        <v>6</v>
      </c>
      <c r="BD29">
        <f t="shared" si="46"/>
        <v>13</v>
      </c>
      <c r="BE29">
        <f t="shared" si="47"/>
        <v>9</v>
      </c>
      <c r="BF29">
        <f t="shared" si="48"/>
        <v>4</v>
      </c>
      <c r="BG29">
        <f t="shared" si="49"/>
        <v>2.5</v>
      </c>
      <c r="BH29">
        <f t="shared" si="49"/>
        <v>2</v>
      </c>
      <c r="BI29">
        <f t="shared" si="50"/>
        <v>3.5</v>
      </c>
      <c r="BJ29">
        <f t="shared" si="50"/>
        <v>0.5</v>
      </c>
      <c r="BK29">
        <f t="shared" si="28"/>
        <v>2.1666666666666665</v>
      </c>
      <c r="BL29">
        <f t="shared" si="29"/>
        <v>1.5</v>
      </c>
      <c r="BN29" t="str">
        <f t="shared" si="30"/>
        <v>FLA</v>
      </c>
      <c r="BO29" s="15">
        <f t="shared" si="31"/>
        <v>6</v>
      </c>
      <c r="BP29" s="15">
        <f t="shared" si="31"/>
        <v>2</v>
      </c>
      <c r="BQ29" s="15">
        <f t="shared" si="31"/>
        <v>4</v>
      </c>
      <c r="BR29" s="15">
        <f t="shared" si="31"/>
        <v>3</v>
      </c>
      <c r="BS29" s="15">
        <f t="shared" si="31"/>
        <v>3</v>
      </c>
      <c r="BT29" s="15">
        <f t="shared" si="31"/>
        <v>1</v>
      </c>
      <c r="BU29" s="15">
        <f t="shared" si="31"/>
        <v>1</v>
      </c>
      <c r="BV29" s="15">
        <f t="shared" si="31"/>
        <v>2</v>
      </c>
      <c r="BW29" s="15">
        <f t="shared" si="31"/>
        <v>0</v>
      </c>
      <c r="BX29" s="15">
        <f t="shared" si="32"/>
        <v>5</v>
      </c>
      <c r="BY29" s="15">
        <f t="shared" si="33"/>
        <v>8</v>
      </c>
      <c r="BZ29" s="15">
        <f t="shared" si="34"/>
        <v>7</v>
      </c>
      <c r="CA29" s="15">
        <f t="shared" si="35"/>
        <v>2</v>
      </c>
      <c r="CB29" s="15">
        <f t="shared" si="36"/>
        <v>-2</v>
      </c>
      <c r="CC29" s="15">
        <f t="shared" si="36"/>
        <v>6</v>
      </c>
      <c r="CD29" s="15">
        <f t="shared" si="37"/>
        <v>13</v>
      </c>
      <c r="CE29" s="15">
        <f t="shared" si="38"/>
        <v>9</v>
      </c>
      <c r="CF29" s="15">
        <f t="shared" si="39"/>
        <v>4</v>
      </c>
      <c r="CG29" s="20">
        <f t="shared" si="40"/>
        <v>2.5</v>
      </c>
      <c r="CH29" s="20">
        <f t="shared" si="40"/>
        <v>2</v>
      </c>
      <c r="CI29" s="20">
        <f t="shared" si="41"/>
        <v>3.5</v>
      </c>
      <c r="CJ29" s="20">
        <f t="shared" si="41"/>
        <v>0.5</v>
      </c>
      <c r="CK29" s="20">
        <f t="shared" si="42"/>
        <v>2.1666666666666665</v>
      </c>
      <c r="CL29" s="20">
        <f t="shared" si="43"/>
        <v>1.5</v>
      </c>
    </row>
    <row r="30" spans="1:90" x14ac:dyDescent="0.25">
      <c r="A30" t="str">
        <f t="shared" si="2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3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 t="shared" si="0"/>
        <v>0</v>
      </c>
      <c r="W30" s="5" t="str">
        <f t="shared" si="1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AD30" s="8"/>
      <c r="AH30" t="s">
        <v>43</v>
      </c>
      <c r="AI30">
        <f t="shared" si="10"/>
        <v>5</v>
      </c>
      <c r="AJ30">
        <f t="shared" si="11"/>
        <v>0</v>
      </c>
      <c r="AK30">
        <f t="shared" si="12"/>
        <v>0</v>
      </c>
      <c r="AL30">
        <f t="shared" si="13"/>
        <v>0</v>
      </c>
      <c r="AM30">
        <f t="shared" si="44"/>
        <v>5</v>
      </c>
      <c r="AN30">
        <f t="shared" si="14"/>
        <v>3</v>
      </c>
      <c r="AO30">
        <f t="shared" si="15"/>
        <v>2</v>
      </c>
      <c r="AP30">
        <f t="shared" si="16"/>
        <v>2</v>
      </c>
      <c r="AQ30">
        <f t="shared" si="17"/>
        <v>3</v>
      </c>
      <c r="AR30">
        <f t="shared" si="18"/>
        <v>2</v>
      </c>
      <c r="AS30">
        <f t="shared" si="19"/>
        <v>0</v>
      </c>
      <c r="AT30">
        <f t="shared" si="20"/>
        <v>0</v>
      </c>
      <c r="AU30">
        <f t="shared" si="21"/>
        <v>2</v>
      </c>
      <c r="AV30">
        <f t="shared" si="22"/>
        <v>3</v>
      </c>
      <c r="AW30">
        <f t="shared" si="23"/>
        <v>2</v>
      </c>
      <c r="AX30">
        <f t="shared" si="24"/>
        <v>7</v>
      </c>
      <c r="AY30">
        <f t="shared" si="25"/>
        <v>3</v>
      </c>
      <c r="AZ30">
        <f t="shared" si="26"/>
        <v>4</v>
      </c>
      <c r="BA30">
        <f t="shared" si="27"/>
        <v>12</v>
      </c>
      <c r="BB30">
        <f t="shared" si="45"/>
        <v>3</v>
      </c>
      <c r="BC30">
        <f t="shared" si="45"/>
        <v>-9</v>
      </c>
      <c r="BD30">
        <f t="shared" si="46"/>
        <v>10</v>
      </c>
      <c r="BE30">
        <f t="shared" si="47"/>
        <v>16</v>
      </c>
      <c r="BF30">
        <f t="shared" si="48"/>
        <v>-6</v>
      </c>
      <c r="BG30">
        <f t="shared" si="49"/>
        <v>2.3333333333333335</v>
      </c>
      <c r="BH30">
        <f t="shared" si="49"/>
        <v>1.5</v>
      </c>
      <c r="BI30">
        <f t="shared" si="50"/>
        <v>1.3333333333333333</v>
      </c>
      <c r="BJ30">
        <f t="shared" si="50"/>
        <v>6</v>
      </c>
      <c r="BK30">
        <f t="shared" si="28"/>
        <v>2</v>
      </c>
      <c r="BL30">
        <f t="shared" si="29"/>
        <v>3.2</v>
      </c>
      <c r="BN30" t="str">
        <f t="shared" si="30"/>
        <v>WPG</v>
      </c>
      <c r="BO30" s="15">
        <f t="shared" si="31"/>
        <v>5</v>
      </c>
      <c r="BP30" s="15">
        <f t="shared" si="31"/>
        <v>3</v>
      </c>
      <c r="BQ30" s="15">
        <f t="shared" si="31"/>
        <v>2</v>
      </c>
      <c r="BR30" s="15">
        <f t="shared" si="31"/>
        <v>2</v>
      </c>
      <c r="BS30" s="15">
        <f t="shared" si="31"/>
        <v>3</v>
      </c>
      <c r="BT30" s="15">
        <f t="shared" si="31"/>
        <v>2</v>
      </c>
      <c r="BU30" s="15">
        <f t="shared" si="31"/>
        <v>0</v>
      </c>
      <c r="BV30" s="15">
        <f t="shared" si="31"/>
        <v>0</v>
      </c>
      <c r="BW30" s="15">
        <f t="shared" si="31"/>
        <v>2</v>
      </c>
      <c r="BX30" s="15">
        <f t="shared" si="32"/>
        <v>7</v>
      </c>
      <c r="BY30" s="15">
        <f t="shared" si="33"/>
        <v>3</v>
      </c>
      <c r="BZ30" s="15">
        <f t="shared" si="34"/>
        <v>4</v>
      </c>
      <c r="CA30" s="15">
        <f t="shared" si="35"/>
        <v>12</v>
      </c>
      <c r="CB30" s="15">
        <f t="shared" si="36"/>
        <v>3</v>
      </c>
      <c r="CC30" s="15">
        <f t="shared" si="36"/>
        <v>-9</v>
      </c>
      <c r="CD30" s="15">
        <f t="shared" si="37"/>
        <v>10</v>
      </c>
      <c r="CE30" s="15">
        <f t="shared" si="38"/>
        <v>16</v>
      </c>
      <c r="CF30" s="15">
        <f t="shared" si="39"/>
        <v>-6</v>
      </c>
      <c r="CG30" s="20">
        <f t="shared" si="40"/>
        <v>2.3333333333333335</v>
      </c>
      <c r="CH30" s="20">
        <f t="shared" si="40"/>
        <v>1.5</v>
      </c>
      <c r="CI30" s="20">
        <f t="shared" si="41"/>
        <v>1.3333333333333333</v>
      </c>
      <c r="CJ30" s="20">
        <f t="shared" si="41"/>
        <v>6</v>
      </c>
      <c r="CK30" s="20">
        <f t="shared" si="42"/>
        <v>2</v>
      </c>
      <c r="CL30" s="20">
        <f t="shared" si="43"/>
        <v>3.2</v>
      </c>
    </row>
    <row r="31" spans="1:90" x14ac:dyDescent="0.25">
      <c r="A31" t="str">
        <f t="shared" si="2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3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 t="shared" si="0"/>
        <v>0</v>
      </c>
      <c r="W31" s="5" t="str">
        <f t="shared" si="1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10"/>
        <v>5</v>
      </c>
      <c r="AJ31">
        <f t="shared" si="11"/>
        <v>0</v>
      </c>
      <c r="AK31">
        <f t="shared" si="12"/>
        <v>0</v>
      </c>
      <c r="AL31">
        <f t="shared" si="13"/>
        <v>0</v>
      </c>
      <c r="AM31">
        <f t="shared" si="44"/>
        <v>5</v>
      </c>
      <c r="AN31">
        <f t="shared" si="14"/>
        <v>2</v>
      </c>
      <c r="AO31">
        <f t="shared" si="15"/>
        <v>3</v>
      </c>
      <c r="AP31">
        <f t="shared" si="16"/>
        <v>2</v>
      </c>
      <c r="AQ31">
        <f t="shared" si="17"/>
        <v>3</v>
      </c>
      <c r="AR31">
        <f t="shared" si="18"/>
        <v>2</v>
      </c>
      <c r="AS31">
        <f t="shared" si="19"/>
        <v>0</v>
      </c>
      <c r="AT31">
        <f t="shared" si="20"/>
        <v>0</v>
      </c>
      <c r="AU31">
        <f t="shared" si="21"/>
        <v>2</v>
      </c>
      <c r="AV31">
        <f t="shared" si="22"/>
        <v>2</v>
      </c>
      <c r="AW31">
        <f t="shared" si="23"/>
        <v>3</v>
      </c>
      <c r="AX31">
        <f t="shared" si="24"/>
        <v>12</v>
      </c>
      <c r="AY31">
        <f t="shared" si="25"/>
        <v>4</v>
      </c>
      <c r="AZ31">
        <f t="shared" si="26"/>
        <v>3</v>
      </c>
      <c r="BA31">
        <f t="shared" si="27"/>
        <v>7</v>
      </c>
      <c r="BB31">
        <f t="shared" si="45"/>
        <v>9</v>
      </c>
      <c r="BC31">
        <f t="shared" si="45"/>
        <v>-3</v>
      </c>
      <c r="BD31">
        <f t="shared" si="46"/>
        <v>16</v>
      </c>
      <c r="BE31">
        <f t="shared" si="47"/>
        <v>10</v>
      </c>
      <c r="BF31">
        <f t="shared" si="48"/>
        <v>6</v>
      </c>
      <c r="BG31">
        <f t="shared" si="49"/>
        <v>6</v>
      </c>
      <c r="BH31">
        <f t="shared" si="49"/>
        <v>1.3333333333333333</v>
      </c>
      <c r="BI31">
        <f t="shared" si="50"/>
        <v>1.5</v>
      </c>
      <c r="BJ31">
        <f t="shared" si="50"/>
        <v>2.3333333333333335</v>
      </c>
      <c r="BK31">
        <f t="shared" si="28"/>
        <v>3.2</v>
      </c>
      <c r="BL31">
        <f t="shared" si="29"/>
        <v>2</v>
      </c>
      <c r="BN31" t="str">
        <f t="shared" si="30"/>
        <v>STL</v>
      </c>
      <c r="BO31" s="15">
        <f t="shared" si="31"/>
        <v>5</v>
      </c>
      <c r="BP31" s="15">
        <f t="shared" si="31"/>
        <v>2</v>
      </c>
      <c r="BQ31" s="15">
        <f t="shared" si="31"/>
        <v>3</v>
      </c>
      <c r="BR31" s="15">
        <f t="shared" si="31"/>
        <v>2</v>
      </c>
      <c r="BS31" s="15">
        <f t="shared" si="31"/>
        <v>3</v>
      </c>
      <c r="BT31" s="15">
        <f t="shared" si="31"/>
        <v>2</v>
      </c>
      <c r="BU31" s="15">
        <f t="shared" si="31"/>
        <v>0</v>
      </c>
      <c r="BV31" s="15">
        <f t="shared" si="31"/>
        <v>0</v>
      </c>
      <c r="BW31" s="15">
        <f t="shared" si="31"/>
        <v>2</v>
      </c>
      <c r="BX31" s="15">
        <f t="shared" si="32"/>
        <v>12</v>
      </c>
      <c r="BY31" s="15">
        <f t="shared" si="33"/>
        <v>4</v>
      </c>
      <c r="BZ31" s="15">
        <f t="shared" si="34"/>
        <v>3</v>
      </c>
      <c r="CA31" s="15">
        <f t="shared" si="35"/>
        <v>7</v>
      </c>
      <c r="CB31" s="15">
        <f t="shared" si="36"/>
        <v>9</v>
      </c>
      <c r="CC31" s="15">
        <f t="shared" si="36"/>
        <v>-3</v>
      </c>
      <c r="CD31" s="15">
        <f t="shared" si="37"/>
        <v>16</v>
      </c>
      <c r="CE31" s="15">
        <f t="shared" si="38"/>
        <v>10</v>
      </c>
      <c r="CF31" s="15">
        <f t="shared" si="39"/>
        <v>6</v>
      </c>
      <c r="CG31" s="20">
        <f t="shared" si="40"/>
        <v>6</v>
      </c>
      <c r="CH31" s="20">
        <f t="shared" si="40"/>
        <v>1.3333333333333333</v>
      </c>
      <c r="CI31" s="20">
        <f t="shared" si="41"/>
        <v>1.5</v>
      </c>
      <c r="CJ31" s="20">
        <f t="shared" si="41"/>
        <v>2.3333333333333335</v>
      </c>
      <c r="CK31" s="20">
        <f t="shared" si="42"/>
        <v>3.2</v>
      </c>
      <c r="CL31" s="20">
        <f t="shared" si="43"/>
        <v>2</v>
      </c>
    </row>
    <row r="32" spans="1:90" x14ac:dyDescent="0.25">
      <c r="A32" s="1" t="str">
        <f t="shared" si="2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3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5">
        <f t="shared" si="0"/>
        <v>1</v>
      </c>
      <c r="W32" s="5" t="str">
        <f t="shared" si="1"/>
        <v>EDM</v>
      </c>
      <c r="X32" s="5">
        <f>IF(ISBLANK(Table2[[#This Row],[OTROUNDNUM]]), "", Table2[[#This Row],[PAWAYSCORE]]-Table2[[#This Row],[AAWAYSCORE]])</f>
        <v>0</v>
      </c>
      <c r="Y32" s="5">
        <f>IF(ISBLANK(Table2[[#This Row],[OTROUNDNUM]]), "", Table2[[#This Row],[PHOMESCORE]]-Table2[[#This Row],[AHOMESCORE]])</f>
        <v>0</v>
      </c>
      <c r="AD32" s="8"/>
      <c r="AH32" t="s">
        <v>50</v>
      </c>
      <c r="AI32">
        <f t="shared" si="10"/>
        <v>6</v>
      </c>
      <c r="AJ32">
        <f t="shared" si="11"/>
        <v>0</v>
      </c>
      <c r="AK32">
        <f t="shared" si="12"/>
        <v>0</v>
      </c>
      <c r="AL32">
        <f t="shared" si="13"/>
        <v>0</v>
      </c>
      <c r="AM32">
        <f t="shared" si="44"/>
        <v>6</v>
      </c>
      <c r="AN32">
        <f t="shared" si="14"/>
        <v>4</v>
      </c>
      <c r="AO32">
        <f t="shared" si="15"/>
        <v>2</v>
      </c>
      <c r="AP32">
        <f t="shared" si="16"/>
        <v>3</v>
      </c>
      <c r="AQ32">
        <f t="shared" si="17"/>
        <v>3</v>
      </c>
      <c r="AR32">
        <f t="shared" si="18"/>
        <v>2</v>
      </c>
      <c r="AS32">
        <f t="shared" si="19"/>
        <v>1</v>
      </c>
      <c r="AT32">
        <f t="shared" si="20"/>
        <v>1</v>
      </c>
      <c r="AU32">
        <f t="shared" si="21"/>
        <v>1</v>
      </c>
      <c r="AV32">
        <f t="shared" si="22"/>
        <v>4</v>
      </c>
      <c r="AW32">
        <f t="shared" si="23"/>
        <v>2</v>
      </c>
      <c r="AX32">
        <f t="shared" si="24"/>
        <v>11</v>
      </c>
      <c r="AY32">
        <f t="shared" si="25"/>
        <v>2</v>
      </c>
      <c r="AZ32">
        <f t="shared" si="26"/>
        <v>10</v>
      </c>
      <c r="BA32">
        <f t="shared" si="27"/>
        <v>5</v>
      </c>
      <c r="BB32">
        <f t="shared" si="45"/>
        <v>1</v>
      </c>
      <c r="BC32">
        <f t="shared" si="45"/>
        <v>-3</v>
      </c>
      <c r="BD32">
        <f t="shared" si="46"/>
        <v>13</v>
      </c>
      <c r="BE32">
        <f t="shared" si="47"/>
        <v>15</v>
      </c>
      <c r="BF32">
        <f t="shared" si="48"/>
        <v>-2</v>
      </c>
      <c r="BG32">
        <f t="shared" si="49"/>
        <v>2.75</v>
      </c>
      <c r="BH32">
        <f t="shared" si="49"/>
        <v>1</v>
      </c>
      <c r="BI32">
        <f t="shared" si="50"/>
        <v>2.5</v>
      </c>
      <c r="BJ32">
        <f t="shared" si="50"/>
        <v>2.5</v>
      </c>
      <c r="BK32">
        <f t="shared" si="28"/>
        <v>2.1666666666666665</v>
      </c>
      <c r="BL32">
        <f t="shared" si="29"/>
        <v>2.5</v>
      </c>
      <c r="BN32" t="str">
        <f t="shared" si="30"/>
        <v>DAL</v>
      </c>
      <c r="BO32" s="15">
        <f t="shared" si="31"/>
        <v>6</v>
      </c>
      <c r="BP32" s="15">
        <f t="shared" si="31"/>
        <v>4</v>
      </c>
      <c r="BQ32" s="15">
        <f t="shared" si="31"/>
        <v>2</v>
      </c>
      <c r="BR32" s="15">
        <f t="shared" si="31"/>
        <v>3</v>
      </c>
      <c r="BS32" s="15">
        <f t="shared" si="31"/>
        <v>3</v>
      </c>
      <c r="BT32" s="15">
        <f t="shared" si="31"/>
        <v>2</v>
      </c>
      <c r="BU32" s="15">
        <f t="shared" si="31"/>
        <v>1</v>
      </c>
      <c r="BV32" s="15">
        <f t="shared" si="31"/>
        <v>1</v>
      </c>
      <c r="BW32" s="15">
        <f t="shared" si="31"/>
        <v>1</v>
      </c>
      <c r="BX32" s="15">
        <f t="shared" si="32"/>
        <v>11</v>
      </c>
      <c r="BY32" s="15">
        <f t="shared" si="33"/>
        <v>2</v>
      </c>
      <c r="BZ32" s="15">
        <f t="shared" si="34"/>
        <v>10</v>
      </c>
      <c r="CA32" s="15">
        <f t="shared" si="35"/>
        <v>5</v>
      </c>
      <c r="CB32" s="15">
        <f t="shared" si="36"/>
        <v>1</v>
      </c>
      <c r="CC32" s="15">
        <f t="shared" si="36"/>
        <v>-3</v>
      </c>
      <c r="CD32" s="15">
        <f t="shared" si="37"/>
        <v>13</v>
      </c>
      <c r="CE32" s="15">
        <f t="shared" si="38"/>
        <v>15</v>
      </c>
      <c r="CF32" s="15">
        <f t="shared" si="39"/>
        <v>-2</v>
      </c>
      <c r="CG32" s="20">
        <f t="shared" si="40"/>
        <v>2.75</v>
      </c>
      <c r="CH32" s="20">
        <f t="shared" si="40"/>
        <v>1</v>
      </c>
      <c r="CI32" s="20">
        <f t="shared" si="41"/>
        <v>2.5</v>
      </c>
      <c r="CJ32" s="20">
        <f t="shared" si="41"/>
        <v>2.5</v>
      </c>
      <c r="CK32" s="20">
        <f t="shared" si="42"/>
        <v>2.1666666666666665</v>
      </c>
      <c r="CL32" s="20">
        <f t="shared" si="43"/>
        <v>2.5</v>
      </c>
    </row>
    <row r="33" spans="1:90" x14ac:dyDescent="0.25">
      <c r="A33" t="str">
        <f t="shared" si="2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3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 t="shared" si="0"/>
        <v>1</v>
      </c>
      <c r="W33" s="5" t="str">
        <f t="shared" si="1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AD33" s="8"/>
      <c r="AH33" t="s">
        <v>44</v>
      </c>
      <c r="AI33">
        <f t="shared" si="10"/>
        <v>6</v>
      </c>
      <c r="AJ33">
        <f t="shared" si="11"/>
        <v>0</v>
      </c>
      <c r="AK33">
        <f t="shared" si="12"/>
        <v>0</v>
      </c>
      <c r="AL33">
        <f t="shared" si="13"/>
        <v>0</v>
      </c>
      <c r="AM33">
        <f t="shared" si="44"/>
        <v>6</v>
      </c>
      <c r="AN33">
        <f t="shared" si="14"/>
        <v>2</v>
      </c>
      <c r="AO33">
        <f t="shared" si="15"/>
        <v>4</v>
      </c>
      <c r="AP33">
        <f t="shared" si="16"/>
        <v>2</v>
      </c>
      <c r="AQ33">
        <f t="shared" si="17"/>
        <v>4</v>
      </c>
      <c r="AR33">
        <f t="shared" si="18"/>
        <v>1</v>
      </c>
      <c r="AS33">
        <f t="shared" si="19"/>
        <v>1</v>
      </c>
      <c r="AT33">
        <f t="shared" si="20"/>
        <v>1</v>
      </c>
      <c r="AU33">
        <f t="shared" si="21"/>
        <v>2</v>
      </c>
      <c r="AV33">
        <f t="shared" si="22"/>
        <v>2</v>
      </c>
      <c r="AW33">
        <f t="shared" si="23"/>
        <v>4</v>
      </c>
      <c r="AX33">
        <f t="shared" si="24"/>
        <v>5</v>
      </c>
      <c r="AY33">
        <f t="shared" si="25"/>
        <v>10</v>
      </c>
      <c r="AZ33">
        <f t="shared" si="26"/>
        <v>2</v>
      </c>
      <c r="BA33">
        <f t="shared" si="27"/>
        <v>11</v>
      </c>
      <c r="BB33">
        <f t="shared" si="45"/>
        <v>3</v>
      </c>
      <c r="BC33">
        <f t="shared" si="45"/>
        <v>-1</v>
      </c>
      <c r="BD33">
        <f t="shared" si="46"/>
        <v>15</v>
      </c>
      <c r="BE33">
        <f t="shared" si="47"/>
        <v>13</v>
      </c>
      <c r="BF33">
        <f t="shared" si="48"/>
        <v>2</v>
      </c>
      <c r="BG33">
        <f t="shared" si="49"/>
        <v>2.5</v>
      </c>
      <c r="BH33">
        <f t="shared" si="49"/>
        <v>2.5</v>
      </c>
      <c r="BI33">
        <f t="shared" si="50"/>
        <v>1</v>
      </c>
      <c r="BJ33">
        <f t="shared" si="50"/>
        <v>2.75</v>
      </c>
      <c r="BK33">
        <f t="shared" si="28"/>
        <v>2.5</v>
      </c>
      <c r="BL33">
        <f t="shared" si="29"/>
        <v>2.1666666666666665</v>
      </c>
      <c r="BN33" t="str">
        <f t="shared" si="30"/>
        <v>COL</v>
      </c>
      <c r="BO33" s="15">
        <f t="shared" si="31"/>
        <v>6</v>
      </c>
      <c r="BP33" s="15">
        <f t="shared" si="31"/>
        <v>2</v>
      </c>
      <c r="BQ33" s="15">
        <f t="shared" si="31"/>
        <v>4</v>
      </c>
      <c r="BR33" s="15">
        <f t="shared" si="31"/>
        <v>2</v>
      </c>
      <c r="BS33" s="15">
        <f t="shared" si="31"/>
        <v>4</v>
      </c>
      <c r="BT33" s="15">
        <f t="shared" si="31"/>
        <v>1</v>
      </c>
      <c r="BU33" s="15">
        <f t="shared" si="31"/>
        <v>1</v>
      </c>
      <c r="BV33" s="15">
        <f t="shared" si="31"/>
        <v>1</v>
      </c>
      <c r="BW33" s="15">
        <f t="shared" si="31"/>
        <v>2</v>
      </c>
      <c r="BX33" s="15">
        <f t="shared" si="32"/>
        <v>5</v>
      </c>
      <c r="BY33" s="15">
        <f t="shared" si="33"/>
        <v>10</v>
      </c>
      <c r="BZ33" s="15">
        <f t="shared" si="34"/>
        <v>2</v>
      </c>
      <c r="CA33" s="15">
        <f t="shared" si="35"/>
        <v>11</v>
      </c>
      <c r="CB33" s="15">
        <f t="shared" si="36"/>
        <v>3</v>
      </c>
      <c r="CC33" s="15">
        <f t="shared" si="36"/>
        <v>-1</v>
      </c>
      <c r="CD33" s="15">
        <f t="shared" si="37"/>
        <v>15</v>
      </c>
      <c r="CE33" s="15">
        <f t="shared" si="38"/>
        <v>13</v>
      </c>
      <c r="CF33" s="15">
        <f t="shared" si="39"/>
        <v>2</v>
      </c>
      <c r="CG33" s="20">
        <f t="shared" si="40"/>
        <v>2.5</v>
      </c>
      <c r="CH33" s="20">
        <f t="shared" si="40"/>
        <v>2.5</v>
      </c>
      <c r="CI33" s="20">
        <f t="shared" si="41"/>
        <v>1</v>
      </c>
      <c r="CJ33" s="20">
        <f t="shared" si="41"/>
        <v>2.75</v>
      </c>
      <c r="CK33" s="20">
        <f t="shared" si="42"/>
        <v>2.5</v>
      </c>
      <c r="CL33" s="20">
        <f t="shared" si="43"/>
        <v>2.1666666666666665</v>
      </c>
    </row>
    <row r="34" spans="1:90" x14ac:dyDescent="0.25">
      <c r="A34" s="1" t="str">
        <f t="shared" si="2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3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5">
        <f t="shared" si="0"/>
        <v>1</v>
      </c>
      <c r="W34" s="5" t="str">
        <f t="shared" ref="W34:W89" si="51">IF(OR(ISBLANK($S34), ISBLANK($T34), ISBLANK($U34)), "", IF(S34&gt;T34,L34,M34))</f>
        <v>DAL</v>
      </c>
      <c r="X34" s="5">
        <f>IF(ISBLANK(Table2[[#This Row],[OTROUNDNUM]]), "", Table2[[#This Row],[PAWAYSCORE]]-Table2[[#This Row],[AAWAYSCORE]])</f>
        <v>1</v>
      </c>
      <c r="Y34" s="5">
        <f>IF(ISBLANK(Table2[[#This Row],[OTROUNDNUM]]), "", Table2[[#This Row],[PHOMESCORE]]-Table2[[#This Row],[AHOMESCORE]])</f>
        <v>-2</v>
      </c>
      <c r="AD34" s="8"/>
      <c r="AH34" t="s">
        <v>51</v>
      </c>
      <c r="AI34">
        <f t="shared" si="10"/>
        <v>6</v>
      </c>
      <c r="AJ34">
        <f t="shared" si="11"/>
        <v>0</v>
      </c>
      <c r="AK34">
        <f t="shared" si="12"/>
        <v>0</v>
      </c>
      <c r="AL34">
        <f t="shared" si="13"/>
        <v>0</v>
      </c>
      <c r="AM34">
        <f t="shared" si="44"/>
        <v>6</v>
      </c>
      <c r="AN34">
        <f t="shared" si="14"/>
        <v>4</v>
      </c>
      <c r="AO34">
        <f t="shared" si="15"/>
        <v>2</v>
      </c>
      <c r="AP34">
        <f t="shared" si="16"/>
        <v>3</v>
      </c>
      <c r="AQ34">
        <f t="shared" si="17"/>
        <v>3</v>
      </c>
      <c r="AR34">
        <f t="shared" si="18"/>
        <v>2</v>
      </c>
      <c r="AS34">
        <f t="shared" si="19"/>
        <v>1</v>
      </c>
      <c r="AT34">
        <f t="shared" si="20"/>
        <v>1</v>
      </c>
      <c r="AU34">
        <f t="shared" si="21"/>
        <v>1</v>
      </c>
      <c r="AV34">
        <f t="shared" si="22"/>
        <v>4</v>
      </c>
      <c r="AW34">
        <f t="shared" si="23"/>
        <v>2</v>
      </c>
      <c r="AX34">
        <f t="shared" si="24"/>
        <v>9</v>
      </c>
      <c r="AY34">
        <f t="shared" si="25"/>
        <v>6</v>
      </c>
      <c r="AZ34">
        <f t="shared" si="26"/>
        <v>9</v>
      </c>
      <c r="BA34">
        <f t="shared" si="27"/>
        <v>8</v>
      </c>
      <c r="BB34">
        <f t="shared" si="45"/>
        <v>0</v>
      </c>
      <c r="BC34">
        <f t="shared" si="45"/>
        <v>-2</v>
      </c>
      <c r="BD34">
        <f t="shared" si="46"/>
        <v>15</v>
      </c>
      <c r="BE34">
        <f t="shared" si="47"/>
        <v>17</v>
      </c>
      <c r="BF34">
        <f t="shared" si="48"/>
        <v>-2</v>
      </c>
      <c r="BG34">
        <f t="shared" si="49"/>
        <v>2.25</v>
      </c>
      <c r="BH34">
        <f t="shared" si="49"/>
        <v>3</v>
      </c>
      <c r="BI34">
        <f t="shared" si="50"/>
        <v>2.25</v>
      </c>
      <c r="BJ34">
        <f t="shared" si="50"/>
        <v>4</v>
      </c>
      <c r="BK34">
        <f t="shared" si="28"/>
        <v>2.5</v>
      </c>
      <c r="BL34">
        <f t="shared" si="29"/>
        <v>2.8333333333333335</v>
      </c>
      <c r="BN34" t="str">
        <f t="shared" si="30"/>
        <v>VGK</v>
      </c>
      <c r="BO34" s="15">
        <f t="shared" si="31"/>
        <v>6</v>
      </c>
      <c r="BP34" s="15">
        <f t="shared" si="31"/>
        <v>4</v>
      </c>
      <c r="BQ34" s="15">
        <f t="shared" si="31"/>
        <v>2</v>
      </c>
      <c r="BR34" s="15">
        <f t="shared" si="31"/>
        <v>3</v>
      </c>
      <c r="BS34" s="15">
        <f t="shared" si="31"/>
        <v>3</v>
      </c>
      <c r="BT34" s="15">
        <f t="shared" si="31"/>
        <v>2</v>
      </c>
      <c r="BU34" s="15">
        <f t="shared" si="31"/>
        <v>1</v>
      </c>
      <c r="BV34" s="15">
        <f t="shared" si="31"/>
        <v>1</v>
      </c>
      <c r="BW34" s="15">
        <f t="shared" si="31"/>
        <v>1</v>
      </c>
      <c r="BX34" s="15">
        <f t="shared" si="32"/>
        <v>9</v>
      </c>
      <c r="BY34" s="15">
        <f t="shared" si="33"/>
        <v>6</v>
      </c>
      <c r="BZ34" s="15">
        <f t="shared" si="34"/>
        <v>9</v>
      </c>
      <c r="CA34" s="15">
        <f t="shared" si="35"/>
        <v>8</v>
      </c>
      <c r="CB34" s="15">
        <f t="shared" si="36"/>
        <v>0</v>
      </c>
      <c r="CC34" s="15">
        <f t="shared" si="36"/>
        <v>-2</v>
      </c>
      <c r="CD34" s="15">
        <f t="shared" si="37"/>
        <v>15</v>
      </c>
      <c r="CE34" s="15">
        <f t="shared" si="38"/>
        <v>17</v>
      </c>
      <c r="CF34" s="15">
        <f t="shared" si="39"/>
        <v>-2</v>
      </c>
      <c r="CG34" s="20">
        <f t="shared" si="40"/>
        <v>2.25</v>
      </c>
      <c r="CH34" s="20">
        <f t="shared" si="40"/>
        <v>3</v>
      </c>
      <c r="CI34" s="20">
        <f t="shared" si="41"/>
        <v>2.25</v>
      </c>
      <c r="CJ34" s="20">
        <f t="shared" si="41"/>
        <v>4</v>
      </c>
      <c r="CK34" s="20">
        <f t="shared" si="42"/>
        <v>2.5</v>
      </c>
      <c r="CL34" s="20">
        <f t="shared" si="43"/>
        <v>2.8333333333333335</v>
      </c>
    </row>
    <row r="35" spans="1:90" x14ac:dyDescent="0.25">
      <c r="A35" t="str">
        <f t="shared" si="2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3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 t="shared" si="0"/>
        <v>0</v>
      </c>
      <c r="W35" s="5" t="str">
        <f t="shared" si="51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AD35" s="8"/>
      <c r="AH35" t="s">
        <v>163</v>
      </c>
      <c r="AI35">
        <f t="shared" si="10"/>
        <v>6</v>
      </c>
      <c r="AJ35">
        <f t="shared" si="11"/>
        <v>0</v>
      </c>
      <c r="AK35">
        <f t="shared" si="12"/>
        <v>0</v>
      </c>
      <c r="AL35">
        <f t="shared" si="13"/>
        <v>0</v>
      </c>
      <c r="AM35">
        <f t="shared" si="44"/>
        <v>6</v>
      </c>
      <c r="AN35">
        <f t="shared" si="14"/>
        <v>2</v>
      </c>
      <c r="AO35">
        <f t="shared" si="15"/>
        <v>4</v>
      </c>
      <c r="AP35">
        <f t="shared" si="16"/>
        <v>2</v>
      </c>
      <c r="AQ35">
        <f t="shared" si="17"/>
        <v>4</v>
      </c>
      <c r="AR35">
        <f t="shared" si="18"/>
        <v>1</v>
      </c>
      <c r="AS35">
        <f t="shared" si="19"/>
        <v>1</v>
      </c>
      <c r="AT35">
        <f t="shared" si="20"/>
        <v>1</v>
      </c>
      <c r="AU35">
        <f t="shared" si="21"/>
        <v>2</v>
      </c>
      <c r="AV35">
        <f t="shared" si="22"/>
        <v>2</v>
      </c>
      <c r="AW35">
        <f t="shared" si="23"/>
        <v>4</v>
      </c>
      <c r="AX35">
        <f t="shared" si="24"/>
        <v>8</v>
      </c>
      <c r="AY35">
        <f t="shared" si="25"/>
        <v>9</v>
      </c>
      <c r="AZ35">
        <f t="shared" si="26"/>
        <v>6</v>
      </c>
      <c r="BA35">
        <f t="shared" si="27"/>
        <v>9</v>
      </c>
      <c r="BB35">
        <f t="shared" si="45"/>
        <v>2</v>
      </c>
      <c r="BC35">
        <f t="shared" si="45"/>
        <v>0</v>
      </c>
      <c r="BD35">
        <f t="shared" si="46"/>
        <v>17</v>
      </c>
      <c r="BE35">
        <f t="shared" si="47"/>
        <v>15</v>
      </c>
      <c r="BF35">
        <f t="shared" si="48"/>
        <v>2</v>
      </c>
      <c r="BG35">
        <f t="shared" si="49"/>
        <v>4</v>
      </c>
      <c r="BH35">
        <f t="shared" si="49"/>
        <v>2.25</v>
      </c>
      <c r="BI35">
        <f t="shared" si="50"/>
        <v>3</v>
      </c>
      <c r="BJ35">
        <f t="shared" si="50"/>
        <v>2.25</v>
      </c>
      <c r="BK35">
        <f t="shared" si="28"/>
        <v>2.8333333333333335</v>
      </c>
      <c r="BL35">
        <f t="shared" si="29"/>
        <v>2.5</v>
      </c>
      <c r="BN35" t="str">
        <f t="shared" si="30"/>
        <v>MIN</v>
      </c>
      <c r="BO35" s="15">
        <f t="shared" si="31"/>
        <v>6</v>
      </c>
      <c r="BP35" s="15">
        <f t="shared" si="31"/>
        <v>2</v>
      </c>
      <c r="BQ35" s="15">
        <f t="shared" si="31"/>
        <v>4</v>
      </c>
      <c r="BR35" s="15">
        <f t="shared" si="31"/>
        <v>2</v>
      </c>
      <c r="BS35" s="15">
        <f t="shared" si="31"/>
        <v>4</v>
      </c>
      <c r="BT35" s="15">
        <f t="shared" si="31"/>
        <v>1</v>
      </c>
      <c r="BU35" s="15">
        <f t="shared" si="31"/>
        <v>1</v>
      </c>
      <c r="BV35" s="15">
        <f t="shared" si="31"/>
        <v>1</v>
      </c>
      <c r="BW35" s="15">
        <f t="shared" si="31"/>
        <v>2</v>
      </c>
      <c r="BX35" s="15">
        <f t="shared" si="32"/>
        <v>8</v>
      </c>
      <c r="BY35" s="15">
        <f t="shared" si="33"/>
        <v>9</v>
      </c>
      <c r="BZ35" s="15">
        <f t="shared" si="34"/>
        <v>6</v>
      </c>
      <c r="CA35" s="15">
        <f t="shared" si="35"/>
        <v>9</v>
      </c>
      <c r="CB35" s="15">
        <f t="shared" si="36"/>
        <v>2</v>
      </c>
      <c r="CC35" s="15">
        <f t="shared" si="36"/>
        <v>0</v>
      </c>
      <c r="CD35" s="15">
        <f t="shared" si="37"/>
        <v>17</v>
      </c>
      <c r="CE35" s="15">
        <f t="shared" si="38"/>
        <v>15</v>
      </c>
      <c r="CF35" s="15">
        <f t="shared" si="39"/>
        <v>2</v>
      </c>
      <c r="CG35" s="20">
        <f t="shared" si="40"/>
        <v>4</v>
      </c>
      <c r="CH35" s="20">
        <f t="shared" si="40"/>
        <v>2.25</v>
      </c>
      <c r="CI35" s="20">
        <f t="shared" si="41"/>
        <v>3</v>
      </c>
      <c r="CJ35" s="20">
        <f t="shared" si="41"/>
        <v>2.25</v>
      </c>
      <c r="CK35" s="20">
        <f t="shared" si="42"/>
        <v>2.8333333333333335</v>
      </c>
      <c r="CL35" s="20">
        <f t="shared" si="43"/>
        <v>2.5</v>
      </c>
    </row>
    <row r="36" spans="1:90" x14ac:dyDescent="0.25">
      <c r="A36" t="str">
        <f t="shared" ref="A36:A43" si="52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43" si="53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 t="shared" si="0"/>
        <v>0</v>
      </c>
      <c r="W36" s="5" t="str">
        <f t="shared" si="51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AD36" s="8"/>
      <c r="AH36" t="s">
        <v>53</v>
      </c>
      <c r="AI36">
        <f t="shared" si="10"/>
        <v>6</v>
      </c>
      <c r="AJ36">
        <f t="shared" si="11"/>
        <v>0</v>
      </c>
      <c r="AK36">
        <f t="shared" si="12"/>
        <v>0</v>
      </c>
      <c r="AL36">
        <f t="shared" si="13"/>
        <v>0</v>
      </c>
      <c r="AM36">
        <f t="shared" si="44"/>
        <v>6</v>
      </c>
      <c r="AN36">
        <f t="shared" si="14"/>
        <v>4</v>
      </c>
      <c r="AO36">
        <f t="shared" si="15"/>
        <v>2</v>
      </c>
      <c r="AP36">
        <f t="shared" si="16"/>
        <v>2</v>
      </c>
      <c r="AQ36">
        <f t="shared" si="17"/>
        <v>4</v>
      </c>
      <c r="AR36">
        <f t="shared" si="18"/>
        <v>2</v>
      </c>
      <c r="AS36">
        <f t="shared" si="19"/>
        <v>1</v>
      </c>
      <c r="AT36">
        <f t="shared" si="20"/>
        <v>0</v>
      </c>
      <c r="AU36">
        <f t="shared" si="21"/>
        <v>2</v>
      </c>
      <c r="AV36">
        <f t="shared" si="22"/>
        <v>4</v>
      </c>
      <c r="AW36">
        <f t="shared" si="23"/>
        <v>2</v>
      </c>
      <c r="AX36">
        <f t="shared" si="24"/>
        <v>13</v>
      </c>
      <c r="AY36">
        <f t="shared" si="25"/>
        <v>7</v>
      </c>
      <c r="AZ36">
        <f t="shared" si="26"/>
        <v>10</v>
      </c>
      <c r="BA36">
        <f t="shared" si="27"/>
        <v>11</v>
      </c>
      <c r="BB36">
        <f t="shared" si="45"/>
        <v>3</v>
      </c>
      <c r="BC36">
        <f t="shared" si="45"/>
        <v>-4</v>
      </c>
      <c r="BD36">
        <f t="shared" si="46"/>
        <v>20</v>
      </c>
      <c r="BE36">
        <f t="shared" si="47"/>
        <v>21</v>
      </c>
      <c r="BF36">
        <f t="shared" si="48"/>
        <v>-1</v>
      </c>
      <c r="BG36">
        <f t="shared" si="49"/>
        <v>3.25</v>
      </c>
      <c r="BH36">
        <f t="shared" si="49"/>
        <v>3.5</v>
      </c>
      <c r="BI36">
        <f t="shared" si="50"/>
        <v>2.5</v>
      </c>
      <c r="BJ36">
        <f t="shared" si="50"/>
        <v>5.5</v>
      </c>
      <c r="BK36">
        <f t="shared" si="28"/>
        <v>3.3333333333333335</v>
      </c>
      <c r="BL36">
        <f t="shared" si="29"/>
        <v>3.5</v>
      </c>
      <c r="BN36" t="str">
        <f t="shared" si="30"/>
        <v>LAK</v>
      </c>
      <c r="BO36" s="15">
        <f t="shared" si="31"/>
        <v>6</v>
      </c>
      <c r="BP36" s="15">
        <f t="shared" si="31"/>
        <v>4</v>
      </c>
      <c r="BQ36" s="15">
        <f t="shared" si="31"/>
        <v>2</v>
      </c>
      <c r="BR36" s="15">
        <f t="shared" si="31"/>
        <v>2</v>
      </c>
      <c r="BS36" s="15">
        <f t="shared" si="31"/>
        <v>4</v>
      </c>
      <c r="BT36" s="15">
        <f t="shared" si="31"/>
        <v>2</v>
      </c>
      <c r="BU36" s="15">
        <f t="shared" si="31"/>
        <v>1</v>
      </c>
      <c r="BV36" s="15">
        <f t="shared" si="31"/>
        <v>0</v>
      </c>
      <c r="BW36" s="15">
        <f t="shared" si="31"/>
        <v>2</v>
      </c>
      <c r="BX36" s="15">
        <f t="shared" si="32"/>
        <v>13</v>
      </c>
      <c r="BY36" s="15">
        <f t="shared" si="33"/>
        <v>7</v>
      </c>
      <c r="BZ36" s="15">
        <f t="shared" si="34"/>
        <v>10</v>
      </c>
      <c r="CA36" s="15">
        <f t="shared" si="35"/>
        <v>11</v>
      </c>
      <c r="CB36" s="15">
        <f t="shared" si="36"/>
        <v>3</v>
      </c>
      <c r="CC36" s="15">
        <f t="shared" si="36"/>
        <v>-4</v>
      </c>
      <c r="CD36" s="15">
        <f t="shared" si="37"/>
        <v>20</v>
      </c>
      <c r="CE36" s="15">
        <f t="shared" si="38"/>
        <v>21</v>
      </c>
      <c r="CF36" s="15">
        <f t="shared" si="39"/>
        <v>-1</v>
      </c>
      <c r="CG36" s="20">
        <f t="shared" si="40"/>
        <v>3.25</v>
      </c>
      <c r="CH36" s="20">
        <f t="shared" si="40"/>
        <v>3.5</v>
      </c>
      <c r="CI36" s="20">
        <f t="shared" si="41"/>
        <v>2.5</v>
      </c>
      <c r="CJ36" s="20">
        <f t="shared" si="41"/>
        <v>5.5</v>
      </c>
      <c r="CK36" s="20">
        <f t="shared" si="42"/>
        <v>3.3333333333333335</v>
      </c>
      <c r="CL36" s="20">
        <f t="shared" si="43"/>
        <v>3.5</v>
      </c>
    </row>
    <row r="37" spans="1:90" x14ac:dyDescent="0.25">
      <c r="A37" t="str">
        <f t="shared" si="52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3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 t="shared" si="0"/>
        <v>0</v>
      </c>
      <c r="W37" s="5" t="str">
        <f t="shared" si="51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AD37" s="8"/>
      <c r="AH37" t="s">
        <v>52</v>
      </c>
      <c r="AI37">
        <f t="shared" si="10"/>
        <v>6</v>
      </c>
      <c r="AJ37">
        <f t="shared" si="11"/>
        <v>0</v>
      </c>
      <c r="AK37">
        <f t="shared" si="12"/>
        <v>0</v>
      </c>
      <c r="AL37">
        <f t="shared" si="13"/>
        <v>0</v>
      </c>
      <c r="AM37">
        <f t="shared" si="44"/>
        <v>6</v>
      </c>
      <c r="AN37">
        <f t="shared" si="14"/>
        <v>2</v>
      </c>
      <c r="AO37">
        <f t="shared" si="15"/>
        <v>4</v>
      </c>
      <c r="AP37">
        <f t="shared" si="16"/>
        <v>3</v>
      </c>
      <c r="AQ37">
        <f t="shared" si="17"/>
        <v>3</v>
      </c>
      <c r="AR37">
        <f t="shared" si="18"/>
        <v>2</v>
      </c>
      <c r="AS37">
        <f t="shared" si="19"/>
        <v>0</v>
      </c>
      <c r="AT37">
        <f t="shared" si="20"/>
        <v>1</v>
      </c>
      <c r="AU37">
        <f t="shared" si="21"/>
        <v>2</v>
      </c>
      <c r="AV37">
        <f t="shared" si="22"/>
        <v>2</v>
      </c>
      <c r="AW37">
        <f t="shared" si="23"/>
        <v>4</v>
      </c>
      <c r="AX37">
        <f t="shared" si="24"/>
        <v>11</v>
      </c>
      <c r="AY37">
        <f t="shared" si="25"/>
        <v>10</v>
      </c>
      <c r="AZ37">
        <f t="shared" si="26"/>
        <v>7</v>
      </c>
      <c r="BA37">
        <f t="shared" si="27"/>
        <v>13</v>
      </c>
      <c r="BB37">
        <f t="shared" si="45"/>
        <v>4</v>
      </c>
      <c r="BC37">
        <f t="shared" si="45"/>
        <v>-3</v>
      </c>
      <c r="BD37">
        <f t="shared" si="46"/>
        <v>21</v>
      </c>
      <c r="BE37">
        <f t="shared" si="47"/>
        <v>20</v>
      </c>
      <c r="BF37">
        <f t="shared" si="48"/>
        <v>1</v>
      </c>
      <c r="BG37">
        <f t="shared" si="49"/>
        <v>5.5</v>
      </c>
      <c r="BH37">
        <f t="shared" si="49"/>
        <v>2.5</v>
      </c>
      <c r="BI37">
        <f t="shared" si="50"/>
        <v>3.5</v>
      </c>
      <c r="BJ37">
        <f t="shared" si="50"/>
        <v>3.25</v>
      </c>
      <c r="BK37">
        <f t="shared" si="28"/>
        <v>3.5</v>
      </c>
      <c r="BL37">
        <f t="shared" si="29"/>
        <v>3.3333333333333335</v>
      </c>
      <c r="BN37" t="str">
        <f t="shared" si="30"/>
        <v>EDM</v>
      </c>
      <c r="BO37" s="15">
        <f t="shared" si="31"/>
        <v>6</v>
      </c>
      <c r="BP37" s="15">
        <f t="shared" si="31"/>
        <v>2</v>
      </c>
      <c r="BQ37" s="15">
        <f t="shared" si="31"/>
        <v>4</v>
      </c>
      <c r="BR37" s="15">
        <f t="shared" si="31"/>
        <v>3</v>
      </c>
      <c r="BS37" s="15">
        <f t="shared" si="31"/>
        <v>3</v>
      </c>
      <c r="BT37" s="15">
        <f t="shared" si="31"/>
        <v>2</v>
      </c>
      <c r="BU37" s="15">
        <f t="shared" si="31"/>
        <v>0</v>
      </c>
      <c r="BV37" s="15">
        <f t="shared" si="31"/>
        <v>1</v>
      </c>
      <c r="BW37" s="15">
        <f t="shared" si="31"/>
        <v>2</v>
      </c>
      <c r="BX37" s="15">
        <f t="shared" si="32"/>
        <v>11</v>
      </c>
      <c r="BY37" s="15">
        <f t="shared" si="33"/>
        <v>10</v>
      </c>
      <c r="BZ37" s="15">
        <f t="shared" si="34"/>
        <v>7</v>
      </c>
      <c r="CA37" s="15">
        <f t="shared" si="35"/>
        <v>13</v>
      </c>
      <c r="CB37" s="15">
        <f t="shared" si="36"/>
        <v>4</v>
      </c>
      <c r="CC37" s="15">
        <f t="shared" si="36"/>
        <v>-3</v>
      </c>
      <c r="CD37" s="15">
        <f t="shared" si="37"/>
        <v>21</v>
      </c>
      <c r="CE37" s="15">
        <f t="shared" si="38"/>
        <v>20</v>
      </c>
      <c r="CF37" s="15">
        <f t="shared" si="39"/>
        <v>1</v>
      </c>
      <c r="CG37" s="20">
        <f t="shared" si="40"/>
        <v>5.5</v>
      </c>
      <c r="CH37" s="20">
        <f t="shared" si="40"/>
        <v>2.5</v>
      </c>
      <c r="CI37" s="20">
        <f t="shared" si="41"/>
        <v>3.5</v>
      </c>
      <c r="CJ37" s="20">
        <f t="shared" si="41"/>
        <v>3.25</v>
      </c>
      <c r="CK37" s="20">
        <f t="shared" si="42"/>
        <v>3.5</v>
      </c>
      <c r="CL37" s="20">
        <f t="shared" si="43"/>
        <v>3.3333333333333335</v>
      </c>
    </row>
    <row r="38" spans="1:90" x14ac:dyDescent="0.25">
      <c r="A38" s="1" t="str">
        <f t="shared" si="52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2" t="str">
        <f t="shared" si="53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5">
        <f t="shared" si="0"/>
        <v>0</v>
      </c>
      <c r="W38" s="5" t="str">
        <f t="shared" si="51"/>
        <v>EDM</v>
      </c>
      <c r="X38" s="5">
        <f>IF(ISBLANK(Table2[[#This Row],[OTROUNDNUM]]), "", Table2[[#This Row],[PAWAYSCORE]]-Table2[[#This Row],[AAWAYSCORE]])</f>
        <v>0</v>
      </c>
      <c r="Y38" s="5">
        <f>IF(ISBLANK(Table2[[#This Row],[OTROUNDNUM]]), "", Table2[[#This Row],[PHOMESCORE]]-Table2[[#This Row],[AHOMESCORE]])</f>
        <v>4</v>
      </c>
      <c r="AD38" s="8"/>
    </row>
    <row r="39" spans="1:90" x14ac:dyDescent="0.25">
      <c r="A39" t="str">
        <f t="shared" si="52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3</v>
      </c>
      <c r="K39" s="8">
        <v>1</v>
      </c>
      <c r="L39" s="5" t="s">
        <v>164</v>
      </c>
      <c r="M39" s="5" t="s">
        <v>39</v>
      </c>
      <c r="N39" s="5" t="str">
        <f t="shared" si="53"/>
        <v>MTL</v>
      </c>
      <c r="O39" s="5">
        <v>3</v>
      </c>
      <c r="P39" s="5">
        <v>2</v>
      </c>
      <c r="Q39" s="5" t="s">
        <v>159</v>
      </c>
      <c r="R39" s="7">
        <v>45777</v>
      </c>
      <c r="S39" s="5"/>
      <c r="T39" s="5"/>
      <c r="U39" s="5"/>
      <c r="V39" s="5" t="str">
        <f t="shared" si="0"/>
        <v/>
      </c>
      <c r="W39" s="5" t="str">
        <f t="shared" si="51"/>
        <v/>
      </c>
      <c r="X39" s="5" t="str">
        <f>IF(ISBLANK(Table2[[#This Row],[OTROUNDNUM]]), "", Table2[[#This Row],[PAWAYSCORE]]-Table2[[#This Row],[AAWAYSCORE]])</f>
        <v/>
      </c>
      <c r="Y39" s="5" t="str">
        <f>IF(ISBLANK(Table2[[#This Row],[OTROUNDNUM]]), "", Table2[[#This Row],[PHOMESCORE]]-Table2[[#This Row],[AHOMESCORE]])</f>
        <v/>
      </c>
      <c r="AD39" s="8"/>
    </row>
    <row r="40" spans="1:90" x14ac:dyDescent="0.25">
      <c r="A40" t="str">
        <f t="shared" si="52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3</v>
      </c>
      <c r="L40" s="5" t="s">
        <v>35</v>
      </c>
      <c r="M40" s="5" t="s">
        <v>36</v>
      </c>
      <c r="N40" s="5" t="str">
        <f t="shared" si="53"/>
        <v>FLA</v>
      </c>
      <c r="O40" s="5">
        <v>4</v>
      </c>
      <c r="P40" s="5">
        <v>3</v>
      </c>
      <c r="Q40" s="5" t="s">
        <v>159</v>
      </c>
      <c r="R40" s="7">
        <v>45777</v>
      </c>
      <c r="S40" s="5"/>
      <c r="T40" s="5"/>
      <c r="U40" s="5"/>
      <c r="V40" s="5" t="str">
        <f t="shared" si="0"/>
        <v/>
      </c>
      <c r="W40" s="5" t="str">
        <f t="shared" si="51"/>
        <v/>
      </c>
      <c r="X40" s="5" t="str">
        <f>IF(ISBLANK(Table2[[#This Row],[OTROUNDNUM]]), "", Table2[[#This Row],[PAWAYSCORE]]-Table2[[#This Row],[AAWAYSCORE]])</f>
        <v/>
      </c>
      <c r="Y40" s="5" t="str">
        <f>IF(ISBLANK(Table2[[#This Row],[OTROUNDNUM]]), "", Table2[[#This Row],[PHOMESCORE]]-Table2[[#This Row],[AHOMESCORE]])</f>
        <v/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t="str">
        <f t="shared" si="52"/>
        <v>Wednesday</v>
      </c>
      <c r="B41" s="7">
        <v>45777</v>
      </c>
      <c r="C41" s="23">
        <v>0.9375</v>
      </c>
      <c r="D41" s="7" t="s">
        <v>41</v>
      </c>
      <c r="E41" s="8">
        <v>1</v>
      </c>
      <c r="F41" s="5" t="s">
        <v>49</v>
      </c>
      <c r="G41" s="8">
        <v>5</v>
      </c>
      <c r="H41" s="8" t="s">
        <v>43</v>
      </c>
      <c r="I41" s="8" t="s">
        <v>158</v>
      </c>
      <c r="J41" s="8">
        <v>2</v>
      </c>
      <c r="K41" s="8">
        <v>2</v>
      </c>
      <c r="L41" s="5" t="s">
        <v>158</v>
      </c>
      <c r="M41" s="5" t="s">
        <v>43</v>
      </c>
      <c r="N41" s="5" t="str">
        <f t="shared" si="53"/>
        <v>STL</v>
      </c>
      <c r="O41" s="5">
        <v>3</v>
      </c>
      <c r="P41" s="5">
        <v>2</v>
      </c>
      <c r="Q41" s="5" t="s">
        <v>159</v>
      </c>
      <c r="R41" s="7">
        <v>45777</v>
      </c>
      <c r="S41" s="5"/>
      <c r="T41" s="5"/>
      <c r="U41" s="5"/>
      <c r="V41" s="5" t="str">
        <f t="shared" si="0"/>
        <v/>
      </c>
      <c r="W41" s="5" t="str">
        <f t="shared" si="51"/>
        <v/>
      </c>
      <c r="X41" s="5" t="str">
        <f>IF(ISBLANK(Table2[[#This Row],[OTROUNDNUM]]), "", Table2[[#This Row],[PAWAYSCORE]]-Table2[[#This Row],[AAWAYSCORE]])</f>
        <v/>
      </c>
      <c r="Y41" s="5" t="str">
        <f>IF(ISBLANK(Table2[[#This Row],[OTROUNDNUM]]), "", Table2[[#This Row],[PHOMESCORE]]-Table2[[#This Row],[AHOMESCORE]])</f>
        <v/>
      </c>
      <c r="AD41" s="8"/>
      <c r="AI41">
        <f>COUNTIFS($L$2:$L$100, AH41, $E$2:$E$100, 1) + COUNTIFS($M$2:$M$100, AH41, $E$2:$E$100, 1)</f>
        <v>0</v>
      </c>
      <c r="AJ41">
        <f>COUNTIFS($L$2:$L$100, AH41, $E$2:$E$100, 2) + COUNTIFS($M$2:$M$100, AH41, $E$2:$E$100, 2)</f>
        <v>0</v>
      </c>
      <c r="AK41">
        <f>COUNTIFS($L$2:$L$100, AH41, $E$2:$E$100, 3) + COUNTIFS($M$2:$M$100, AH41, $E$2:$E$100, 3)</f>
        <v>0</v>
      </c>
      <c r="AL41">
        <f>COUNTIFS($L$2:$L$100, AH41, $E$2:$E$100, 4) + COUNTIFS($M$2:$M$100, AH41, $E$2:$E$100, 4)</f>
        <v>0</v>
      </c>
      <c r="AM41">
        <f>AI41+AJ41+AK41+AL41</f>
        <v>0</v>
      </c>
      <c r="AN41">
        <f>COUNTIF($M$2:$M$100, AH41)</f>
        <v>0</v>
      </c>
      <c r="AO41">
        <f>COUNTIF($L$2:$L$100, AH41)</f>
        <v>0</v>
      </c>
      <c r="AP41">
        <f>AR41+AT41</f>
        <v>0</v>
      </c>
      <c r="AQ41">
        <f>AM41-AP41</f>
        <v>0</v>
      </c>
      <c r="AR41">
        <f>SUMPRODUCT(($M$2:$M$100=AH41)*($T$2:$T$100&gt;$S$2:$S$100))</f>
        <v>0</v>
      </c>
      <c r="AS41">
        <f>SUMPRODUCT(($M$2:$M$100=AH22)*($T$2:$T$100&lt;$S$2:$S$100))</f>
        <v>0</v>
      </c>
      <c r="AT41">
        <f>SUMPRODUCT(($L$2:$L$100=AH41)*($T$2:$T$100&lt;$S$2:$S$100))</f>
        <v>0</v>
      </c>
      <c r="AU41">
        <f>SUMPRODUCT(($L$2:$L$100=AH41)*($T$2:$T$100&gt;$S$2:$S$100))</f>
        <v>0</v>
      </c>
      <c r="AV41">
        <f>COUNTIFS($M$2:$M$100,AH41,$E$2:$E$100,2)</f>
        <v>0</v>
      </c>
      <c r="AW41">
        <f>COUNTIFS($L$2:$L$100,AH41,$E$2:$E$100,2)</f>
        <v>0</v>
      </c>
      <c r="AX41">
        <f>SUMIFS($T$2:$T$100, $M$2:$M$100, AH41,$E$2:$E$100, 2)</f>
        <v>0</v>
      </c>
      <c r="AY41">
        <f>SUMIFS($S$2:$S$100, $L$2:$L$100, AH41,$E$2:$E$100, 2)</f>
        <v>0</v>
      </c>
      <c r="AZ41">
        <f>SUMIFS($S$2:$S$100, $M$2:$M$100, AH41,$E$2:$E$100, 2)</f>
        <v>0</v>
      </c>
      <c r="BA41">
        <f>SUMIFS($T$2:$T$100, $L$2:$L$100, AH41,$E$2:$E$100, 2)</f>
        <v>0</v>
      </c>
      <c r="BB41">
        <f>AX41-AZ41</f>
        <v>0</v>
      </c>
      <c r="BC41">
        <f>AY41-BA41</f>
        <v>0</v>
      </c>
      <c r="BD41">
        <f>AX41+AY41</f>
        <v>0</v>
      </c>
      <c r="BE41">
        <f>AZ41+BA41</f>
        <v>0</v>
      </c>
      <c r="BF41">
        <f>(AX41+AY41)-(AZ41+BA41)</f>
        <v>0</v>
      </c>
      <c r="BG41" t="e">
        <f>AX41/AV41</f>
        <v>#DIV/0!</v>
      </c>
      <c r="BH41" t="e">
        <f>AY41/AW41</f>
        <v>#DIV/0!</v>
      </c>
      <c r="BI41" t="e">
        <f>AZ41/AV41</f>
        <v>#DIV/0!</v>
      </c>
      <c r="BJ41" t="e">
        <f>BA41/AW41</f>
        <v>#DIV/0!</v>
      </c>
      <c r="BK41" t="e">
        <f>BD41/AI41</f>
        <v>#DIV/0!</v>
      </c>
      <c r="BL41" t="e">
        <f>BE41/AI41</f>
        <v>#DIV/0!</v>
      </c>
    </row>
    <row r="42" spans="1:90" x14ac:dyDescent="0.25">
      <c r="A42" t="str">
        <f t="shared" si="52"/>
        <v>Thursday</v>
      </c>
      <c r="B42" s="7">
        <v>45778</v>
      </c>
      <c r="C42" s="23"/>
      <c r="D42" s="7" t="s">
        <v>16</v>
      </c>
      <c r="E42" s="8">
        <v>1</v>
      </c>
      <c r="F42" s="5" t="s">
        <v>31</v>
      </c>
      <c r="G42" s="8">
        <v>6</v>
      </c>
      <c r="H42" s="8" t="s">
        <v>36</v>
      </c>
      <c r="I42" s="8" t="s">
        <v>35</v>
      </c>
      <c r="J42" s="8">
        <v>1</v>
      </c>
      <c r="K42" s="8">
        <v>3</v>
      </c>
      <c r="L42" s="5" t="s">
        <v>35</v>
      </c>
      <c r="M42" s="5" t="s">
        <v>36</v>
      </c>
      <c r="N42" s="5" t="str">
        <f t="shared" si="53"/>
        <v/>
      </c>
      <c r="O42" s="5"/>
      <c r="P42" s="5"/>
      <c r="Q42" s="5"/>
      <c r="R42" s="7"/>
      <c r="S42" s="5"/>
      <c r="T42" s="5"/>
      <c r="U42" s="5"/>
      <c r="V42" s="5" t="str">
        <f t="shared" si="0"/>
        <v/>
      </c>
      <c r="W42" s="5" t="str">
        <f t="shared" si="51"/>
        <v/>
      </c>
      <c r="X42" s="5" t="str">
        <f>IF(ISBLANK(Table2[[#This Row],[OTROUNDNUM]]), "", Table2[[#This Row],[PAWAYSCORE]]-Table2[[#This Row],[AAWAYSCORE]])</f>
        <v/>
      </c>
      <c r="Y42" s="5" t="str">
        <f>IF(ISBLANK(Table2[[#This Row],[OTROUNDNUM]]), "", Table2[[#This Row],[PHOMESCORE]]-Table2[[#This Row],[AHOMESCORE]])</f>
        <v/>
      </c>
      <c r="AI42">
        <f t="shared" ref="AI42:AI48" si="54">COUNTIFS($L$2:$L$100, AH42, $E$2:$E$100, 1) + COUNTIFS($M$2:$M$100, AH42, $E$2:$E$100, 1)</f>
        <v>0</v>
      </c>
      <c r="AJ42">
        <f t="shared" ref="AJ42:AJ48" si="55">COUNTIFS($L$2:$L$100, AH42, $E$2:$E$100, 2) + COUNTIFS($M$2:$M$100, AH42, $E$2:$E$100, 2)</f>
        <v>0</v>
      </c>
      <c r="AK42">
        <f t="shared" ref="AK42:AK48" si="56">COUNTIFS($L$2:$L$100, AH42, $E$2:$E$100, 3) + COUNTIFS($M$2:$M$100, AH42, $E$2:$E$100, 3)</f>
        <v>0</v>
      </c>
      <c r="AL42">
        <f t="shared" ref="AL42:AL48" si="57">COUNTIFS($L$2:$L$100, AH42, $E$2:$E$100, 4) + COUNTIFS($M$2:$M$100, AH42, $E$2:$E$100, 4)</f>
        <v>0</v>
      </c>
      <c r="AM42">
        <f t="shared" ref="AM42:AM48" si="58">AI42+AJ42+AK42+AL42</f>
        <v>0</v>
      </c>
      <c r="AN42">
        <f t="shared" ref="AN42:AN48" si="59">COUNTIF($M$2:$M$100, AH42)</f>
        <v>0</v>
      </c>
      <c r="AO42">
        <f t="shared" ref="AO42:AO48" si="60">COUNTIF($L$2:$L$100, AH42)</f>
        <v>0</v>
      </c>
      <c r="AP42">
        <f t="shared" ref="AP42:AP48" si="61">AR42+AT42</f>
        <v>0</v>
      </c>
      <c r="AQ42">
        <f t="shared" ref="AQ42:AQ48" si="62">AM42-AP42</f>
        <v>0</v>
      </c>
      <c r="AR42">
        <f t="shared" ref="AR42:AR48" si="63">SUMPRODUCT(($M$2:$M$100=AH42)*($T$2:$T$100&gt;$S$2:$S$100))</f>
        <v>0</v>
      </c>
      <c r="AS42">
        <f t="shared" ref="AS42:AS48" si="64">SUMPRODUCT(($M$2:$M$100=AH23)*($T$2:$T$100&lt;$S$2:$S$100))</f>
        <v>1</v>
      </c>
      <c r="AT42">
        <f t="shared" ref="AT42:AT48" si="65">SUMPRODUCT(($L$2:$L$100=AH42)*($T$2:$T$100&lt;$S$2:$S$100))</f>
        <v>0</v>
      </c>
      <c r="AU42">
        <f t="shared" ref="AU42:AU48" si="66">SUMPRODUCT(($L$2:$L$100=AH42)*($T$2:$T$100&gt;$S$2:$S$100))</f>
        <v>0</v>
      </c>
      <c r="AV42">
        <f t="shared" ref="AV42:AV48" si="67">COUNTIFS($M$2:$M$100,AH42,$E$2:$E$100,2)</f>
        <v>0</v>
      </c>
      <c r="AW42">
        <f t="shared" ref="AW42:AW48" si="68">COUNTIFS($L$2:$L$100,AH42,$E$2:$E$100,2)</f>
        <v>0</v>
      </c>
      <c r="AX42">
        <f t="shared" ref="AX42:AX48" si="69">SUMIFS($T$2:$T$100, $M$2:$M$100, AH42,$E$2:$E$100, 2)</f>
        <v>0</v>
      </c>
      <c r="AY42">
        <f t="shared" ref="AY42:AY48" si="70">SUMIFS($S$2:$S$100, $L$2:$L$100, AH42,$E$2:$E$100, 2)</f>
        <v>0</v>
      </c>
      <c r="AZ42">
        <f t="shared" ref="AZ42:AZ48" si="71">SUMIFS($S$2:$S$100, $M$2:$M$100, AH42,$E$2:$E$100, 2)</f>
        <v>0</v>
      </c>
      <c r="BA42">
        <f t="shared" ref="BA42:BA48" si="72">SUMIFS($T$2:$T$100, $L$2:$L$100, AH42,$E$2:$E$100, 2)</f>
        <v>0</v>
      </c>
      <c r="BB42">
        <f t="shared" ref="BB42:BC48" si="73">AX42-AZ42</f>
        <v>0</v>
      </c>
      <c r="BC42">
        <f t="shared" si="73"/>
        <v>0</v>
      </c>
      <c r="BD42">
        <f t="shared" ref="BD42:BD48" si="74">AX42+AY42</f>
        <v>0</v>
      </c>
      <c r="BE42">
        <f t="shared" ref="BE42:BE48" si="75">AZ42+BA42</f>
        <v>0</v>
      </c>
      <c r="BF42">
        <f t="shared" ref="BF42:BF48" si="76">(AX42+AY42)-(AZ42+BA42)</f>
        <v>0</v>
      </c>
      <c r="BG42" t="e">
        <f t="shared" ref="BG42:BH48" si="77">AX42/AV42</f>
        <v>#DIV/0!</v>
      </c>
      <c r="BH42" t="e">
        <f t="shared" si="77"/>
        <v>#DIV/0!</v>
      </c>
      <c r="BI42" t="e">
        <f t="shared" ref="BI42:BJ48" si="78">AZ42/AV42</f>
        <v>#DIV/0!</v>
      </c>
      <c r="BJ42" t="e">
        <f t="shared" si="78"/>
        <v>#DIV/0!</v>
      </c>
      <c r="BK42" t="e">
        <f t="shared" ref="BK42:BK48" si="79">BD42/AI42</f>
        <v>#DIV/0!</v>
      </c>
      <c r="BL42" t="e">
        <f t="shared" ref="BL42:BL48" si="80">BE42/AI42</f>
        <v>#DIV/0!</v>
      </c>
    </row>
    <row r="43" spans="1:90" x14ac:dyDescent="0.25">
      <c r="A43" t="str">
        <f t="shared" si="52"/>
        <v>Thursday</v>
      </c>
      <c r="B43" s="7">
        <v>45778</v>
      </c>
      <c r="C43" s="23"/>
      <c r="D43" s="7" t="s">
        <v>16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3</v>
      </c>
      <c r="K43" s="8">
        <v>2</v>
      </c>
      <c r="L43" s="5" t="s">
        <v>163</v>
      </c>
      <c r="M43" s="5" t="s">
        <v>51</v>
      </c>
      <c r="N43" s="5" t="str">
        <f t="shared" si="53"/>
        <v/>
      </c>
      <c r="O43" s="5"/>
      <c r="P43" s="5"/>
      <c r="Q43" s="5"/>
      <c r="R43" s="7"/>
      <c r="S43" s="5"/>
      <c r="T43" s="5"/>
      <c r="U43" s="5"/>
      <c r="V43" s="5" t="str">
        <f t="shared" si="0"/>
        <v/>
      </c>
      <c r="W43" s="5" t="str">
        <f t="shared" si="51"/>
        <v/>
      </c>
      <c r="X43" s="5" t="str">
        <f>IF(ISBLANK(Table2[[#This Row],[OTROUNDNUM]]), "", Table2[[#This Row],[PAWAYSCORE]]-Table2[[#This Row],[AAWAYSCORE]])</f>
        <v/>
      </c>
      <c r="Y43" s="5" t="str">
        <f>IF(ISBLANK(Table2[[#This Row],[OTROUNDNUM]]), "", Table2[[#This Row],[PHOMESCORE]]-Table2[[#This Row],[AHOMESCORE]])</f>
        <v/>
      </c>
      <c r="AI43">
        <f t="shared" si="54"/>
        <v>0</v>
      </c>
      <c r="AJ43">
        <f t="shared" si="55"/>
        <v>0</v>
      </c>
      <c r="AK43">
        <f t="shared" si="56"/>
        <v>0</v>
      </c>
      <c r="AL43">
        <f t="shared" si="57"/>
        <v>0</v>
      </c>
      <c r="AM43">
        <f t="shared" si="58"/>
        <v>0</v>
      </c>
      <c r="AN43">
        <f t="shared" si="59"/>
        <v>0</v>
      </c>
      <c r="AO43">
        <f t="shared" si="60"/>
        <v>0</v>
      </c>
      <c r="AP43">
        <f t="shared" si="61"/>
        <v>0</v>
      </c>
      <c r="AQ43">
        <f t="shared" si="62"/>
        <v>0</v>
      </c>
      <c r="AR43">
        <f t="shared" si="63"/>
        <v>0</v>
      </c>
      <c r="AS43">
        <f t="shared" si="64"/>
        <v>1</v>
      </c>
      <c r="AT43">
        <f t="shared" si="65"/>
        <v>0</v>
      </c>
      <c r="AU43">
        <f t="shared" si="66"/>
        <v>0</v>
      </c>
      <c r="AV43">
        <f t="shared" si="67"/>
        <v>0</v>
      </c>
      <c r="AW43">
        <f t="shared" si="68"/>
        <v>0</v>
      </c>
      <c r="AX43">
        <f t="shared" si="69"/>
        <v>0</v>
      </c>
      <c r="AY43">
        <f t="shared" si="70"/>
        <v>0</v>
      </c>
      <c r="AZ43">
        <f t="shared" si="71"/>
        <v>0</v>
      </c>
      <c r="BA43">
        <f t="shared" si="72"/>
        <v>0</v>
      </c>
      <c r="BB43">
        <f t="shared" si="73"/>
        <v>0</v>
      </c>
      <c r="BC43">
        <f t="shared" si="73"/>
        <v>0</v>
      </c>
      <c r="BD43">
        <f t="shared" si="74"/>
        <v>0</v>
      </c>
      <c r="BE43">
        <f t="shared" si="75"/>
        <v>0</v>
      </c>
      <c r="BF43">
        <f t="shared" si="76"/>
        <v>0</v>
      </c>
      <c r="BG43" t="e">
        <f t="shared" si="77"/>
        <v>#DIV/0!</v>
      </c>
      <c r="BH43" t="e">
        <f t="shared" si="77"/>
        <v>#DIV/0!</v>
      </c>
      <c r="BI43" t="e">
        <f t="shared" si="78"/>
        <v>#DIV/0!</v>
      </c>
      <c r="BJ43" t="e">
        <f t="shared" si="78"/>
        <v>#DIV/0!</v>
      </c>
      <c r="BK43" t="e">
        <f t="shared" si="79"/>
        <v>#DIV/0!</v>
      </c>
      <c r="BL43" t="e">
        <f t="shared" si="80"/>
        <v>#DIV/0!</v>
      </c>
    </row>
    <row r="44" spans="1:90" x14ac:dyDescent="0.25">
      <c r="A44" t="str">
        <f t="shared" ref="A44:A55" si="81">TEXT($B44,"dddd")</f>
        <v>Thursday</v>
      </c>
      <c r="B44" s="7">
        <v>45778</v>
      </c>
      <c r="C44" s="23"/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2</v>
      </c>
      <c r="L44" s="5" t="s">
        <v>44</v>
      </c>
      <c r="M44" s="5" t="s">
        <v>50</v>
      </c>
      <c r="N44" s="5" t="str">
        <f t="shared" ref="N44:N55" si="82">IF(OR(ISBLANK(O44), ISBLANK($P44)), "", IF($O44&gt;$P44, $L44,$M44))</f>
        <v/>
      </c>
      <c r="O44" s="5"/>
      <c r="P44" s="5"/>
      <c r="Q44" s="2"/>
      <c r="R44" s="12"/>
      <c r="S44" s="2"/>
      <c r="T44" s="5"/>
      <c r="U44" s="5"/>
      <c r="V44" s="5" t="str">
        <f t="shared" si="0"/>
        <v/>
      </c>
      <c r="W44" s="5" t="str">
        <f t="shared" si="51"/>
        <v/>
      </c>
      <c r="X44" s="5" t="str">
        <f>IF(ISBLANK(Table2[[#This Row],[OTROUNDNUM]]), "", Table2[[#This Row],[PAWAYSCORE]]-Table2[[#This Row],[AAWAYSCORE]])</f>
        <v/>
      </c>
      <c r="Y44" s="5" t="str">
        <f>IF(ISBLANK(Table2[[#This Row],[OTROUNDNUM]]), "", Table2[[#This Row],[PHOMESCORE]]-Table2[[#This Row],[AHOMESCORE]])</f>
        <v/>
      </c>
      <c r="AI44">
        <f t="shared" si="54"/>
        <v>0</v>
      </c>
      <c r="AJ44">
        <f t="shared" si="55"/>
        <v>0</v>
      </c>
      <c r="AK44">
        <f t="shared" si="56"/>
        <v>0</v>
      </c>
      <c r="AL44">
        <f t="shared" si="57"/>
        <v>0</v>
      </c>
      <c r="AM44">
        <f t="shared" si="58"/>
        <v>0</v>
      </c>
      <c r="AN44">
        <f t="shared" si="59"/>
        <v>0</v>
      </c>
      <c r="AO44">
        <f t="shared" si="60"/>
        <v>0</v>
      </c>
      <c r="AP44">
        <f t="shared" si="61"/>
        <v>0</v>
      </c>
      <c r="AQ44">
        <f t="shared" si="62"/>
        <v>0</v>
      </c>
      <c r="AR44">
        <f t="shared" si="63"/>
        <v>0</v>
      </c>
      <c r="AS44">
        <f t="shared" si="64"/>
        <v>1</v>
      </c>
      <c r="AT44">
        <f t="shared" si="65"/>
        <v>0</v>
      </c>
      <c r="AU44">
        <f t="shared" si="66"/>
        <v>0</v>
      </c>
      <c r="AV44">
        <f t="shared" si="67"/>
        <v>0</v>
      </c>
      <c r="AW44">
        <f t="shared" si="68"/>
        <v>0</v>
      </c>
      <c r="AX44">
        <f t="shared" si="69"/>
        <v>0</v>
      </c>
      <c r="AY44">
        <f t="shared" si="70"/>
        <v>0</v>
      </c>
      <c r="AZ44">
        <f t="shared" si="71"/>
        <v>0</v>
      </c>
      <c r="BA44">
        <f t="shared" si="72"/>
        <v>0</v>
      </c>
      <c r="BB44">
        <f t="shared" si="73"/>
        <v>0</v>
      </c>
      <c r="BC44">
        <f t="shared" si="73"/>
        <v>0</v>
      </c>
      <c r="BD44">
        <f t="shared" si="74"/>
        <v>0</v>
      </c>
      <c r="BE44">
        <f t="shared" si="75"/>
        <v>0</v>
      </c>
      <c r="BF44">
        <f t="shared" si="76"/>
        <v>0</v>
      </c>
      <c r="BG44" t="e">
        <f t="shared" si="77"/>
        <v>#DIV/0!</v>
      </c>
      <c r="BH44" t="e">
        <f t="shared" si="77"/>
        <v>#DIV/0!</v>
      </c>
      <c r="BI44" t="e">
        <f t="shared" si="78"/>
        <v>#DIV/0!</v>
      </c>
      <c r="BJ44" t="e">
        <f t="shared" si="78"/>
        <v>#DIV/0!</v>
      </c>
      <c r="BK44" t="e">
        <f t="shared" si="79"/>
        <v>#DIV/0!</v>
      </c>
      <c r="BL44" t="e">
        <f t="shared" si="80"/>
        <v>#DIV/0!</v>
      </c>
    </row>
    <row r="45" spans="1:90" x14ac:dyDescent="0.25">
      <c r="A45" t="str">
        <f t="shared" si="81"/>
        <v>Thursday</v>
      </c>
      <c r="B45" s="7">
        <v>45778</v>
      </c>
      <c r="C45" s="23"/>
      <c r="D45" s="7" t="s">
        <v>41</v>
      </c>
      <c r="E45" s="8">
        <v>1</v>
      </c>
      <c r="F45" s="5" t="s">
        <v>48</v>
      </c>
      <c r="G45" s="8">
        <v>6</v>
      </c>
      <c r="H45" s="8" t="s">
        <v>53</v>
      </c>
      <c r="I45" s="8" t="s">
        <v>52</v>
      </c>
      <c r="J45" s="8">
        <v>2</v>
      </c>
      <c r="K45" s="8">
        <v>3</v>
      </c>
      <c r="L45" s="5" t="s">
        <v>52</v>
      </c>
      <c r="M45" s="5" t="s">
        <v>53</v>
      </c>
      <c r="N45" s="5" t="str">
        <f t="shared" si="82"/>
        <v/>
      </c>
      <c r="O45" s="5"/>
      <c r="P45" s="5"/>
      <c r="Q45" s="2"/>
      <c r="R45" s="12"/>
      <c r="S45" s="2"/>
      <c r="T45" s="5"/>
      <c r="U45" s="5"/>
      <c r="V45" s="5" t="str">
        <f t="shared" si="0"/>
        <v/>
      </c>
      <c r="W45" s="5" t="str">
        <f t="shared" si="51"/>
        <v/>
      </c>
      <c r="X45" s="5" t="str">
        <f>IF(ISBLANK(Table2[[#This Row],[OTROUNDNUM]]), "", Table2[[#This Row],[PAWAYSCORE]]-Table2[[#This Row],[AAWAYSCORE]])</f>
        <v/>
      </c>
      <c r="Y45" s="5" t="str">
        <f>IF(ISBLANK(Table2[[#This Row],[OTROUNDNUM]]), "", Table2[[#This Row],[PHOMESCORE]]-Table2[[#This Row],[AHOMESCORE]])</f>
        <v/>
      </c>
      <c r="AI45">
        <f t="shared" si="54"/>
        <v>0</v>
      </c>
      <c r="AJ45">
        <f t="shared" si="55"/>
        <v>0</v>
      </c>
      <c r="AK45">
        <f t="shared" si="56"/>
        <v>0</v>
      </c>
      <c r="AL45">
        <f t="shared" si="57"/>
        <v>0</v>
      </c>
      <c r="AM45">
        <f t="shared" si="58"/>
        <v>0</v>
      </c>
      <c r="AN45">
        <f t="shared" si="59"/>
        <v>0</v>
      </c>
      <c r="AO45">
        <f t="shared" si="60"/>
        <v>0</v>
      </c>
      <c r="AP45">
        <f t="shared" si="61"/>
        <v>0</v>
      </c>
      <c r="AQ45">
        <f t="shared" si="62"/>
        <v>0</v>
      </c>
      <c r="AR45">
        <f t="shared" si="63"/>
        <v>0</v>
      </c>
      <c r="AS45">
        <f t="shared" si="64"/>
        <v>1</v>
      </c>
      <c r="AT45">
        <f t="shared" si="65"/>
        <v>0</v>
      </c>
      <c r="AU45">
        <f t="shared" si="66"/>
        <v>0</v>
      </c>
      <c r="AV45">
        <f t="shared" si="67"/>
        <v>0</v>
      </c>
      <c r="AW45">
        <f t="shared" si="68"/>
        <v>0</v>
      </c>
      <c r="AX45">
        <f t="shared" si="69"/>
        <v>0</v>
      </c>
      <c r="AY45">
        <f t="shared" si="70"/>
        <v>0</v>
      </c>
      <c r="AZ45">
        <f t="shared" si="71"/>
        <v>0</v>
      </c>
      <c r="BA45">
        <f t="shared" si="72"/>
        <v>0</v>
      </c>
      <c r="BB45">
        <f t="shared" si="73"/>
        <v>0</v>
      </c>
      <c r="BC45">
        <f t="shared" si="73"/>
        <v>0</v>
      </c>
      <c r="BD45">
        <f t="shared" si="74"/>
        <v>0</v>
      </c>
      <c r="BE45">
        <f t="shared" si="75"/>
        <v>0</v>
      </c>
      <c r="BF45">
        <f t="shared" si="76"/>
        <v>0</v>
      </c>
      <c r="BG45" t="e">
        <f t="shared" si="77"/>
        <v>#DIV/0!</v>
      </c>
      <c r="BH45" t="e">
        <f t="shared" si="77"/>
        <v>#DIV/0!</v>
      </c>
      <c r="BI45" t="e">
        <f t="shared" si="78"/>
        <v>#DIV/0!</v>
      </c>
      <c r="BJ45" t="e">
        <f t="shared" si="78"/>
        <v>#DIV/0!</v>
      </c>
      <c r="BK45" t="e">
        <f t="shared" si="79"/>
        <v>#DIV/0!</v>
      </c>
      <c r="BL45" t="e">
        <f t="shared" si="80"/>
        <v>#DIV/0!</v>
      </c>
    </row>
    <row r="46" spans="1:90" x14ac:dyDescent="0.25">
      <c r="A46" t="str">
        <f t="shared" si="81"/>
        <v>Friday</v>
      </c>
      <c r="B46" s="7">
        <v>45779</v>
      </c>
      <c r="C46" s="23"/>
      <c r="D46" s="7" t="s">
        <v>16</v>
      </c>
      <c r="E46" s="8">
        <v>1</v>
      </c>
      <c r="F46" s="5" t="s">
        <v>34</v>
      </c>
      <c r="G46" s="8">
        <v>6</v>
      </c>
      <c r="H46" s="8" t="s">
        <v>32</v>
      </c>
      <c r="I46" s="8" t="s">
        <v>162</v>
      </c>
      <c r="J46" s="8">
        <v>3</v>
      </c>
      <c r="K46" s="8">
        <v>2</v>
      </c>
      <c r="L46" s="5" t="s">
        <v>162</v>
      </c>
      <c r="M46" s="5" t="s">
        <v>32</v>
      </c>
      <c r="N46" s="5" t="str">
        <f t="shared" si="82"/>
        <v/>
      </c>
      <c r="O46" s="5"/>
      <c r="P46" s="5"/>
      <c r="Q46" s="2"/>
      <c r="R46" s="12"/>
      <c r="S46" s="2"/>
      <c r="T46" s="5"/>
      <c r="U46" s="5"/>
      <c r="V46" s="5" t="str">
        <f t="shared" si="0"/>
        <v/>
      </c>
      <c r="W46" s="5" t="str">
        <f t="shared" si="51"/>
        <v/>
      </c>
      <c r="X46" s="5" t="str">
        <f>IF(ISBLANK(Table2[[#This Row],[OTROUNDNUM]]), "", Table2[[#This Row],[PAWAYSCORE]]-Table2[[#This Row],[AAWAYSCORE]])</f>
        <v/>
      </c>
      <c r="Y46" s="5" t="str">
        <f>IF(ISBLANK(Table2[[#This Row],[OTROUNDNUM]]), "", Table2[[#This Row],[PHOMESCORE]]-Table2[[#This Row],[AHOMESCORE]])</f>
        <v/>
      </c>
      <c r="AI46">
        <f t="shared" si="54"/>
        <v>0</v>
      </c>
      <c r="AJ46">
        <f t="shared" si="55"/>
        <v>0</v>
      </c>
      <c r="AK46">
        <f t="shared" si="56"/>
        <v>0</v>
      </c>
      <c r="AL46">
        <f t="shared" si="57"/>
        <v>0</v>
      </c>
      <c r="AM46">
        <f t="shared" si="58"/>
        <v>0</v>
      </c>
      <c r="AN46">
        <f t="shared" si="59"/>
        <v>0</v>
      </c>
      <c r="AO46">
        <f t="shared" si="60"/>
        <v>0</v>
      </c>
      <c r="AP46">
        <f t="shared" si="61"/>
        <v>0</v>
      </c>
      <c r="AQ46">
        <f t="shared" si="62"/>
        <v>0</v>
      </c>
      <c r="AR46">
        <f t="shared" si="63"/>
        <v>0</v>
      </c>
      <c r="AS46">
        <f t="shared" si="64"/>
        <v>1</v>
      </c>
      <c r="AT46">
        <f t="shared" si="65"/>
        <v>0</v>
      </c>
      <c r="AU46">
        <f t="shared" si="66"/>
        <v>0</v>
      </c>
      <c r="AV46">
        <f t="shared" si="67"/>
        <v>0</v>
      </c>
      <c r="AW46">
        <f t="shared" si="68"/>
        <v>0</v>
      </c>
      <c r="AX46">
        <f t="shared" si="69"/>
        <v>0</v>
      </c>
      <c r="AY46">
        <f t="shared" si="70"/>
        <v>0</v>
      </c>
      <c r="AZ46">
        <f t="shared" si="71"/>
        <v>0</v>
      </c>
      <c r="BA46">
        <f t="shared" si="72"/>
        <v>0</v>
      </c>
      <c r="BB46">
        <f t="shared" si="73"/>
        <v>0</v>
      </c>
      <c r="BC46">
        <f t="shared" si="73"/>
        <v>0</v>
      </c>
      <c r="BD46">
        <f t="shared" si="74"/>
        <v>0</v>
      </c>
      <c r="BE46">
        <f t="shared" si="75"/>
        <v>0</v>
      </c>
      <c r="BF46">
        <f t="shared" si="76"/>
        <v>0</v>
      </c>
      <c r="BG46" t="e">
        <f t="shared" si="77"/>
        <v>#DIV/0!</v>
      </c>
      <c r="BH46" t="e">
        <f t="shared" si="77"/>
        <v>#DIV/0!</v>
      </c>
      <c r="BI46" t="e">
        <f t="shared" si="78"/>
        <v>#DIV/0!</v>
      </c>
      <c r="BJ46" t="e">
        <f t="shared" si="78"/>
        <v>#DIV/0!</v>
      </c>
      <c r="BK46" t="e">
        <f t="shared" si="79"/>
        <v>#DIV/0!</v>
      </c>
      <c r="BL46" t="e">
        <f t="shared" si="80"/>
        <v>#DIV/0!</v>
      </c>
    </row>
    <row r="47" spans="1:90" x14ac:dyDescent="0.25">
      <c r="A47" t="str">
        <f t="shared" si="81"/>
        <v>Saturday</v>
      </c>
      <c r="B47" s="7"/>
      <c r="C47" s="23"/>
      <c r="D47" s="7"/>
      <c r="F47" s="5"/>
      <c r="H47" s="8"/>
      <c r="I47" s="8"/>
      <c r="J47" s="8"/>
      <c r="K47" s="8"/>
      <c r="L47" s="5"/>
      <c r="M47" s="5"/>
      <c r="N47" s="5" t="str">
        <f t="shared" si="82"/>
        <v/>
      </c>
      <c r="O47" s="5"/>
      <c r="P47" s="5"/>
      <c r="Q47" s="2"/>
      <c r="R47" s="12"/>
      <c r="S47" s="2"/>
      <c r="T47" s="5"/>
      <c r="U47" s="5"/>
      <c r="V47" s="5" t="str">
        <f t="shared" si="0"/>
        <v/>
      </c>
      <c r="W47" s="5" t="str">
        <f t="shared" si="51"/>
        <v/>
      </c>
      <c r="X47" s="5" t="str">
        <f>IF(ISBLANK(Table2[[#This Row],[OTROUNDNUM]]), "", Table2[[#This Row],[PAWAYSCORE]]-Table2[[#This Row],[AAWAYSCORE]])</f>
        <v/>
      </c>
      <c r="Y47" s="5" t="str">
        <f>IF(ISBLANK(Table2[[#This Row],[OTROUNDNUM]]), "", Table2[[#This Row],[PHOMESCORE]]-Table2[[#This Row],[AHOMESCORE]])</f>
        <v/>
      </c>
      <c r="AI47">
        <f t="shared" si="54"/>
        <v>0</v>
      </c>
      <c r="AJ47">
        <f t="shared" si="55"/>
        <v>0</v>
      </c>
      <c r="AK47">
        <f t="shared" si="56"/>
        <v>0</v>
      </c>
      <c r="AL47">
        <f t="shared" si="57"/>
        <v>0</v>
      </c>
      <c r="AM47">
        <f t="shared" si="58"/>
        <v>0</v>
      </c>
      <c r="AN47">
        <f t="shared" si="59"/>
        <v>0</v>
      </c>
      <c r="AO47">
        <f t="shared" si="60"/>
        <v>0</v>
      </c>
      <c r="AP47">
        <f t="shared" si="61"/>
        <v>0</v>
      </c>
      <c r="AQ47">
        <f t="shared" si="62"/>
        <v>0</v>
      </c>
      <c r="AR47">
        <f t="shared" si="63"/>
        <v>0</v>
      </c>
      <c r="AS47">
        <f t="shared" si="64"/>
        <v>2</v>
      </c>
      <c r="AT47">
        <f t="shared" si="65"/>
        <v>0</v>
      </c>
      <c r="AU47">
        <f t="shared" si="66"/>
        <v>0</v>
      </c>
      <c r="AV47">
        <f t="shared" si="67"/>
        <v>0</v>
      </c>
      <c r="AW47">
        <f t="shared" si="68"/>
        <v>0</v>
      </c>
      <c r="AX47">
        <f t="shared" si="69"/>
        <v>0</v>
      </c>
      <c r="AY47">
        <f t="shared" si="70"/>
        <v>0</v>
      </c>
      <c r="AZ47">
        <f t="shared" si="71"/>
        <v>0</v>
      </c>
      <c r="BA47">
        <f t="shared" si="72"/>
        <v>0</v>
      </c>
      <c r="BB47">
        <f t="shared" si="73"/>
        <v>0</v>
      </c>
      <c r="BC47">
        <f t="shared" si="73"/>
        <v>0</v>
      </c>
      <c r="BD47">
        <f t="shared" si="74"/>
        <v>0</v>
      </c>
      <c r="BE47">
        <f t="shared" si="75"/>
        <v>0</v>
      </c>
      <c r="BF47">
        <f t="shared" si="76"/>
        <v>0</v>
      </c>
      <c r="BG47" t="e">
        <f t="shared" si="77"/>
        <v>#DIV/0!</v>
      </c>
      <c r="BH47" t="e">
        <f t="shared" si="77"/>
        <v>#DIV/0!</v>
      </c>
      <c r="BI47" t="e">
        <f t="shared" si="78"/>
        <v>#DIV/0!</v>
      </c>
      <c r="BJ47" t="e">
        <f t="shared" si="78"/>
        <v>#DIV/0!</v>
      </c>
      <c r="BK47" t="e">
        <f t="shared" si="79"/>
        <v>#DIV/0!</v>
      </c>
      <c r="BL47" t="e">
        <f t="shared" si="80"/>
        <v>#DIV/0!</v>
      </c>
    </row>
    <row r="48" spans="1:90" x14ac:dyDescent="0.25">
      <c r="A48" t="str">
        <f t="shared" si="81"/>
        <v>Saturday</v>
      </c>
      <c r="B48" s="7"/>
      <c r="C48" s="23"/>
      <c r="D48" s="7"/>
      <c r="F48" s="5"/>
      <c r="H48" s="8"/>
      <c r="I48" s="8"/>
      <c r="J48" s="8"/>
      <c r="K48" s="8"/>
      <c r="L48" s="5"/>
      <c r="M48" s="5"/>
      <c r="N48" s="5" t="str">
        <f t="shared" si="82"/>
        <v/>
      </c>
      <c r="O48" s="5"/>
      <c r="P48" s="5"/>
      <c r="Q48" s="2"/>
      <c r="R48" s="12"/>
      <c r="S48" s="2"/>
      <c r="T48" s="5"/>
      <c r="U48" s="5"/>
      <c r="V48" s="5" t="str">
        <f t="shared" si="0"/>
        <v/>
      </c>
      <c r="W48" s="5" t="str">
        <f t="shared" si="51"/>
        <v/>
      </c>
      <c r="X48" s="5" t="str">
        <f>IF(ISBLANK(Table2[[#This Row],[OTROUNDNUM]]), "", Table2[[#This Row],[PAWAYSCORE]]-Table2[[#This Row],[AAWAYSCORE]])</f>
        <v/>
      </c>
      <c r="Y48" s="5" t="str">
        <f>IF(ISBLANK(Table2[[#This Row],[OTROUNDNUM]]), "", Table2[[#This Row],[PHOMESCORE]]-Table2[[#This Row],[AHOMESCORE]])</f>
        <v/>
      </c>
      <c r="AI48">
        <f t="shared" si="54"/>
        <v>0</v>
      </c>
      <c r="AJ48">
        <f t="shared" si="55"/>
        <v>0</v>
      </c>
      <c r="AK48">
        <f t="shared" si="56"/>
        <v>0</v>
      </c>
      <c r="AL48">
        <f t="shared" si="57"/>
        <v>0</v>
      </c>
      <c r="AM48">
        <f t="shared" si="58"/>
        <v>0</v>
      </c>
      <c r="AN48">
        <f t="shared" si="59"/>
        <v>0</v>
      </c>
      <c r="AO48">
        <f t="shared" si="60"/>
        <v>0</v>
      </c>
      <c r="AP48">
        <f t="shared" si="61"/>
        <v>0</v>
      </c>
      <c r="AQ48">
        <f t="shared" si="62"/>
        <v>0</v>
      </c>
      <c r="AR48">
        <f t="shared" si="63"/>
        <v>0</v>
      </c>
      <c r="AS48">
        <f t="shared" si="64"/>
        <v>1</v>
      </c>
      <c r="AT48">
        <f t="shared" si="65"/>
        <v>0</v>
      </c>
      <c r="AU48">
        <f t="shared" si="66"/>
        <v>0</v>
      </c>
      <c r="AV48">
        <f t="shared" si="67"/>
        <v>0</v>
      </c>
      <c r="AW48">
        <f t="shared" si="68"/>
        <v>0</v>
      </c>
      <c r="AX48">
        <f t="shared" si="69"/>
        <v>0</v>
      </c>
      <c r="AY48">
        <f t="shared" si="70"/>
        <v>0</v>
      </c>
      <c r="AZ48">
        <f t="shared" si="71"/>
        <v>0</v>
      </c>
      <c r="BA48">
        <f t="shared" si="72"/>
        <v>0</v>
      </c>
      <c r="BB48">
        <f t="shared" si="73"/>
        <v>0</v>
      </c>
      <c r="BC48">
        <f t="shared" si="73"/>
        <v>0</v>
      </c>
      <c r="BD48">
        <f t="shared" si="74"/>
        <v>0</v>
      </c>
      <c r="BE48">
        <f t="shared" si="75"/>
        <v>0</v>
      </c>
      <c r="BF48">
        <f t="shared" si="76"/>
        <v>0</v>
      </c>
      <c r="BG48" t="e">
        <f t="shared" si="77"/>
        <v>#DIV/0!</v>
      </c>
      <c r="BH48" t="e">
        <f t="shared" si="77"/>
        <v>#DIV/0!</v>
      </c>
      <c r="BI48" t="e">
        <f t="shared" si="78"/>
        <v>#DIV/0!</v>
      </c>
      <c r="BJ48" t="e">
        <f t="shared" si="78"/>
        <v>#DIV/0!</v>
      </c>
      <c r="BK48" t="e">
        <f t="shared" si="79"/>
        <v>#DIV/0!</v>
      </c>
      <c r="BL48" t="e">
        <f t="shared" si="80"/>
        <v>#DIV/0!</v>
      </c>
    </row>
    <row r="49" spans="1:64" x14ac:dyDescent="0.25">
      <c r="A49" t="str">
        <f t="shared" si="81"/>
        <v>Saturday</v>
      </c>
      <c r="B49" s="7"/>
      <c r="C49" s="23"/>
      <c r="D49" s="7"/>
      <c r="F49" s="5"/>
      <c r="H49" s="8"/>
      <c r="I49" s="8"/>
      <c r="J49" s="8"/>
      <c r="K49" s="8"/>
      <c r="L49" s="5"/>
      <c r="M49" s="5"/>
      <c r="N49" s="5" t="str">
        <f t="shared" si="82"/>
        <v/>
      </c>
      <c r="O49" s="5"/>
      <c r="P49" s="5"/>
      <c r="Q49" s="2"/>
      <c r="R49" s="12"/>
      <c r="S49" s="2"/>
      <c r="T49" s="5"/>
      <c r="U49" s="5"/>
      <c r="V49" s="5" t="str">
        <f t="shared" si="0"/>
        <v/>
      </c>
      <c r="W49" s="5" t="str">
        <f t="shared" si="51"/>
        <v/>
      </c>
      <c r="X49" s="5" t="str">
        <f>IF(ISBLANK(Table2[[#This Row],[OTROUNDNUM]]), "", Table2[[#This Row],[PAWAYSCORE]]-Table2[[#This Row],[AAWAYSCORE]])</f>
        <v/>
      </c>
      <c r="Y49" s="5" t="str">
        <f>IF(ISBLANK(Table2[[#This Row],[OTROUNDNUM]]), "", Table2[[#This Row],[PHOMESCORE]]-Table2[[#This Row],[AHOMESCORE]])</f>
        <v/>
      </c>
    </row>
    <row r="50" spans="1:64" x14ac:dyDescent="0.25">
      <c r="A50" t="str">
        <f t="shared" si="81"/>
        <v>Saturday</v>
      </c>
      <c r="B50" s="7"/>
      <c r="C50" s="23"/>
      <c r="D50" s="7"/>
      <c r="F50" s="5"/>
      <c r="H50" s="8"/>
      <c r="I50" s="8"/>
      <c r="J50" s="8"/>
      <c r="K50" s="8"/>
      <c r="L50" s="5"/>
      <c r="M50" s="5"/>
      <c r="N50" s="5" t="str">
        <f t="shared" si="82"/>
        <v/>
      </c>
      <c r="O50" s="5"/>
      <c r="P50" s="5"/>
      <c r="Q50" s="2"/>
      <c r="R50" s="12"/>
      <c r="S50" s="2"/>
      <c r="T50" s="5"/>
      <c r="U50" s="5"/>
      <c r="V50" s="5" t="str">
        <f t="shared" si="0"/>
        <v/>
      </c>
      <c r="W50" s="5" t="str">
        <f t="shared" si="51"/>
        <v/>
      </c>
      <c r="X50" s="5" t="str">
        <f>IF(ISBLANK(Table2[[#This Row],[OTROUNDNUM]]), "", Table2[[#This Row],[PAWAYSCORE]]-Table2[[#This Row],[AAWAYSCORE]])</f>
        <v/>
      </c>
      <c r="Y50" s="5" t="str">
        <f>IF(ISBLANK(Table2[[#This Row],[OTROUNDNUM]]), "", Table2[[#This Row],[PHOMESCORE]]-Table2[[#This Row],[AHOMESCORE]])</f>
        <v/>
      </c>
    </row>
    <row r="51" spans="1:64" x14ac:dyDescent="0.25">
      <c r="A51" t="str">
        <f t="shared" si="81"/>
        <v>Saturday</v>
      </c>
      <c r="B51" s="7"/>
      <c r="C51" s="23"/>
      <c r="D51" s="7"/>
      <c r="F51" s="5"/>
      <c r="H51" s="8"/>
      <c r="I51" s="8"/>
      <c r="J51" s="8"/>
      <c r="K51" s="8"/>
      <c r="L51" s="5"/>
      <c r="M51" s="5"/>
      <c r="N51" s="5" t="str">
        <f t="shared" si="82"/>
        <v/>
      </c>
      <c r="O51" s="5"/>
      <c r="P51" s="5"/>
      <c r="Q51" s="2"/>
      <c r="R51" s="12"/>
      <c r="S51" s="2"/>
      <c r="T51" s="5"/>
      <c r="U51" s="5"/>
      <c r="V51" s="5" t="str">
        <f t="shared" si="0"/>
        <v/>
      </c>
      <c r="W51" s="5" t="str">
        <f t="shared" si="51"/>
        <v/>
      </c>
      <c r="X51" s="5" t="str">
        <f>IF(ISBLANK(Table2[[#This Row],[OTROUNDNUM]]), "", Table2[[#This Row],[PAWAYSCORE]]-Table2[[#This Row],[AAWAYSCORE]])</f>
        <v/>
      </c>
      <c r="Y51" s="5" t="str">
        <f>IF(ISBLANK(Table2[[#This Row],[OTROUNDNUM]]), "", Table2[[#This Row],[PHOMESCORE]]-Table2[[#This Row],[AHOMESCORE]])</f>
        <v/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t="str">
        <f t="shared" si="81"/>
        <v>Saturday</v>
      </c>
      <c r="B52" s="7"/>
      <c r="C52" s="23"/>
      <c r="D52" s="7"/>
      <c r="H52" s="8"/>
      <c r="I52" s="8"/>
      <c r="J52" s="8"/>
      <c r="K52" s="8"/>
      <c r="L52" s="5"/>
      <c r="M52" s="5"/>
      <c r="N52" s="5" t="str">
        <f t="shared" si="82"/>
        <v/>
      </c>
      <c r="O52" s="5"/>
      <c r="P52" s="5"/>
      <c r="Q52" s="2"/>
      <c r="R52" s="12"/>
      <c r="S52" s="2"/>
      <c r="T52" s="5"/>
      <c r="U52" s="5"/>
      <c r="V52" s="5" t="str">
        <f t="shared" si="0"/>
        <v/>
      </c>
      <c r="W52" s="5" t="str">
        <f t="shared" si="51"/>
        <v/>
      </c>
      <c r="X52" s="5" t="str">
        <f>IF(ISBLANK(Table2[[#This Row],[OTROUNDNUM]]), "", Table2[[#This Row],[PAWAYSCORE]]-Table2[[#This Row],[AAWAYSCORE]])</f>
        <v/>
      </c>
      <c r="Y52" s="5" t="str">
        <f>IF(ISBLANK(Table2[[#This Row],[OTROUNDNUM]]), "", Table2[[#This Row],[PHOMESCORE]]-Table2[[#This Row],[AHOMESCORE]])</f>
        <v/>
      </c>
      <c r="AI52">
        <f>COUNTIFS($L$2:$L$100, AH52, $E$2:$E$100, 1) + COUNTIFS($M$2:$M$100, AH52, $E$2:$E$100, 1)</f>
        <v>0</v>
      </c>
      <c r="AJ52">
        <f>COUNTIFS($L$2:$L$100, AH52, $E$2:$E$100, 2) + COUNTIFS($M$2:$M$100, AH52, $E$2:$E$100, 2)</f>
        <v>0</v>
      </c>
      <c r="AK52">
        <f>COUNTIFS($L$2:$L$100, AH52, $E$2:$E$100, 3) + COUNTIFS($M$2:$M$100, AH52, $E$2:$E$100, 3)</f>
        <v>0</v>
      </c>
      <c r="AL52">
        <f>COUNTIFS($L$2:$L$100, AH52, $E$2:$E$100, 4) + COUNTIFS($M$2:$M$100, AH52, $E$2:$E$100, 4)</f>
        <v>0</v>
      </c>
      <c r="AM52">
        <f>AI52+AJ52+AK52+AL52</f>
        <v>0</v>
      </c>
      <c r="AN52">
        <f>COUNTIF($M$2:$M$100, AH52)</f>
        <v>0</v>
      </c>
      <c r="AO52">
        <f>COUNTIF($L$2:$L$100, AH52)</f>
        <v>0</v>
      </c>
      <c r="AP52">
        <f>AR52+AT52</f>
        <v>0</v>
      </c>
      <c r="AQ52">
        <f>AM52-AP52</f>
        <v>0</v>
      </c>
      <c r="AR52">
        <f>SUMPRODUCT(($M$2:$M$100=AH52)*($T$2:$T$100&gt;$S$2:$S$100))</f>
        <v>0</v>
      </c>
      <c r="AS52">
        <f>SUMPRODUCT(($M$2:$M$100=AH52)*($T$2:$T$100&lt;$S$2:$S$100))</f>
        <v>0</v>
      </c>
      <c r="AT52">
        <f>SUMPRODUCT(($L$2:$L$100=AH52)*($T$2:$T$100&lt;$S$2:$S$100))</f>
        <v>0</v>
      </c>
      <c r="AU52">
        <f>SUMPRODUCT(($L$2:$L$100=AH52)*($T$2:$T$100&gt;$S$2:$S$100))</f>
        <v>0</v>
      </c>
      <c r="AV52">
        <f>COUNTIFS($M$2:$M$100,AH52,$E$2:$E$100,3)</f>
        <v>0</v>
      </c>
      <c r="AW52">
        <f>COUNTIFS($L$2:$L$100,AH52,$E$2:$E$100,3)</f>
        <v>0</v>
      </c>
      <c r="AX52">
        <f>SUMIFS($T$2:$T$100, $M$2:$M$100, AH52,$E$2:$E$100, 3)</f>
        <v>0</v>
      </c>
      <c r="AY52">
        <f>SUMIFS($S$2:$S$100, $L$2:$L$100, AH52,$E$2:$E$100, 3)</f>
        <v>0</v>
      </c>
      <c r="AZ52">
        <f>SUMIFS($S$2:$S$100, $M$2:$M$100, AH52,$E$2:$E$100, 3)</f>
        <v>0</v>
      </c>
      <c r="BA52">
        <f>SUMIFS($T$2:$T$100, $L$2:$L$100, AH52,$E$2:$E$100, 3)</f>
        <v>0</v>
      </c>
      <c r="BB52">
        <f t="shared" ref="BB52:BC55" si="83">AX52-AZ52</f>
        <v>0</v>
      </c>
      <c r="BC52">
        <f t="shared" si="83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4">AX52/AV52</f>
        <v>#DIV/0!</v>
      </c>
      <c r="BH52" t="e">
        <f t="shared" si="84"/>
        <v>#DIV/0!</v>
      </c>
      <c r="BI52" t="e">
        <f t="shared" ref="BI52:BJ55" si="85">AZ52/AV52</f>
        <v>#DIV/0!</v>
      </c>
      <c r="BJ52" t="e">
        <f t="shared" si="85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t="str">
        <f t="shared" si="81"/>
        <v>Saturday</v>
      </c>
      <c r="B53" s="7"/>
      <c r="C53" s="23"/>
      <c r="D53" s="7"/>
      <c r="H53" s="8"/>
      <c r="I53" s="8"/>
      <c r="J53" s="8"/>
      <c r="K53" s="8"/>
      <c r="L53" s="5"/>
      <c r="M53" s="5"/>
      <c r="N53" s="5" t="str">
        <f t="shared" si="82"/>
        <v/>
      </c>
      <c r="O53" s="5"/>
      <c r="P53" s="5"/>
      <c r="Q53" s="2"/>
      <c r="R53" s="12"/>
      <c r="S53" s="2"/>
      <c r="T53" s="5"/>
      <c r="U53" s="5"/>
      <c r="V53" s="5" t="str">
        <f t="shared" si="0"/>
        <v/>
      </c>
      <c r="W53" s="5" t="str">
        <f t="shared" si="51"/>
        <v/>
      </c>
      <c r="X53" s="5" t="str">
        <f>IF(ISBLANK(Table2[[#This Row],[OTROUNDNUM]]), "", Table2[[#This Row],[PAWAYSCORE]]-Table2[[#This Row],[AAWAYSCORE]])</f>
        <v/>
      </c>
      <c r="Y53" s="5" t="str">
        <f>IF(ISBLANK(Table2[[#This Row],[OTROUNDNUM]]), "", Table2[[#This Row],[PHOMESCORE]]-Table2[[#This Row],[AHOMESCORE]])</f>
        <v/>
      </c>
      <c r="AI53">
        <f t="shared" ref="AI53:AI55" si="86">COUNTIFS($L$2:$L$100, AH53, $E$2:$E$100, 1) + COUNTIFS($M$2:$M$100, AH53, $E$2:$E$100, 1)</f>
        <v>0</v>
      </c>
      <c r="AJ53">
        <f t="shared" ref="AJ53:AJ55" si="87">COUNTIFS($L$2:$L$100, AH53, $E$2:$E$100, 2) + COUNTIFS($M$2:$M$100, AH53, $E$2:$E$100, 2)</f>
        <v>0</v>
      </c>
      <c r="AK53">
        <f t="shared" ref="AK53:AK55" si="88">COUNTIFS($L$2:$L$100, AH53, $E$2:$E$100, 3) + COUNTIFS($M$2:$M$100, AH53, $E$2:$E$100, 3)</f>
        <v>0</v>
      </c>
      <c r="AL53">
        <f t="shared" ref="AL53:AL55" si="89">COUNTIFS($L$2:$L$100, AH53, $E$2:$E$100, 4) + COUNTIFS($M$2:$M$100, AH53, $E$2:$E$100, 4)</f>
        <v>0</v>
      </c>
      <c r="AM53">
        <f t="shared" ref="AM53:AM55" si="90">AI53+AJ53+AK53+AL53</f>
        <v>0</v>
      </c>
      <c r="AN53">
        <f t="shared" ref="AN53:AN55" si="91">COUNTIF($M$2:$M$100, AH53)</f>
        <v>0</v>
      </c>
      <c r="AO53">
        <f t="shared" ref="AO53:AO55" si="92">COUNTIF($L$2:$L$100, AH53)</f>
        <v>0</v>
      </c>
      <c r="AP53">
        <f t="shared" ref="AP53:AP55" si="93">AR53+AT53</f>
        <v>0</v>
      </c>
      <c r="AQ53">
        <f t="shared" ref="AQ53:AQ55" si="94">AM53-AP53</f>
        <v>0</v>
      </c>
      <c r="AR53">
        <f t="shared" ref="AR53:AR55" si="95">SUMPRODUCT(($M$2:$M$100=AH53)*($T$2:$T$100&gt;$S$2:$S$100))</f>
        <v>0</v>
      </c>
      <c r="AS53">
        <f t="shared" ref="AS53:AS55" si="96">SUMPRODUCT(($M$2:$M$100=AH53)*($T$2:$T$100&lt;$S$2:$S$100))</f>
        <v>0</v>
      </c>
      <c r="AT53">
        <f t="shared" ref="AT53:AT55" si="97">SUMPRODUCT(($L$2:$L$100=AH53)*($T$2:$T$100&lt;$S$2:$S$100))</f>
        <v>0</v>
      </c>
      <c r="AU53">
        <f t="shared" ref="AU53:AU55" si="98">SUMPRODUCT(($L$2:$L$100=AH53)*($T$2:$T$100&gt;$S$2:$S$100))</f>
        <v>0</v>
      </c>
      <c r="AV53">
        <f t="shared" ref="AV53:AV55" si="99">COUNTIFS($M$2:$M$100,AH53,$E$2:$E$100,3)</f>
        <v>0</v>
      </c>
      <c r="AW53">
        <f t="shared" ref="AW53:AW55" si="100">COUNTIFS($L$2:$L$100,AH53,$E$2:$E$100,3)</f>
        <v>0</v>
      </c>
      <c r="AX53">
        <f t="shared" ref="AX53:AX55" si="101">SUMIFS($T$2:$T$100, $M$2:$M$100, AH53,$E$2:$E$100, 3)</f>
        <v>0</v>
      </c>
      <c r="AY53">
        <f t="shared" ref="AY53:AY55" si="102">SUMIFS($S$2:$S$100, $L$2:$L$100, AH53,$E$2:$E$100, 3)</f>
        <v>0</v>
      </c>
      <c r="AZ53">
        <f t="shared" ref="AZ53:AZ55" si="103">SUMIFS($S$2:$S$100, $M$2:$M$100, AH53,$E$2:$E$100, 3)</f>
        <v>0</v>
      </c>
      <c r="BA53">
        <f t="shared" ref="BA53:BA55" si="104">SUMIFS($T$2:$T$100, $L$2:$L$100, AH53,$E$2:$E$100, 3)</f>
        <v>0</v>
      </c>
      <c r="BB53">
        <f t="shared" si="83"/>
        <v>0</v>
      </c>
      <c r="BC53">
        <f t="shared" si="83"/>
        <v>0</v>
      </c>
      <c r="BD53">
        <f t="shared" ref="BD53:BD55" si="105">AX53+AY53</f>
        <v>0</v>
      </c>
      <c r="BE53">
        <f t="shared" ref="BE53:BE55" si="106">AZ53+BA53</f>
        <v>0</v>
      </c>
      <c r="BF53">
        <f t="shared" ref="BF53:BF55" si="107">(AX53+AY53)-(AZ53+BA53)</f>
        <v>0</v>
      </c>
      <c r="BG53" t="e">
        <f t="shared" si="84"/>
        <v>#DIV/0!</v>
      </c>
      <c r="BH53" t="e">
        <f t="shared" si="84"/>
        <v>#DIV/0!</v>
      </c>
      <c r="BI53" t="e">
        <f t="shared" si="85"/>
        <v>#DIV/0!</v>
      </c>
      <c r="BJ53" t="e">
        <f t="shared" si="85"/>
        <v>#DIV/0!</v>
      </c>
      <c r="BK53" t="e">
        <f t="shared" ref="BK53:BK55" si="108">BD53/AI53</f>
        <v>#DIV/0!</v>
      </c>
      <c r="BL53" t="e">
        <f t="shared" ref="BL53:BL55" si="109">BE53/AI53</f>
        <v>#DIV/0!</v>
      </c>
    </row>
    <row r="54" spans="1:64" x14ac:dyDescent="0.25">
      <c r="A54" t="str">
        <f t="shared" si="81"/>
        <v>Saturday</v>
      </c>
      <c r="B54" s="7"/>
      <c r="C54" s="23"/>
      <c r="D54" s="7"/>
      <c r="H54" s="8"/>
      <c r="I54" s="8"/>
      <c r="J54" s="8"/>
      <c r="K54" s="8"/>
      <c r="L54" s="5"/>
      <c r="M54" s="5"/>
      <c r="N54" s="5" t="str">
        <f t="shared" si="82"/>
        <v/>
      </c>
      <c r="O54" s="5"/>
      <c r="P54" s="5"/>
      <c r="Q54" s="2"/>
      <c r="R54" s="12"/>
      <c r="S54" s="2"/>
      <c r="T54" s="5"/>
      <c r="U54" s="5"/>
      <c r="V54" s="5" t="str">
        <f t="shared" si="0"/>
        <v/>
      </c>
      <c r="W54" s="5" t="str">
        <f t="shared" si="51"/>
        <v/>
      </c>
      <c r="X54" s="5" t="str">
        <f>IF(ISBLANK(Table2[[#This Row],[OTROUNDNUM]]), "", Table2[[#This Row],[PAWAYSCORE]]-Table2[[#This Row],[AAWAYSCORE]])</f>
        <v/>
      </c>
      <c r="Y54" s="5" t="str">
        <f>IF(ISBLANK(Table2[[#This Row],[OTROUNDNUM]]), "", Table2[[#This Row],[PHOMESCORE]]-Table2[[#This Row],[AHOMESCORE]])</f>
        <v/>
      </c>
      <c r="AI54">
        <f t="shared" si="86"/>
        <v>0</v>
      </c>
      <c r="AJ54">
        <f t="shared" si="87"/>
        <v>0</v>
      </c>
      <c r="AK54">
        <f t="shared" si="88"/>
        <v>0</v>
      </c>
      <c r="AL54">
        <f t="shared" si="89"/>
        <v>0</v>
      </c>
      <c r="AM54">
        <f t="shared" si="90"/>
        <v>0</v>
      </c>
      <c r="AN54">
        <f t="shared" si="91"/>
        <v>0</v>
      </c>
      <c r="AO54">
        <f t="shared" si="92"/>
        <v>0</v>
      </c>
      <c r="AP54">
        <f t="shared" si="93"/>
        <v>0</v>
      </c>
      <c r="AQ54">
        <f t="shared" si="94"/>
        <v>0</v>
      </c>
      <c r="AR54">
        <f t="shared" si="95"/>
        <v>0</v>
      </c>
      <c r="AS54">
        <f t="shared" si="96"/>
        <v>0</v>
      </c>
      <c r="AT54">
        <f t="shared" si="97"/>
        <v>0</v>
      </c>
      <c r="AU54">
        <f t="shared" si="98"/>
        <v>0</v>
      </c>
      <c r="AV54">
        <f t="shared" si="99"/>
        <v>0</v>
      </c>
      <c r="AW54">
        <f t="shared" si="100"/>
        <v>0</v>
      </c>
      <c r="AX54">
        <f t="shared" si="101"/>
        <v>0</v>
      </c>
      <c r="AY54">
        <f t="shared" si="102"/>
        <v>0</v>
      </c>
      <c r="AZ54">
        <f t="shared" si="103"/>
        <v>0</v>
      </c>
      <c r="BA54">
        <f t="shared" si="104"/>
        <v>0</v>
      </c>
      <c r="BB54">
        <f t="shared" si="83"/>
        <v>0</v>
      </c>
      <c r="BC54">
        <f t="shared" si="83"/>
        <v>0</v>
      </c>
      <c r="BD54">
        <f t="shared" si="105"/>
        <v>0</v>
      </c>
      <c r="BE54">
        <f t="shared" si="106"/>
        <v>0</v>
      </c>
      <c r="BF54">
        <f t="shared" si="107"/>
        <v>0</v>
      </c>
      <c r="BG54" t="e">
        <f t="shared" si="84"/>
        <v>#DIV/0!</v>
      </c>
      <c r="BH54" t="e">
        <f t="shared" si="84"/>
        <v>#DIV/0!</v>
      </c>
      <c r="BI54" t="e">
        <f t="shared" si="85"/>
        <v>#DIV/0!</v>
      </c>
      <c r="BJ54" t="e">
        <f t="shared" si="85"/>
        <v>#DIV/0!</v>
      </c>
      <c r="BK54" t="e">
        <f t="shared" si="108"/>
        <v>#DIV/0!</v>
      </c>
      <c r="BL54" t="e">
        <f t="shared" si="109"/>
        <v>#DIV/0!</v>
      </c>
    </row>
    <row r="55" spans="1:64" x14ac:dyDescent="0.25">
      <c r="A55" t="str">
        <f t="shared" si="81"/>
        <v>Saturday</v>
      </c>
      <c r="B55" s="7"/>
      <c r="C55" s="23"/>
      <c r="D55" s="7"/>
      <c r="H55" s="8"/>
      <c r="I55" s="8"/>
      <c r="J55" s="8"/>
      <c r="K55" s="8"/>
      <c r="L55" s="5"/>
      <c r="M55" s="5"/>
      <c r="N55" s="5" t="str">
        <f t="shared" si="82"/>
        <v/>
      </c>
      <c r="O55" s="5"/>
      <c r="P55" s="5"/>
      <c r="Q55" s="5"/>
      <c r="R55" s="7"/>
      <c r="S55" s="5"/>
      <c r="T55" s="5"/>
      <c r="U55" s="5"/>
      <c r="V55" s="5" t="str">
        <f t="shared" si="0"/>
        <v/>
      </c>
      <c r="W55" s="5" t="str">
        <f t="shared" si="51"/>
        <v/>
      </c>
      <c r="X55" s="5" t="str">
        <f>IF(ISBLANK(Table2[[#This Row],[OTROUNDNUM]]), "", Table2[[#This Row],[PAWAYSCORE]]-Table2[[#This Row],[AAWAYSCORE]])</f>
        <v/>
      </c>
      <c r="Y55" s="5" t="str">
        <f>IF(ISBLANK(Table2[[#This Row],[OTROUNDNUM]]), "", Table2[[#This Row],[PHOMESCORE]]-Table2[[#This Row],[AHOMESCORE]])</f>
        <v/>
      </c>
      <c r="AI55">
        <f t="shared" si="86"/>
        <v>0</v>
      </c>
      <c r="AJ55">
        <f t="shared" si="87"/>
        <v>0</v>
      </c>
      <c r="AK55">
        <f t="shared" si="88"/>
        <v>0</v>
      </c>
      <c r="AL55">
        <f t="shared" si="89"/>
        <v>0</v>
      </c>
      <c r="AM55">
        <f t="shared" si="90"/>
        <v>0</v>
      </c>
      <c r="AN55">
        <f t="shared" si="91"/>
        <v>0</v>
      </c>
      <c r="AO55">
        <f t="shared" si="92"/>
        <v>0</v>
      </c>
      <c r="AP55">
        <f t="shared" si="93"/>
        <v>0</v>
      </c>
      <c r="AQ55">
        <f t="shared" si="94"/>
        <v>0</v>
      </c>
      <c r="AR55">
        <f t="shared" si="95"/>
        <v>0</v>
      </c>
      <c r="AS55">
        <f t="shared" si="96"/>
        <v>0</v>
      </c>
      <c r="AT55">
        <f t="shared" si="97"/>
        <v>0</v>
      </c>
      <c r="AU55">
        <f t="shared" si="98"/>
        <v>0</v>
      </c>
      <c r="AV55">
        <f t="shared" si="99"/>
        <v>0</v>
      </c>
      <c r="AW55">
        <f t="shared" si="100"/>
        <v>0</v>
      </c>
      <c r="AX55">
        <f t="shared" si="101"/>
        <v>0</v>
      </c>
      <c r="AY55">
        <f t="shared" si="102"/>
        <v>0</v>
      </c>
      <c r="AZ55">
        <f t="shared" si="103"/>
        <v>0</v>
      </c>
      <c r="BA55">
        <f t="shared" si="104"/>
        <v>0</v>
      </c>
      <c r="BB55">
        <f t="shared" si="83"/>
        <v>0</v>
      </c>
      <c r="BC55">
        <f t="shared" si="83"/>
        <v>0</v>
      </c>
      <c r="BD55">
        <f t="shared" si="105"/>
        <v>0</v>
      </c>
      <c r="BE55">
        <f t="shared" si="106"/>
        <v>0</v>
      </c>
      <c r="BF55">
        <f t="shared" si="107"/>
        <v>0</v>
      </c>
      <c r="BG55" t="e">
        <f t="shared" si="84"/>
        <v>#DIV/0!</v>
      </c>
      <c r="BH55" t="e">
        <f t="shared" si="84"/>
        <v>#DIV/0!</v>
      </c>
      <c r="BI55" t="e">
        <f t="shared" si="85"/>
        <v>#DIV/0!</v>
      </c>
      <c r="BJ55" t="e">
        <f t="shared" si="85"/>
        <v>#DIV/0!</v>
      </c>
      <c r="BK55" t="e">
        <f t="shared" si="108"/>
        <v>#DIV/0!</v>
      </c>
      <c r="BL55" t="e">
        <f t="shared" si="109"/>
        <v>#DIV/0!</v>
      </c>
    </row>
    <row r="56" spans="1:64" x14ac:dyDescent="0.25">
      <c r="B56" s="7"/>
      <c r="C56" s="7"/>
      <c r="H56" s="8"/>
      <c r="I56" s="8"/>
      <c r="J56" s="8"/>
      <c r="K56" s="8"/>
      <c r="L56" s="5"/>
      <c r="M56" s="5"/>
      <c r="N56" s="5"/>
      <c r="O56" s="5"/>
      <c r="P56" s="5"/>
      <c r="Q56" s="5"/>
      <c r="R56" s="7"/>
      <c r="S56" s="5"/>
      <c r="T56" s="5"/>
      <c r="U56" s="5"/>
      <c r="V56" s="5" t="str">
        <f t="shared" si="0"/>
        <v/>
      </c>
      <c r="W56" s="5" t="str">
        <f t="shared" si="51"/>
        <v/>
      </c>
    </row>
    <row r="57" spans="1:64" x14ac:dyDescent="0.25">
      <c r="B57" s="7"/>
      <c r="C57" s="7"/>
      <c r="H57" s="8"/>
      <c r="I57" s="8"/>
      <c r="J57" s="8"/>
      <c r="K57" s="8"/>
      <c r="L57" s="5"/>
      <c r="M57" s="5"/>
      <c r="N57" s="5"/>
      <c r="O57" s="5"/>
      <c r="P57" s="5"/>
      <c r="Q57" s="5"/>
      <c r="R57" s="7"/>
      <c r="S57" s="5"/>
      <c r="T57" s="5"/>
      <c r="U57" s="5"/>
      <c r="V57" s="5" t="str">
        <f t="shared" si="0"/>
        <v/>
      </c>
      <c r="W57" s="5" t="str">
        <f t="shared" si="51"/>
        <v/>
      </c>
    </row>
    <row r="58" spans="1:64" x14ac:dyDescent="0.25">
      <c r="B58" s="7"/>
      <c r="C58" s="7"/>
      <c r="H58" s="8"/>
      <c r="I58" s="8"/>
      <c r="J58" s="8"/>
      <c r="K58" s="8"/>
      <c r="L58" s="5"/>
      <c r="M58" s="5"/>
      <c r="N58" s="5"/>
      <c r="O58" s="5"/>
      <c r="P58" s="5"/>
      <c r="Q58" s="5"/>
      <c r="R58" s="7"/>
      <c r="S58" s="5"/>
      <c r="T58" s="5"/>
      <c r="U58" s="5"/>
      <c r="V58" s="5" t="str">
        <f t="shared" si="0"/>
        <v/>
      </c>
      <c r="W58" s="5" t="str">
        <f t="shared" si="51"/>
        <v/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B59" s="7"/>
      <c r="C59" s="7"/>
      <c r="H59" s="8"/>
      <c r="I59" s="8"/>
      <c r="J59" s="8"/>
      <c r="K59" s="8"/>
      <c r="L59" s="5"/>
      <c r="M59" s="5"/>
      <c r="N59" s="5"/>
      <c r="O59" s="5"/>
      <c r="P59" s="5"/>
      <c r="Q59" s="5"/>
      <c r="R59" s="7"/>
      <c r="S59" s="5"/>
      <c r="T59" s="5"/>
      <c r="U59" s="5"/>
      <c r="V59" s="5" t="str">
        <f t="shared" si="0"/>
        <v/>
      </c>
      <c r="W59" s="5" t="str">
        <f t="shared" si="51"/>
        <v/>
      </c>
      <c r="AI59">
        <f>COUNTIFS($L$2:$L$100, AH59, $E$2:$E$100, 1) + COUNTIFS($M$2:$M$100, AH59, $E$2:$E$100, 1)</f>
        <v>0</v>
      </c>
      <c r="AJ59">
        <f>COUNTIFS($L$2:$L$100, AH59, $E$2:$E$100, 2) + COUNTIFS($M$2:$M$100, AH59, $E$2:$E$100, 2)</f>
        <v>0</v>
      </c>
      <c r="AK59">
        <f>COUNTIFS($L$2:$L$100, AH59, $E$2:$E$100, 3) + COUNTIFS($M$2:$M$100, AH59, $E$2:$E$100, 3)</f>
        <v>0</v>
      </c>
      <c r="AL59">
        <f>COUNTIFS($L$2:$L$100, AH59, $E$2:$E$100, 4) + COUNTIFS($M$2:$M$100, AH59, $E$2:$E$100, 4)</f>
        <v>0</v>
      </c>
      <c r="AM59">
        <f>AI59+AJ59+AK59+AL59</f>
        <v>0</v>
      </c>
      <c r="AN59">
        <f>COUNTIF($M$2:$M$100, AH59)</f>
        <v>0</v>
      </c>
      <c r="AO59">
        <f>COUNTIF($L$2:$L$100, AH59)</f>
        <v>0</v>
      </c>
      <c r="AP59">
        <f>AR59+AT59</f>
        <v>0</v>
      </c>
      <c r="AQ59">
        <f>AM59-AP59</f>
        <v>0</v>
      </c>
      <c r="AR59">
        <f>SUMPRODUCT(($M$2:$M$100=AH59)*($T$2:$T$100&gt;$S$2:$S$100))</f>
        <v>0</v>
      </c>
      <c r="AS59">
        <f>SUMPRODUCT(($M$2:$M$100=AH59)*($T$2:$T$100&lt;$S$2:$S$100))</f>
        <v>0</v>
      </c>
      <c r="AT59">
        <f>SUMPRODUCT(($L$2:$L$100=AH59)*($T$2:$T$100&lt;$S$2:$S$100))</f>
        <v>0</v>
      </c>
      <c r="AU59">
        <f>SUMPRODUCT(($L$2:$L$100=AH59)*($T$2:$T$100&gt;$S$2:$S$100))</f>
        <v>0</v>
      </c>
      <c r="AV59">
        <f>COUNTIFS($M$2:$M$100,AH59,$E$2:$E$100,4)</f>
        <v>0</v>
      </c>
      <c r="AW59">
        <f>COUNTIFS($L$2:$L$100,AH59,$E$2:$E$100,4)</f>
        <v>0</v>
      </c>
      <c r="AX59">
        <f>SUMIFS($T$2:$T$100, $M$2:$M$100, AH59,$E$2:$E$100, 4)</f>
        <v>0</v>
      </c>
      <c r="AY59">
        <f>SUMIFS($S$2:$S$100, $L$2:$L$100, AH59,$E$2:$E$100, 4)</f>
        <v>0</v>
      </c>
      <c r="AZ59">
        <f>SUMIFS($S$2:$S$100, $M$2:$M$100, AH59,$E$2:$E$100, 4)</f>
        <v>0</v>
      </c>
      <c r="BA59">
        <f>SUMIFS($T$2:$T$100, $L$2:$L$100, AH59,$E$2:$E$100, 4)</f>
        <v>0</v>
      </c>
      <c r="BB59">
        <f t="shared" ref="BB59:BC60" si="110">AX59-AZ59</f>
        <v>0</v>
      </c>
      <c r="BC59">
        <f t="shared" si="110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111">AX59/AV59</f>
        <v>#DIV/0!</v>
      </c>
      <c r="BH59" t="e">
        <f t="shared" si="111"/>
        <v>#DIV/0!</v>
      </c>
      <c r="BI59" t="e">
        <f t="shared" ref="BI59:BJ60" si="112">AZ59/AV59</f>
        <v>#DIV/0!</v>
      </c>
      <c r="BJ59" t="e">
        <f t="shared" si="112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B60" s="7"/>
      <c r="C60" s="7"/>
      <c r="H60" s="8"/>
      <c r="I60" s="8"/>
      <c r="J60" s="8"/>
      <c r="K60" s="8"/>
      <c r="L60" s="5"/>
      <c r="M60" s="5"/>
      <c r="N60" s="5"/>
      <c r="O60" s="5"/>
      <c r="P60" s="5"/>
      <c r="Q60" s="5"/>
      <c r="R60" s="7"/>
      <c r="S60" s="5"/>
      <c r="T60" s="5"/>
      <c r="U60" s="5"/>
      <c r="V60" s="5" t="str">
        <f t="shared" si="0"/>
        <v/>
      </c>
      <c r="W60" s="5" t="str">
        <f t="shared" si="51"/>
        <v/>
      </c>
      <c r="AI60">
        <f t="shared" ref="AI60" si="113">COUNTIFS($L$2:$L$100, AH60, $E$2:$E$100, 1) + COUNTIFS($M$2:$M$100, AH60, $E$2:$E$100, 1)</f>
        <v>0</v>
      </c>
      <c r="AJ60">
        <f t="shared" ref="AJ60" si="114">COUNTIFS($L$2:$L$100, AH60, $E$2:$E$100, 2) + COUNTIFS($M$2:$M$100, AH60, $E$2:$E$100, 2)</f>
        <v>0</v>
      </c>
      <c r="AK60">
        <f t="shared" ref="AK60" si="115">COUNTIFS($L$2:$L$100, AH60, $E$2:$E$100, 3) + COUNTIFS($M$2:$M$100, AH60, $E$2:$E$100, 3)</f>
        <v>0</v>
      </c>
      <c r="AL60">
        <f t="shared" ref="AL60" si="116">COUNTIFS($L$2:$L$100, AH60, $E$2:$E$100, 4) + COUNTIFS($M$2:$M$100, AH60, $E$2:$E$100, 4)</f>
        <v>0</v>
      </c>
      <c r="AM60">
        <f t="shared" ref="AM60" si="117">AI60+AJ60+AK60+AL60</f>
        <v>0</v>
      </c>
      <c r="AN60">
        <f>COUNTIF($M$2:$M$100, AH60)</f>
        <v>0</v>
      </c>
      <c r="AO60">
        <f>COUNTIF($L$2:$L$100, AH60)</f>
        <v>0</v>
      </c>
      <c r="AP60">
        <f>AR60+AT60</f>
        <v>0</v>
      </c>
      <c r="AQ60">
        <f>AM60-AP60</f>
        <v>0</v>
      </c>
      <c r="AR60">
        <f>SUMPRODUCT(($M$2:$M$100=AH60)*($T$2:$T$100&gt;$S$2:$S$100))</f>
        <v>0</v>
      </c>
      <c r="AS60">
        <f>SUMPRODUCT(($M$2:$M$100=AH60)*($T$2:$T$100&lt;$S$2:$S$100))</f>
        <v>0</v>
      </c>
      <c r="AT60">
        <f>SUMPRODUCT(($L$2:$L$100=AH60)*($T$2:$T$100&lt;$S$2:$S$100))</f>
        <v>0</v>
      </c>
      <c r="AU60">
        <f>SUMPRODUCT(($L$2:$L$100=AH60)*($T$2:$T$100&gt;$S$2:$S$100))</f>
        <v>0</v>
      </c>
      <c r="AV60">
        <f>COUNTIFS($M$2:$M$100,AH60,$E$2:$E$100,4)</f>
        <v>0</v>
      </c>
      <c r="AW60">
        <f>COUNTIFS($L$2:$L$100,AH60,$E$2:$E$100,4)</f>
        <v>0</v>
      </c>
      <c r="AX60">
        <f>SUMIFS($T$2:$T$100, $M$2:$M$100, AH60,$E$2:$E$100, 4)</f>
        <v>0</v>
      </c>
      <c r="AY60">
        <f>SUMIFS($S$2:$S$100, $L$2:$L$100, AH60,$E$2:$E$100, 4)</f>
        <v>0</v>
      </c>
      <c r="AZ60">
        <f>SUMIFS($S$2:$S$100, $M$2:$M$100, AH60,$E$2:$E$100, 4)</f>
        <v>0</v>
      </c>
      <c r="BA60">
        <f>SUMIFS($T$2:$T$100, $L$2:$L$100, AH60,$E$2:$E$100, 4)</f>
        <v>0</v>
      </c>
      <c r="BB60">
        <f t="shared" si="110"/>
        <v>0</v>
      </c>
      <c r="BC60">
        <f t="shared" si="110"/>
        <v>0</v>
      </c>
      <c r="BD60">
        <f t="shared" ref="BD60" si="118">AX60+AY60</f>
        <v>0</v>
      </c>
      <c r="BE60">
        <f t="shared" ref="BE60" si="119">AZ60+BA60</f>
        <v>0</v>
      </c>
      <c r="BF60">
        <f t="shared" ref="BF60" si="120">(AX60+AY60)-(AZ60+BA60)</f>
        <v>0</v>
      </c>
      <c r="BG60" t="e">
        <f t="shared" si="111"/>
        <v>#DIV/0!</v>
      </c>
      <c r="BH60" t="e">
        <f t="shared" si="111"/>
        <v>#DIV/0!</v>
      </c>
      <c r="BI60" t="e">
        <f t="shared" si="112"/>
        <v>#DIV/0!</v>
      </c>
      <c r="BJ60" t="e">
        <f t="shared" si="112"/>
        <v>#DIV/0!</v>
      </c>
      <c r="BK60" t="e">
        <f t="shared" ref="BK60" si="121">BD60/AI60</f>
        <v>#DIV/0!</v>
      </c>
      <c r="BL60" t="e">
        <f t="shared" ref="BL60" si="122">BE60/AI60</f>
        <v>#DIV/0!</v>
      </c>
    </row>
    <row r="61" spans="1:64" x14ac:dyDescent="0.25">
      <c r="B61" s="7"/>
      <c r="C61" s="7"/>
      <c r="H61" s="8"/>
      <c r="I61" s="8"/>
      <c r="J61" s="8"/>
      <c r="K61" s="8"/>
      <c r="L61" s="5"/>
      <c r="M61" s="5"/>
      <c r="N61" s="5"/>
      <c r="O61" s="5"/>
      <c r="P61" s="5"/>
      <c r="Q61" s="5"/>
      <c r="R61" s="7"/>
      <c r="S61" s="5"/>
      <c r="T61" s="5"/>
      <c r="U61" s="5"/>
      <c r="V61" s="5" t="str">
        <f t="shared" si="0"/>
        <v/>
      </c>
      <c r="W61" s="5" t="str">
        <f t="shared" si="51"/>
        <v/>
      </c>
    </row>
    <row r="62" spans="1:64" x14ac:dyDescent="0.25">
      <c r="B62" s="7"/>
      <c r="C62" s="7"/>
      <c r="H62" s="8"/>
      <c r="I62" s="8"/>
      <c r="J62" s="8"/>
      <c r="K62" s="8"/>
      <c r="L62" s="5"/>
      <c r="M62" s="5"/>
      <c r="N62" s="5"/>
      <c r="O62" s="5"/>
      <c r="P62" s="5"/>
      <c r="Q62" s="5"/>
      <c r="R62" s="7"/>
      <c r="S62" s="5"/>
      <c r="T62" s="5"/>
      <c r="U62" s="5"/>
      <c r="V62" s="5" t="str">
        <f t="shared" si="0"/>
        <v/>
      </c>
      <c r="W62" s="5" t="str">
        <f t="shared" si="51"/>
        <v/>
      </c>
    </row>
    <row r="63" spans="1:64" x14ac:dyDescent="0.25">
      <c r="B63" s="7"/>
      <c r="C63" s="7"/>
      <c r="H63" s="8"/>
      <c r="I63" s="8"/>
      <c r="J63" s="8"/>
      <c r="K63" s="8"/>
      <c r="L63" s="5"/>
      <c r="M63" s="5"/>
      <c r="N63" s="5"/>
      <c r="O63" s="5"/>
      <c r="P63" s="5"/>
      <c r="Q63" s="5"/>
      <c r="R63" s="7"/>
      <c r="S63" s="5"/>
      <c r="T63" s="5"/>
      <c r="U63" s="5"/>
      <c r="V63" s="5" t="str">
        <f t="shared" si="0"/>
        <v/>
      </c>
      <c r="W63" s="5" t="str">
        <f t="shared" si="51"/>
        <v/>
      </c>
    </row>
    <row r="64" spans="1:64" x14ac:dyDescent="0.25">
      <c r="B64" s="7"/>
      <c r="C64" s="7"/>
      <c r="H64" s="8"/>
      <c r="I64" s="8"/>
      <c r="J64" s="8"/>
      <c r="K64" s="8"/>
      <c r="L64" s="5"/>
      <c r="M64" s="5"/>
      <c r="N64" s="5"/>
      <c r="O64" s="5"/>
      <c r="P64" s="5"/>
      <c r="Q64" s="5"/>
      <c r="R64" s="7"/>
      <c r="S64" s="5"/>
      <c r="T64" s="5"/>
      <c r="U64" s="5"/>
      <c r="V64" s="5" t="str">
        <f t="shared" si="0"/>
        <v/>
      </c>
      <c r="W64" s="5" t="str">
        <f t="shared" si="51"/>
        <v/>
      </c>
    </row>
    <row r="65" spans="2:31" x14ac:dyDescent="0.25">
      <c r="B65" s="7"/>
      <c r="C65" s="7"/>
      <c r="H65" s="8"/>
      <c r="I65" s="8"/>
      <c r="J65" s="8"/>
      <c r="K65" s="8"/>
      <c r="L65" s="5"/>
      <c r="M65" s="5"/>
      <c r="N65" s="5"/>
      <c r="O65" s="5"/>
      <c r="P65" s="5"/>
      <c r="Q65" s="5"/>
      <c r="R65" s="7"/>
      <c r="S65" s="5"/>
      <c r="T65" s="5"/>
      <c r="U65" s="5"/>
      <c r="V65" s="5" t="str">
        <f t="shared" si="0"/>
        <v/>
      </c>
      <c r="W65" s="5" t="str">
        <f t="shared" si="51"/>
        <v/>
      </c>
    </row>
    <row r="66" spans="2:31" x14ac:dyDescent="0.25">
      <c r="B66" s="7"/>
      <c r="C66" s="7"/>
      <c r="H66" s="8"/>
      <c r="I66" s="8"/>
      <c r="J66" s="8"/>
      <c r="K66" s="8"/>
      <c r="L66" s="5"/>
      <c r="M66" s="5"/>
      <c r="N66" s="5"/>
      <c r="O66" s="5"/>
      <c r="P66" s="5"/>
      <c r="Q66" s="5"/>
      <c r="R66" s="7"/>
      <c r="S66" s="5"/>
      <c r="T66" s="5"/>
      <c r="U66" s="5"/>
      <c r="V66" s="5" t="str">
        <f t="shared" ref="V66:V89" si="123">IF(ISBLANK($U66),"",IF($S66=$T66,0,IF($L66=$N66,IF($S66&gt;$T66,1,0),IF($T66&gt;$S66,1,0))))</f>
        <v/>
      </c>
      <c r="W66" s="5" t="str">
        <f t="shared" si="51"/>
        <v/>
      </c>
    </row>
    <row r="67" spans="2:31" x14ac:dyDescent="0.25">
      <c r="B67" s="7"/>
      <c r="C67" s="7"/>
      <c r="H67" s="8"/>
      <c r="I67" s="8"/>
      <c r="J67" s="8"/>
      <c r="K67" s="8"/>
      <c r="L67" s="5"/>
      <c r="M67" s="5"/>
      <c r="N67" s="5"/>
      <c r="O67" s="5"/>
      <c r="P67" s="5"/>
      <c r="Q67" s="5"/>
      <c r="R67" s="7"/>
      <c r="S67" s="5"/>
      <c r="T67" s="5"/>
      <c r="U67" s="5"/>
      <c r="V67" s="5" t="str">
        <f t="shared" si="123"/>
        <v/>
      </c>
      <c r="W67" s="5" t="str">
        <f t="shared" si="51"/>
        <v/>
      </c>
    </row>
    <row r="68" spans="2:31" x14ac:dyDescent="0.25">
      <c r="B68" s="7"/>
      <c r="C68" s="7"/>
      <c r="H68" s="8"/>
      <c r="I68" s="8"/>
      <c r="J68" s="8"/>
      <c r="K68" s="8"/>
      <c r="L68" s="5"/>
      <c r="M68" s="5"/>
      <c r="N68" s="5"/>
      <c r="O68" s="5"/>
      <c r="P68" s="5"/>
      <c r="Q68" s="5"/>
      <c r="R68" s="7"/>
      <c r="S68" s="5"/>
      <c r="T68" s="5"/>
      <c r="U68" s="5"/>
      <c r="V68" s="5" t="str">
        <f t="shared" si="123"/>
        <v/>
      </c>
      <c r="W68" s="5" t="str">
        <f t="shared" si="51"/>
        <v/>
      </c>
    </row>
    <row r="69" spans="2:31" x14ac:dyDescent="0.25">
      <c r="B69" s="7"/>
      <c r="C69" s="7"/>
      <c r="H69" s="8"/>
      <c r="I69" s="8"/>
      <c r="J69" s="8"/>
      <c r="K69" s="8"/>
      <c r="L69" s="5"/>
      <c r="M69" s="5"/>
      <c r="N69" s="5"/>
      <c r="O69" s="5"/>
      <c r="P69" s="5"/>
      <c r="Q69" s="5"/>
      <c r="R69" s="7"/>
      <c r="S69" s="5"/>
      <c r="T69" s="5"/>
      <c r="U69" s="5"/>
      <c r="V69" s="5" t="str">
        <f t="shared" si="123"/>
        <v/>
      </c>
      <c r="W69" s="5" t="str">
        <f t="shared" si="51"/>
        <v/>
      </c>
    </row>
    <row r="70" spans="2:31" x14ac:dyDescent="0.25">
      <c r="B70" s="7"/>
      <c r="C70" s="7"/>
      <c r="H70" s="8"/>
      <c r="I70" s="8"/>
      <c r="J70" s="8"/>
      <c r="K70" s="8"/>
      <c r="L70" s="5"/>
      <c r="M70" s="5"/>
      <c r="N70" s="5"/>
      <c r="O70" s="5"/>
      <c r="P70" s="5"/>
      <c r="Q70" s="5"/>
      <c r="R70" s="7"/>
      <c r="S70" s="5"/>
      <c r="T70" s="5"/>
      <c r="U70" s="5"/>
      <c r="V70" s="5" t="str">
        <f t="shared" si="123"/>
        <v/>
      </c>
      <c r="W70" s="5" t="str">
        <f t="shared" si="51"/>
        <v/>
      </c>
    </row>
    <row r="71" spans="2:31" x14ac:dyDescent="0.25">
      <c r="B71" s="7"/>
      <c r="C71" s="7"/>
      <c r="H71" s="8"/>
      <c r="I71" s="8"/>
      <c r="J71" s="8"/>
      <c r="K71" s="8"/>
      <c r="L71" s="5"/>
      <c r="M71" s="5"/>
      <c r="N71" s="5"/>
      <c r="O71" s="5"/>
      <c r="P71" s="5"/>
      <c r="Q71" s="5"/>
      <c r="R71" s="7"/>
      <c r="S71" s="5"/>
      <c r="T71" s="5"/>
      <c r="U71" s="5"/>
      <c r="V71" s="5" t="str">
        <f t="shared" si="123"/>
        <v/>
      </c>
      <c r="W71" s="5" t="str">
        <f t="shared" si="51"/>
        <v/>
      </c>
    </row>
    <row r="72" spans="2:31" x14ac:dyDescent="0.25">
      <c r="B72" s="7"/>
      <c r="C72" s="7"/>
      <c r="H72" s="8"/>
      <c r="I72" s="8"/>
      <c r="J72" s="8"/>
      <c r="K72" s="8"/>
      <c r="L72" s="5"/>
      <c r="M72" s="5"/>
      <c r="N72" s="5"/>
      <c r="O72" s="5"/>
      <c r="P72" s="5"/>
      <c r="Q72" s="5"/>
      <c r="R72" s="7"/>
      <c r="S72" s="5"/>
      <c r="T72" s="5"/>
      <c r="U72" s="5"/>
      <c r="V72" s="5" t="str">
        <f t="shared" si="123"/>
        <v/>
      </c>
      <c r="W72" s="5" t="str">
        <f t="shared" si="51"/>
        <v/>
      </c>
    </row>
    <row r="73" spans="2:31" x14ac:dyDescent="0.25">
      <c r="B73" s="7"/>
      <c r="C73" s="7"/>
      <c r="H73" s="8"/>
      <c r="I73" s="8"/>
      <c r="J73" s="8"/>
      <c r="K73" s="8"/>
      <c r="L73" s="5"/>
      <c r="M73" s="5"/>
      <c r="N73" s="5"/>
      <c r="O73" s="5"/>
      <c r="P73" s="5"/>
      <c r="Q73" s="5"/>
      <c r="R73" s="7"/>
      <c r="S73" s="5"/>
      <c r="T73" s="5"/>
      <c r="U73" s="5"/>
      <c r="V73" s="5" t="str">
        <f t="shared" si="123"/>
        <v/>
      </c>
      <c r="W73" s="5" t="str">
        <f t="shared" si="51"/>
        <v/>
      </c>
    </row>
    <row r="74" spans="2:31" x14ac:dyDescent="0.25">
      <c r="B74" s="7"/>
      <c r="C74" s="7"/>
      <c r="H74" s="8"/>
      <c r="I74" s="8"/>
      <c r="J74" s="8"/>
      <c r="K74" s="8"/>
      <c r="L74" s="5"/>
      <c r="M74" s="5"/>
      <c r="N74" s="5"/>
      <c r="O74" s="5"/>
      <c r="P74" s="5"/>
      <c r="Q74" s="5"/>
      <c r="R74" s="7"/>
      <c r="S74" s="5"/>
      <c r="T74" s="5"/>
      <c r="U74" s="5"/>
      <c r="V74" s="5" t="str">
        <f t="shared" si="123"/>
        <v/>
      </c>
      <c r="W74" s="5" t="str">
        <f t="shared" si="51"/>
        <v/>
      </c>
      <c r="AE74" s="5">
        <f>WEEKDAY(B69)</f>
        <v>7</v>
      </c>
    </row>
    <row r="75" spans="2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23"/>
        <v/>
      </c>
      <c r="W75" s="5" t="str">
        <f t="shared" si="51"/>
        <v/>
      </c>
    </row>
    <row r="76" spans="2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23"/>
        <v/>
      </c>
      <c r="W76" s="5" t="str">
        <f t="shared" si="51"/>
        <v/>
      </c>
    </row>
    <row r="77" spans="2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23"/>
        <v/>
      </c>
      <c r="W77" s="5" t="str">
        <f t="shared" si="51"/>
        <v/>
      </c>
    </row>
    <row r="78" spans="2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23"/>
        <v/>
      </c>
      <c r="W78" s="5" t="str">
        <f t="shared" si="51"/>
        <v/>
      </c>
    </row>
    <row r="79" spans="2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23"/>
        <v/>
      </c>
      <c r="W79" s="5" t="str">
        <f t="shared" si="51"/>
        <v/>
      </c>
    </row>
    <row r="80" spans="2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23"/>
        <v/>
      </c>
      <c r="W80" s="5" t="str">
        <f t="shared" si="51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23"/>
        <v/>
      </c>
      <c r="W81" s="5" t="str">
        <f t="shared" si="51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23"/>
        <v/>
      </c>
      <c r="W82" s="5" t="str">
        <f t="shared" si="51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23"/>
        <v/>
      </c>
      <c r="W83" s="5" t="str">
        <f t="shared" si="51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23"/>
        <v/>
      </c>
      <c r="W84" s="5" t="str">
        <f t="shared" si="51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23"/>
        <v/>
      </c>
      <c r="W85" s="5" t="str">
        <f t="shared" si="51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23"/>
        <v/>
      </c>
      <c r="W86" s="5" t="str">
        <f t="shared" si="51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23"/>
        <v/>
      </c>
      <c r="W87" s="5" t="str">
        <f t="shared" si="51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23"/>
        <v/>
      </c>
      <c r="W88" s="5" t="str">
        <f t="shared" si="51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23"/>
        <v/>
      </c>
      <c r="W89" s="5" t="str">
        <f t="shared" si="51"/>
        <v/>
      </c>
    </row>
  </sheetData>
  <conditionalFormatting sqref="A1:AAD3 W2:Y33 G4:AAD7 V8:Y8 A9:Y14 A15:AAD10000 N3:N33 F4:F5 A4:E7 V5:V33 A8 C8 H8:M8 Z8:AAD14">
    <cfRule type="cellIs" dxfId="42" priority="44" operator="equal">
      <formula>"OTT"</formula>
    </cfRule>
    <cfRule type="cellIs" dxfId="41" priority="45" operator="equal">
      <formula>"NJD"</formula>
    </cfRule>
    <cfRule type="cellIs" dxfId="40" priority="46" operator="equal">
      <formula>"MIN"</formula>
    </cfRule>
    <cfRule type="cellIs" dxfId="39" priority="47" operator="equal">
      <formula>"STL"</formula>
    </cfRule>
  </conditionalFormatting>
  <conditionalFormatting sqref="A1:AAD10000">
    <cfRule type="cellIs" dxfId="38" priority="3" operator="equal">
      <formula>"MTL"</formula>
    </cfRule>
  </conditionalFormatting>
  <conditionalFormatting sqref="A15:AAD10000 A1:AAD3 W2:Y33 G4:AAD7 V8:Y8 A9:Y14 N3:N33 F4:F5 A4:E7 V5:V33 A8 C8 H8:M8 Z8:AAD14">
    <cfRule type="cellIs" dxfId="37" priority="60" operator="equal">
      <formula>"LAK"</formula>
    </cfRule>
    <cfRule type="cellIs" dxfId="36" priority="61" operator="equal">
      <formula>"TOR"</formula>
    </cfRule>
    <cfRule type="cellIs" dxfId="35" priority="74" operator="equal">
      <formula>"TBL"</formula>
    </cfRule>
    <cfRule type="cellIs" dxfId="34" priority="73" operator="equal">
      <formula>"NYR"</formula>
    </cfRule>
    <cfRule type="cellIs" dxfId="33" priority="71" operator="equal">
      <formula>"VGK"</formula>
    </cfRule>
    <cfRule type="cellIs" dxfId="32" priority="72" operator="equal">
      <formula>"WSH"</formula>
    </cfRule>
    <cfRule type="cellIs" dxfId="31" priority="70" operator="equal">
      <formula>"WPG"</formula>
    </cfRule>
    <cfRule type="cellIs" dxfId="30" priority="62" operator="equal">
      <formula>"CAR"</formula>
    </cfRule>
    <cfRule type="cellIs" dxfId="29" priority="69" operator="equal">
      <formula>"COL"</formula>
    </cfRule>
    <cfRule type="cellIs" dxfId="28" priority="68" operator="equal">
      <formula>"VAN"</formula>
    </cfRule>
    <cfRule type="cellIs" dxfId="27" priority="67" operator="equal">
      <formula>"NSH"</formula>
    </cfRule>
    <cfRule type="cellIs" dxfId="26" priority="66" operator="equal">
      <formula>"DAL"</formula>
    </cfRule>
    <cfRule type="cellIs" dxfId="25" priority="65" operator="equal">
      <formula>"EDM"</formula>
    </cfRule>
    <cfRule type="cellIs" dxfId="24" priority="64" operator="equal">
      <formula>"FLA"</formula>
    </cfRule>
    <cfRule type="cellIs" dxfId="23" priority="63" operator="equal">
      <formula>"NYI"</formula>
    </cfRule>
    <cfRule type="cellIs" dxfId="22" priority="75" operator="equal">
      <formula>"BOS"</formula>
    </cfRule>
  </conditionalFormatting>
  <conditionalFormatting sqref="F7">
    <cfRule type="cellIs" dxfId="21" priority="11" operator="equal">
      <formula>"NYI"</formula>
    </cfRule>
    <cfRule type="cellIs" dxfId="20" priority="21" operator="equal">
      <formula>"NYR"</formula>
    </cfRule>
    <cfRule type="cellIs" dxfId="19" priority="4" operator="equal">
      <formula>"OTT"</formula>
    </cfRule>
    <cfRule type="cellIs" dxfId="18" priority="5" operator="equal">
      <formula>"NJD"</formula>
    </cfRule>
    <cfRule type="cellIs" dxfId="17" priority="6" operator="equal">
      <formula>"MIN"</formula>
    </cfRule>
    <cfRule type="cellIs" dxfId="16" priority="7" operator="equal">
      <formula>"STL"</formula>
    </cfRule>
    <cfRule type="cellIs" dxfId="15" priority="8" operator="equal">
      <formula>"LAK"</formula>
    </cfRule>
    <cfRule type="cellIs" dxfId="14" priority="9" operator="equal">
      <formula>"TOR"</formula>
    </cfRule>
    <cfRule type="cellIs" dxfId="13" priority="10" operator="equal">
      <formula>"CAR"</formula>
    </cfRule>
    <cfRule type="cellIs" dxfId="12" priority="12" operator="equal">
      <formula>"FLA"</formula>
    </cfRule>
    <cfRule type="cellIs" dxfId="11" priority="13" operator="equal">
      <formula>"EDM"</formula>
    </cfRule>
    <cfRule type="cellIs" dxfId="10" priority="14" operator="equal">
      <formula>"DAL"</formula>
    </cfRule>
    <cfRule type="cellIs" dxfId="9" priority="15" operator="equal">
      <formula>"NSH"</formula>
    </cfRule>
    <cfRule type="cellIs" dxfId="8" priority="16" operator="equal">
      <formula>"VAN"</formula>
    </cfRule>
    <cfRule type="cellIs" dxfId="7" priority="17" operator="equal">
      <formula>"COL"</formula>
    </cfRule>
    <cfRule type="cellIs" dxfId="6" priority="18" operator="equal">
      <formula>"WPG"</formula>
    </cfRule>
    <cfRule type="cellIs" dxfId="5" priority="19" operator="equal">
      <formula>"VGK"</formula>
    </cfRule>
    <cfRule type="cellIs" dxfId="4" priority="20" operator="equal">
      <formula>"WSH"</formula>
    </cfRule>
    <cfRule type="cellIs" dxfId="3" priority="22" operator="equal">
      <formula>"TBL"</formula>
    </cfRule>
    <cfRule type="cellIs" dxfId="2" priority="23" operator="equal">
      <formula>"BOS"</formula>
    </cfRule>
  </conditionalFormatting>
  <conditionalFormatting sqref="J1:K99">
    <cfRule type="colorScale" priority="8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33:K33">
    <cfRule type="colorScale" priority="8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2:K62 J63">
    <cfRule type="colorScale" priority="8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U1:U1048576">
    <cfRule type="colorScale" priority="1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90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2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1" priority="84" operator="equal">
      <formula>0</formula>
    </cfRule>
  </conditionalFormatting>
  <conditionalFormatting sqref="AI59:AL60">
    <cfRule type="cellIs" dxfId="0" priority="76" operator="equal">
      <formula>0</formula>
    </cfRule>
  </conditionalFormatting>
  <conditionalFormatting sqref="AL3:AL17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10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9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7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83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94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100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82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101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57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52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56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5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2025-04-30T23:40:58Z</dcterms:modified>
</cp:coreProperties>
</file>