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13E60D3E-7DD6-48A6-840F-8F127DC14F0C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8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1" i="7"/>
  <c r="E21" i="7"/>
  <c r="F21" i="7"/>
  <c r="G21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31" i="7"/>
  <c r="E31" i="7"/>
  <c r="F31" i="7"/>
  <c r="G31" i="7"/>
  <c r="H31" i="7"/>
  <c r="D9" i="7"/>
  <c r="E9" i="7"/>
  <c r="F9" i="7"/>
  <c r="G9" i="7"/>
  <c r="D28" i="7"/>
  <c r="E28" i="7"/>
  <c r="F28" i="7"/>
  <c r="G28" i="7"/>
  <c r="D20" i="7"/>
  <c r="E20" i="7"/>
  <c r="F20" i="7"/>
  <c r="G20" i="7"/>
  <c r="H20" i="7"/>
  <c r="I20" i="7"/>
  <c r="D6" i="7"/>
  <c r="E6" i="7"/>
  <c r="F6" i="7"/>
  <c r="G6" i="7"/>
  <c r="H6" i="7"/>
  <c r="D12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4" i="7"/>
  <c r="E4" i="7"/>
  <c r="F4" i="7"/>
  <c r="G4" i="7"/>
  <c r="H4" i="7"/>
  <c r="I4" i="7"/>
  <c r="D15" i="7"/>
  <c r="E15" i="7"/>
  <c r="F15" i="7"/>
  <c r="G15" i="7"/>
  <c r="H15" i="7"/>
  <c r="I15" i="7"/>
  <c r="D13" i="7"/>
  <c r="E13" i="7"/>
  <c r="F13" i="7"/>
  <c r="G13" i="7"/>
  <c r="D30" i="7"/>
  <c r="E30" i="7"/>
  <c r="F30" i="7"/>
  <c r="G30" i="7"/>
  <c r="H30" i="7"/>
  <c r="D29" i="7"/>
  <c r="E29" i="7"/>
  <c r="F29" i="7"/>
  <c r="G29" i="7"/>
  <c r="H29" i="7"/>
  <c r="I29" i="7"/>
  <c r="D24" i="7"/>
  <c r="E24" i="7"/>
  <c r="F24" i="7"/>
  <c r="G24" i="7"/>
  <c r="H24" i="7"/>
  <c r="D2" i="7"/>
  <c r="E2" i="7"/>
  <c r="F2" i="7"/>
  <c r="G2" i="7"/>
  <c r="H2" i="7"/>
  <c r="I2" i="7"/>
  <c r="D7" i="7"/>
  <c r="E7" i="7"/>
  <c r="F7" i="7"/>
  <c r="G7" i="7"/>
  <c r="H7" i="7"/>
  <c r="D22" i="7"/>
  <c r="E22" i="7"/>
  <c r="F22" i="7"/>
  <c r="G22" i="7"/>
  <c r="H22" i="7"/>
  <c r="D32" i="7"/>
  <c r="E32" i="7"/>
  <c r="F32" i="7"/>
  <c r="G32" i="7"/>
  <c r="H32" i="7"/>
  <c r="I32" i="7"/>
  <c r="D27" i="7"/>
  <c r="E27" i="7"/>
  <c r="F27" i="7"/>
  <c r="G27" i="7"/>
  <c r="H27" i="7"/>
  <c r="D23" i="7"/>
  <c r="E23" i="7"/>
  <c r="F23" i="7"/>
  <c r="G23" i="7"/>
  <c r="H23" i="7"/>
  <c r="I23" i="7"/>
  <c r="D11" i="7"/>
  <c r="E11" i="7"/>
  <c r="F11" i="7"/>
  <c r="G11" i="7"/>
  <c r="H11" i="7"/>
  <c r="E26" i="7"/>
  <c r="F26" i="7"/>
  <c r="G26" i="7"/>
  <c r="H26" i="7"/>
  <c r="I26" i="7"/>
  <c r="D26" i="7"/>
  <c r="CR34" i="2" a="1"/>
  <c r="BB25" i="2"/>
  <c r="BB24" i="2"/>
  <c r="BB32" i="2"/>
  <c r="BB23" i="2"/>
  <c r="BB19" i="2"/>
  <c r="BB27" i="2"/>
  <c r="BB20" i="2"/>
  <c r="BB26" i="2"/>
  <c r="BB4" i="2"/>
  <c r="BB31" i="2"/>
  <c r="BB5" i="2"/>
  <c r="BB2" i="2"/>
  <c r="BB10" i="2"/>
  <c r="BB29" i="2"/>
  <c r="BB8" i="2"/>
  <c r="BB17" i="2"/>
  <c r="BB13" i="2"/>
  <c r="BB9" i="2"/>
  <c r="BB21" i="2"/>
  <c r="BB6" i="2"/>
  <c r="BB28" i="2"/>
  <c r="BB7" i="2"/>
  <c r="BB18" i="2"/>
  <c r="BB3" i="2"/>
  <c r="BB14" i="2"/>
  <c r="BB15" i="2"/>
  <c r="BB16" i="2"/>
  <c r="BB30" i="2"/>
  <c r="BB12" i="2"/>
  <c r="BB22" i="2"/>
  <c r="BB33" i="2"/>
  <c r="BB11" i="2"/>
  <c r="AX25" i="2"/>
  <c r="AX24" i="2"/>
  <c r="AX32" i="2"/>
  <c r="AX23" i="2"/>
  <c r="AX19" i="2"/>
  <c r="AX27" i="2"/>
  <c r="AX20" i="2"/>
  <c r="AX26" i="2"/>
  <c r="AX4" i="2"/>
  <c r="AX31" i="2"/>
  <c r="AX5" i="2"/>
  <c r="AX2" i="2"/>
  <c r="AX10" i="2"/>
  <c r="AX29" i="2"/>
  <c r="AX8" i="2"/>
  <c r="AX17" i="2"/>
  <c r="AX13" i="2"/>
  <c r="AX9" i="2"/>
  <c r="AX21" i="2"/>
  <c r="AX6" i="2"/>
  <c r="AX28" i="2"/>
  <c r="AX7" i="2"/>
  <c r="AX18" i="2"/>
  <c r="AX3" i="2"/>
  <c r="AX14" i="2"/>
  <c r="AX15" i="2"/>
  <c r="AX16" i="2"/>
  <c r="AX30" i="2"/>
  <c r="AX12" i="2"/>
  <c r="AX22" i="2"/>
  <c r="AX33" i="2"/>
  <c r="AX11" i="2"/>
  <c r="AY19" i="2"/>
  <c r="AZ19" i="2"/>
  <c r="BC19" i="2"/>
  <c r="BD19" i="2"/>
  <c r="AY29" i="2"/>
  <c r="AZ29" i="2"/>
  <c r="BC29" i="2"/>
  <c r="BD29" i="2"/>
  <c r="AY5" i="2"/>
  <c r="AZ5" i="2"/>
  <c r="BC5" i="2"/>
  <c r="BD5" i="2"/>
  <c r="AY18" i="2"/>
  <c r="AZ18" i="2"/>
  <c r="BC18" i="2"/>
  <c r="BD18" i="2"/>
  <c r="AY32" i="2"/>
  <c r="AZ32" i="2"/>
  <c r="BC32" i="2"/>
  <c r="BD32" i="2"/>
  <c r="AY20" i="2"/>
  <c r="AZ20" i="2"/>
  <c r="BC20" i="2"/>
  <c r="BD20" i="2"/>
  <c r="AY2" i="2"/>
  <c r="AZ2" i="2"/>
  <c r="BC2" i="2"/>
  <c r="BD2" i="2"/>
  <c r="AY3" i="2"/>
  <c r="AZ3" i="2"/>
  <c r="BC3" i="2"/>
  <c r="BD3" i="2"/>
  <c r="AY21" i="2"/>
  <c r="AZ21" i="2"/>
  <c r="BC21" i="2"/>
  <c r="BD21" i="2"/>
  <c r="AY25" i="2"/>
  <c r="AZ25" i="2"/>
  <c r="BC25" i="2"/>
  <c r="BD25" i="2"/>
  <c r="AY23" i="2"/>
  <c r="AZ23" i="2"/>
  <c r="BC23" i="2"/>
  <c r="BD23" i="2"/>
  <c r="AY9" i="2"/>
  <c r="AZ9" i="2"/>
  <c r="BC9" i="2"/>
  <c r="BD9" i="2"/>
  <c r="AY7" i="2"/>
  <c r="AZ7" i="2"/>
  <c r="BC7" i="2"/>
  <c r="BD7" i="2"/>
  <c r="AY12" i="2"/>
  <c r="AZ12" i="2"/>
  <c r="BC12" i="2"/>
  <c r="BD12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6" i="2"/>
  <c r="AZ26" i="2"/>
  <c r="BC26" i="2"/>
  <c r="BD26" i="2"/>
  <c r="AY16" i="2"/>
  <c r="AZ16" i="2"/>
  <c r="BC16" i="2"/>
  <c r="BD16" i="2"/>
  <c r="AY13" i="2"/>
  <c r="AZ13" i="2"/>
  <c r="BC13" i="2"/>
  <c r="BD13" i="2"/>
  <c r="AY10" i="2"/>
  <c r="AZ10" i="2"/>
  <c r="BC10" i="2"/>
  <c r="BD10" i="2"/>
  <c r="AY15" i="2"/>
  <c r="AZ15" i="2"/>
  <c r="BC15" i="2"/>
  <c r="BD15" i="2"/>
  <c r="AY22" i="2"/>
  <c r="AZ22" i="2"/>
  <c r="BC22" i="2"/>
  <c r="BD22" i="2"/>
  <c r="AY30" i="2"/>
  <c r="AZ30" i="2"/>
  <c r="BC30" i="2"/>
  <c r="BD30" i="2"/>
  <c r="AY4" i="2"/>
  <c r="AZ4" i="2"/>
  <c r="BC4" i="2"/>
  <c r="BD4" i="2"/>
  <c r="AY28" i="2"/>
  <c r="AZ28" i="2"/>
  <c r="BC28" i="2"/>
  <c r="BD28" i="2"/>
  <c r="AY27" i="2"/>
  <c r="AZ27" i="2"/>
  <c r="BC27" i="2"/>
  <c r="BD27" i="2"/>
  <c r="AY31" i="2"/>
  <c r="AZ31" i="2"/>
  <c r="BC31" i="2"/>
  <c r="BD31" i="2"/>
  <c r="AY14" i="2"/>
  <c r="AZ14" i="2"/>
  <c r="BC14" i="2"/>
  <c r="BD14" i="2"/>
  <c r="AY24" i="2"/>
  <c r="AZ24" i="2"/>
  <c r="BC24" i="2"/>
  <c r="BD24" i="2"/>
  <c r="AY11" i="2"/>
  <c r="AZ11" i="2"/>
  <c r="BC11" i="2"/>
  <c r="BD11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2" i="7"/>
  <c r="I58" i="7"/>
  <c r="I57" i="7"/>
  <c r="E8" i="7"/>
  <c r="E45" i="7"/>
  <c r="I48" i="7"/>
  <c r="H48" i="7"/>
  <c r="G48" i="7"/>
  <c r="F48" i="7"/>
  <c r="E48" i="7"/>
  <c r="BS5" i="1" a="1"/>
  <c r="I30" i="7"/>
  <c r="I24" i="7"/>
  <c r="G8" i="7"/>
  <c r="H8" i="7"/>
  <c r="I8" i="7"/>
  <c r="F8" i="7"/>
  <c r="G12" i="7"/>
  <c r="H12" i="7"/>
  <c r="I12" i="7"/>
  <c r="E12" i="7"/>
  <c r="F12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24" i="2"/>
  <c r="CE24" i="2" s="1"/>
  <c r="CF14" i="2"/>
  <c r="CE14" i="2" s="1"/>
  <c r="CF25" i="2"/>
  <c r="CE25" i="2" s="1"/>
  <c r="CF9" i="2"/>
  <c r="CE9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18" i="2"/>
  <c r="CE18" i="2" s="1"/>
  <c r="CF16" i="2"/>
  <c r="CE16" i="2" s="1"/>
  <c r="CF31" i="2"/>
  <c r="CE31" i="2" s="1"/>
  <c r="CF12" i="2"/>
  <c r="CE12" i="2" s="1"/>
  <c r="CF19" i="2"/>
  <c r="CE19" i="2" s="1"/>
  <c r="CF21" i="2"/>
  <c r="CE21" i="2" s="1"/>
  <c r="CF30" i="2"/>
  <c r="CE30" i="2" s="1"/>
  <c r="CF26" i="2"/>
  <c r="CE26" i="2" s="1"/>
  <c r="CF13" i="2"/>
  <c r="CE13" i="2" s="1"/>
  <c r="CF10" i="2"/>
  <c r="CE10" i="2" s="1"/>
  <c r="CF27" i="2"/>
  <c r="CE27" i="2" s="1"/>
  <c r="CF8" i="2"/>
  <c r="CE8" i="2" s="1"/>
  <c r="CF17" i="2"/>
  <c r="CE17" i="2" s="1"/>
  <c r="CF15" i="2"/>
  <c r="CE15" i="2" s="1"/>
  <c r="CF29" i="2"/>
  <c r="CE29" i="2" s="1"/>
  <c r="CF33" i="2"/>
  <c r="CE33" i="2" s="1"/>
  <c r="CF22" i="2"/>
  <c r="CE22" i="2" s="1"/>
  <c r="CF20" i="2"/>
  <c r="CE20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14" i="2"/>
  <c r="V8" i="2"/>
  <c r="W8" i="2"/>
  <c r="U8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5" i="2"/>
  <c r="O25" i="2"/>
  <c r="M25" i="2"/>
  <c r="N15" i="2"/>
  <c r="W12" i="2"/>
  <c r="U12" i="2"/>
  <c r="O15" i="2"/>
  <c r="M15" i="2"/>
  <c r="V12" i="2"/>
  <c r="W9" i="2"/>
  <c r="T9" i="2"/>
  <c r="U9" i="2"/>
  <c r="V9" i="2"/>
  <c r="S66" i="1"/>
  <c r="T6" i="2"/>
  <c r="AA62" i="5"/>
  <c r="BJ27" i="5"/>
  <c r="E66" i="5"/>
  <c r="BN5" i="5"/>
  <c r="S62" i="1"/>
  <c r="T27" i="2"/>
  <c r="S77" i="1"/>
  <c r="L22" i="2"/>
  <c r="AH23" i="8"/>
  <c r="S58" i="1"/>
  <c r="T8" i="2"/>
  <c r="S57" i="1"/>
  <c r="L5" i="2"/>
  <c r="T14" i="2"/>
  <c r="V14" i="2"/>
  <c r="W14" i="2"/>
  <c r="U14" i="2"/>
  <c r="T3" i="2"/>
  <c r="U11" i="2"/>
  <c r="V11" i="2"/>
  <c r="O19" i="2"/>
  <c r="W11" i="2"/>
  <c r="N19" i="2"/>
  <c r="T11" i="2"/>
  <c r="S53" i="1"/>
  <c r="L25" i="2"/>
  <c r="S52" i="1"/>
  <c r="T12" i="2"/>
  <c r="L15" i="2"/>
  <c r="N10" i="2"/>
  <c r="O10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3" i="2"/>
  <c r="L23" i="2"/>
  <c r="T13" i="2"/>
  <c r="U13" i="2"/>
  <c r="O23" i="2"/>
  <c r="V13" i="2"/>
  <c r="N23" i="2"/>
  <c r="AP35" i="5"/>
  <c r="AI42" i="5"/>
  <c r="F53" i="5"/>
  <c r="BA6" i="5"/>
  <c r="AL63" i="5"/>
  <c r="BK38" i="5"/>
  <c r="D29" i="2"/>
  <c r="Q8" i="5"/>
  <c r="H17" i="5"/>
  <c r="S45" i="1"/>
  <c r="N21" i="2"/>
  <c r="W28" i="2"/>
  <c r="O21" i="2"/>
  <c r="L21" i="2"/>
  <c r="V28" i="2"/>
  <c r="M21" i="2"/>
  <c r="S44" i="1"/>
  <c r="N24" i="2"/>
  <c r="M24" i="2"/>
  <c r="O24" i="2"/>
  <c r="L24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6" i="2"/>
  <c r="T26" i="2"/>
  <c r="W26" i="2"/>
  <c r="V26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5" i="2"/>
  <c r="W25" i="2"/>
  <c r="O31" i="2"/>
  <c r="V25" i="2"/>
  <c r="T25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13" i="2"/>
  <c r="AE16" i="5"/>
  <c r="P31" i="5"/>
  <c r="G6" i="5"/>
  <c r="F7" i="5"/>
  <c r="S26" i="1"/>
  <c r="L29" i="2"/>
  <c r="M29" i="2"/>
  <c r="O29" i="2"/>
  <c r="N29" i="2"/>
  <c r="S33" i="1"/>
  <c r="V20" i="2"/>
  <c r="U20" i="2"/>
  <c r="W20" i="2"/>
  <c r="T20" i="2"/>
  <c r="BC22" i="5"/>
  <c r="V55" i="5"/>
  <c r="S27" i="1"/>
  <c r="L28" i="2"/>
  <c r="O28" i="2"/>
  <c r="N28" i="2"/>
  <c r="M28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4" i="2"/>
  <c r="M9" i="2"/>
  <c r="N9" i="2"/>
  <c r="BH13" i="5"/>
  <c r="D31" i="2"/>
  <c r="M60" i="5"/>
  <c r="BI50" i="5"/>
  <c r="AX61" i="5"/>
  <c r="C48" i="5"/>
  <c r="AV3" i="5"/>
  <c r="D15" i="2"/>
  <c r="D8" i="2"/>
  <c r="U22" i="2"/>
  <c r="L14" i="2"/>
  <c r="M14" i="2"/>
  <c r="T22" i="2"/>
  <c r="V22" i="2"/>
  <c r="W22" i="2"/>
  <c r="N14" i="2"/>
  <c r="O14" i="2"/>
  <c r="S23" i="1"/>
  <c r="W15" i="2"/>
  <c r="U15" i="2"/>
  <c r="M8" i="2"/>
  <c r="N8" i="2"/>
  <c r="O8" i="2"/>
  <c r="T15" i="2"/>
  <c r="L8" i="2"/>
  <c r="V15" i="2"/>
  <c r="BE18" i="5"/>
  <c r="R57" i="5"/>
  <c r="D27" i="2"/>
  <c r="S21" i="1"/>
  <c r="M32" i="2"/>
  <c r="V31" i="2"/>
  <c r="W31" i="2"/>
  <c r="N32" i="2"/>
  <c r="U31" i="2"/>
  <c r="T31" i="2"/>
  <c r="L27" i="2"/>
  <c r="O27" i="2"/>
  <c r="W2" i="2"/>
  <c r="T2" i="2"/>
  <c r="U2" i="2"/>
  <c r="M27" i="2"/>
  <c r="V2" i="2"/>
  <c r="N27" i="2"/>
  <c r="BL19" i="5"/>
  <c r="S64" i="5"/>
  <c r="W24" i="2"/>
  <c r="O3" i="2"/>
  <c r="N3" i="2"/>
  <c r="M3" i="2"/>
  <c r="T24" i="2"/>
  <c r="U24" i="2"/>
  <c r="V24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13" i="2"/>
  <c r="W23" i="2"/>
  <c r="N13" i="2"/>
  <c r="O13" i="2"/>
  <c r="V23" i="2"/>
  <c r="L13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1" i="2"/>
  <c r="W21" i="2"/>
  <c r="L12" i="2"/>
  <c r="U21" i="2"/>
  <c r="T21" i="2"/>
  <c r="O12" i="2"/>
  <c r="V21" i="2"/>
  <c r="N12" i="2"/>
  <c r="M12" i="2"/>
  <c r="AM8" i="5"/>
  <c r="H39" i="5"/>
  <c r="N26" i="2"/>
  <c r="V29" i="2"/>
  <c r="O26" i="2"/>
  <c r="U29" i="2"/>
  <c r="T29" i="2"/>
  <c r="W29" i="2"/>
  <c r="M26" i="2"/>
  <c r="L26" i="2"/>
  <c r="O6" i="5"/>
  <c r="F15" i="5"/>
  <c r="D19" i="2"/>
  <c r="O20" i="2"/>
  <c r="W19" i="2"/>
  <c r="V19" i="2"/>
  <c r="U19" i="2"/>
  <c r="T19" i="2"/>
  <c r="L20" i="2"/>
  <c r="N20" i="2"/>
  <c r="M20" i="2"/>
  <c r="AK46" i="5"/>
  <c r="AT37" i="5"/>
  <c r="O17" i="2"/>
  <c r="N17" i="2"/>
  <c r="T10" i="2"/>
  <c r="V10" i="2"/>
  <c r="W10" i="2"/>
  <c r="M17" i="2"/>
  <c r="U10" i="2"/>
  <c r="L17" i="2"/>
  <c r="AC52" i="5"/>
  <c r="AZ29" i="5"/>
  <c r="S17" i="1"/>
  <c r="W30" i="2"/>
  <c r="U30" i="2"/>
  <c r="L7" i="2"/>
  <c r="N7" i="2"/>
  <c r="O7" i="2"/>
  <c r="M7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0" i="2"/>
  <c r="I10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3" i="2"/>
  <c r="I13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13" i="2"/>
  <c r="G13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4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1" i="2"/>
  <c r="I2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14" i="2"/>
  <c r="I14" i="2" s="1"/>
  <c r="F9" i="2"/>
  <c r="G9" i="2" s="1"/>
  <c r="L9" i="2"/>
  <c r="O9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2" i="2"/>
  <c r="I22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11" i="2"/>
  <c r="I11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9" i="2"/>
  <c r="I9" i="2" s="1"/>
  <c r="AB17" i="4"/>
  <c r="Q28" i="4"/>
  <c r="D2" i="2"/>
  <c r="F2" i="2"/>
  <c r="G2" i="2" s="1"/>
  <c r="L2" i="2"/>
  <c r="AB17" i="5"/>
  <c r="M2" i="2"/>
  <c r="Q28" i="5"/>
  <c r="D9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6" i="2"/>
  <c r="AS40" i="5"/>
  <c r="AN45" i="5"/>
  <c r="M10" i="2"/>
  <c r="F10" i="2"/>
  <c r="G10" i="2" s="1"/>
  <c r="H26" i="2"/>
  <c r="I26" i="2" s="1"/>
  <c r="D10" i="2"/>
  <c r="L10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4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0" i="2"/>
  <c r="CS10" i="2"/>
  <c r="F20" i="2"/>
  <c r="G20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0" i="2"/>
  <c r="I20" i="2" s="1"/>
  <c r="BG20" i="8"/>
  <c r="AE16" i="4"/>
  <c r="Y30" i="10"/>
  <c r="AD25" i="10"/>
  <c r="AD25" i="8"/>
  <c r="Y30" i="8"/>
  <c r="F7" i="2"/>
  <c r="G7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7" i="2"/>
  <c r="O991" i="1"/>
  <c r="AD991" i="1" s="1"/>
  <c r="BU25" i="2"/>
  <c r="BU3" i="2"/>
  <c r="BU28" i="2"/>
  <c r="BU31" i="2"/>
  <c r="BU30" i="2"/>
  <c r="BU16" i="2"/>
  <c r="BU24" i="2"/>
  <c r="BU20" i="2"/>
  <c r="BU18" i="2"/>
  <c r="BU6" i="2"/>
  <c r="BU29" i="2"/>
  <c r="BU14" i="2"/>
  <c r="BU33" i="2"/>
  <c r="BU32" i="2"/>
  <c r="BU5" i="2"/>
  <c r="BU19" i="2"/>
  <c r="BU27" i="2"/>
  <c r="BU22" i="2"/>
  <c r="BU17" i="2"/>
  <c r="BU23" i="2"/>
  <c r="BU26" i="2"/>
  <c r="BU10" i="2"/>
  <c r="BU4" i="2"/>
  <c r="BU15" i="2"/>
  <c r="BU11" i="2"/>
  <c r="BU8" i="2"/>
  <c r="BU13" i="2"/>
  <c r="BU21" i="2"/>
  <c r="O989" i="1"/>
  <c r="AD989" i="1" s="1"/>
  <c r="BU9" i="2"/>
  <c r="O984" i="1"/>
  <c r="AD984" i="1" s="1"/>
  <c r="BT17" i="2"/>
  <c r="O953" i="1"/>
  <c r="AD953" i="1" s="1"/>
  <c r="BT23" i="2"/>
  <c r="BT9" i="2"/>
  <c r="O977" i="1"/>
  <c r="AD977" i="1" s="1"/>
  <c r="BT14" i="2"/>
  <c r="BT25" i="2"/>
  <c r="BT12" i="2"/>
  <c r="BT2" i="2"/>
  <c r="BT33" i="2"/>
  <c r="BT31" i="2"/>
  <c r="BT7" i="2"/>
  <c r="BT16" i="2"/>
  <c r="BT5" i="2"/>
  <c r="BT11" i="2"/>
  <c r="BT10" i="2"/>
  <c r="BT32" i="2"/>
  <c r="BT24" i="2"/>
  <c r="BT26" i="2"/>
  <c r="BT29" i="2"/>
  <c r="BT15" i="2"/>
  <c r="BT30" i="2"/>
  <c r="BT28" i="2"/>
  <c r="BT19" i="2"/>
  <c r="BT18" i="2"/>
  <c r="BT4" i="2"/>
  <c r="BT8" i="2"/>
  <c r="BT6" i="2"/>
  <c r="BT20" i="2"/>
  <c r="BT3" i="2"/>
  <c r="BT27" i="2"/>
  <c r="BT13" i="2"/>
  <c r="BT21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0" i="2"/>
  <c r="BE30" i="2"/>
  <c r="BF17" i="2"/>
  <c r="BE31" i="2"/>
  <c r="BA22" i="2"/>
  <c r="BG19" i="2"/>
  <c r="BA11" i="2"/>
  <c r="BF27" i="2"/>
  <c r="BG15" i="2"/>
  <c r="BE11" i="2"/>
  <c r="BF28" i="2"/>
  <c r="BG4" i="2"/>
  <c r="BA17" i="2"/>
  <c r="BA14" i="2"/>
  <c r="BG31" i="2"/>
  <c r="BE28" i="2"/>
  <c r="BF3" i="2"/>
  <c r="BA32" i="2"/>
  <c r="BA18" i="2"/>
  <c r="BF5" i="2"/>
  <c r="BA15" i="2"/>
  <c r="BF13" i="2"/>
  <c r="BG33" i="2"/>
  <c r="BA9" i="2"/>
  <c r="BF12" i="2"/>
  <c r="BG25" i="2"/>
  <c r="BE21" i="2"/>
  <c r="BA20" i="2"/>
  <c r="BG27" i="2"/>
  <c r="BG10" i="2"/>
  <c r="BG6" i="2"/>
  <c r="BE7" i="2"/>
  <c r="BA23" i="2"/>
  <c r="BF25" i="2"/>
  <c r="BF32" i="2"/>
  <c r="BG29" i="2"/>
  <c r="BA25" i="2"/>
  <c r="BE32" i="2"/>
  <c r="BA10" i="2"/>
  <c r="BA16" i="2"/>
  <c r="BF6" i="2"/>
  <c r="BE23" i="2"/>
  <c r="BG2" i="2"/>
  <c r="BE2" i="2"/>
  <c r="BA19" i="2"/>
  <c r="BF14" i="2"/>
  <c r="BG24" i="2"/>
  <c r="BE14" i="2"/>
  <c r="BA31" i="2"/>
  <c r="BF10" i="2"/>
  <c r="BA13" i="2"/>
  <c r="BA26" i="2"/>
  <c r="BE29" i="2"/>
  <c r="BE17" i="2"/>
  <c r="BA33" i="2"/>
  <c r="BF23" i="2"/>
  <c r="BA21" i="2"/>
  <c r="BE3" i="2"/>
  <c r="BE18" i="2"/>
  <c r="BA5" i="2"/>
  <c r="BE4" i="2"/>
  <c r="BF11" i="2"/>
  <c r="BA30" i="2"/>
  <c r="BF22" i="2"/>
  <c r="BE10" i="2"/>
  <c r="BE26" i="2"/>
  <c r="BG12" i="2"/>
  <c r="BF7" i="2"/>
  <c r="BE19" i="2"/>
  <c r="BF31" i="2"/>
  <c r="BE27" i="2"/>
  <c r="BA28" i="2"/>
  <c r="BF4" i="2"/>
  <c r="BE22" i="2"/>
  <c r="BE15" i="2"/>
  <c r="BG26" i="2"/>
  <c r="BE6" i="2"/>
  <c r="BE9" i="2"/>
  <c r="BG21" i="2"/>
  <c r="BA3" i="2"/>
  <c r="BA2" i="2"/>
  <c r="BE20" i="2"/>
  <c r="BG5" i="2"/>
  <c r="BF29" i="2"/>
  <c r="BG11" i="2"/>
  <c r="BE13" i="2"/>
  <c r="BG16" i="2"/>
  <c r="BG9" i="2"/>
  <c r="BG20" i="2"/>
  <c r="BG18" i="2"/>
  <c r="BE5" i="2"/>
  <c r="BA29" i="2"/>
  <c r="BA24" i="2"/>
  <c r="BE24" i="2"/>
  <c r="BA27" i="2"/>
  <c r="BE16" i="2"/>
  <c r="BE33" i="2"/>
  <c r="BE12" i="2"/>
  <c r="BG7" i="2"/>
  <c r="BA4" i="2"/>
  <c r="BG13" i="2"/>
  <c r="BA7" i="2"/>
  <c r="BE25" i="2"/>
  <c r="BF21" i="2"/>
  <c r="BG3" i="2"/>
  <c r="BF19" i="2"/>
  <c r="BF24" i="2"/>
  <c r="BG14" i="2"/>
  <c r="BF30" i="2"/>
  <c r="BG22" i="2"/>
  <c r="BF26" i="2"/>
  <c r="BG17" i="2"/>
  <c r="BF9" i="2"/>
  <c r="BG23" i="2"/>
  <c r="BF20" i="2"/>
  <c r="BG32" i="2"/>
  <c r="BF16" i="2"/>
  <c r="BF2" i="2"/>
  <c r="BA6" i="2"/>
  <c r="BF15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092" i="1" l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5" i="2"/>
  <c r="R5" i="2"/>
  <c r="S5" i="2"/>
  <c r="AA3" i="2"/>
  <c r="Z3" i="2"/>
  <c r="Y3" i="2"/>
  <c r="R25" i="2"/>
  <c r="Q25" i="2"/>
  <c r="S25" i="2"/>
  <c r="S15" i="2"/>
  <c r="R15" i="2"/>
  <c r="Q15" i="2"/>
  <c r="Y12" i="2"/>
  <c r="AA12" i="2"/>
  <c r="Z12" i="2"/>
  <c r="AD1133" i="1"/>
  <c r="AC1119" i="1"/>
  <c r="AD933" i="1"/>
  <c r="AC1135" i="1"/>
  <c r="AC1066" i="1"/>
  <c r="Z14" i="2"/>
  <c r="AA14" i="2"/>
  <c r="Y14" i="2"/>
  <c r="AC1094" i="1"/>
  <c r="AD902" i="1"/>
  <c r="AD747" i="1"/>
  <c r="R10" i="2"/>
  <c r="Q10" i="2"/>
  <c r="S10" i="2"/>
  <c r="AC1148" i="1"/>
  <c r="AC1162" i="1"/>
  <c r="Z9" i="2"/>
  <c r="AA9" i="2"/>
  <c r="Y9" i="2"/>
  <c r="S19" i="2"/>
  <c r="AA11" i="2"/>
  <c r="Y11" i="2"/>
  <c r="Z11" i="2"/>
  <c r="Q19" i="2"/>
  <c r="R19" i="2"/>
  <c r="Z18" i="2"/>
  <c r="AA18" i="2"/>
  <c r="Y18" i="2"/>
  <c r="R23" i="2"/>
  <c r="AA13" i="2"/>
  <c r="Z13" i="2"/>
  <c r="S23" i="2"/>
  <c r="Y13" i="2"/>
  <c r="Q23" i="2"/>
  <c r="AA28" i="2"/>
  <c r="Y28" i="2"/>
  <c r="Q21" i="2"/>
  <c r="Z28" i="2"/>
  <c r="S21" i="2"/>
  <c r="R21" i="2"/>
  <c r="R24" i="2"/>
  <c r="S24" i="2"/>
  <c r="Q24" i="2"/>
  <c r="R33" i="2"/>
  <c r="Y16" i="2"/>
  <c r="Q33" i="2"/>
  <c r="AA16" i="2"/>
  <c r="Z16" i="2"/>
  <c r="S33" i="2"/>
  <c r="Q4" i="2"/>
  <c r="R4" i="2"/>
  <c r="S4" i="2"/>
  <c r="Q2" i="2"/>
  <c r="R2" i="2"/>
  <c r="S2" i="2"/>
  <c r="Y26" i="2"/>
  <c r="Z26" i="2"/>
  <c r="AA26" i="2"/>
  <c r="Z25" i="2"/>
  <c r="R31" i="2"/>
  <c r="AA25" i="2"/>
  <c r="S31" i="2"/>
  <c r="Q31" i="2"/>
  <c r="Y25" i="2"/>
  <c r="AA7" i="2"/>
  <c r="Z7" i="2"/>
  <c r="Y7" i="2"/>
  <c r="S11" i="2"/>
  <c r="Y17" i="2"/>
  <c r="Z17" i="2"/>
  <c r="Q11" i="2"/>
  <c r="AA17" i="2"/>
  <c r="R11" i="2"/>
  <c r="Q29" i="2"/>
  <c r="S29" i="2"/>
  <c r="R29" i="2"/>
  <c r="Z20" i="2"/>
  <c r="Y20" i="2"/>
  <c r="AA20" i="2"/>
  <c r="R28" i="2"/>
  <c r="Q28" i="2"/>
  <c r="S28" i="2"/>
  <c r="R30" i="2"/>
  <c r="AA32" i="2"/>
  <c r="Q30" i="2"/>
  <c r="S30" i="2"/>
  <c r="Y32" i="2"/>
  <c r="Z32" i="2"/>
  <c r="Q9" i="2"/>
  <c r="R9" i="2"/>
  <c r="S9" i="2"/>
  <c r="J69" i="7"/>
  <c r="Y8" i="6"/>
  <c r="J29" i="7"/>
  <c r="AA22" i="2"/>
  <c r="S14" i="2"/>
  <c r="Q14" i="2"/>
  <c r="Z22" i="2"/>
  <c r="Y22" i="2"/>
  <c r="R14" i="2"/>
  <c r="J26" i="7"/>
  <c r="B8" i="6"/>
  <c r="J67" i="7"/>
  <c r="S8" i="2"/>
  <c r="Z15" i="2"/>
  <c r="R8" i="2"/>
  <c r="AA15" i="2"/>
  <c r="Q8" i="2"/>
  <c r="Y15" i="2"/>
  <c r="AD8" i="6"/>
  <c r="J32" i="7"/>
  <c r="J63" i="7"/>
  <c r="Q32" i="2"/>
  <c r="Y31" i="2"/>
  <c r="Z31" i="2"/>
  <c r="S32" i="2"/>
  <c r="AA31" i="2"/>
  <c r="R32" i="2"/>
  <c r="Z2" i="2"/>
  <c r="AA2" i="2"/>
  <c r="Q27" i="2"/>
  <c r="Y2" i="2"/>
  <c r="S27" i="2"/>
  <c r="R27" i="2"/>
  <c r="J22" i="7"/>
  <c r="AC8" i="6"/>
  <c r="J58" i="7"/>
  <c r="J55" i="7"/>
  <c r="J23" i="7"/>
  <c r="AF8" i="6"/>
  <c r="J8" i="6"/>
  <c r="J56" i="7"/>
  <c r="J19" i="7"/>
  <c r="Y24" i="2"/>
  <c r="Z24" i="2"/>
  <c r="AA24" i="2"/>
  <c r="S3" i="2"/>
  <c r="Q3" i="2"/>
  <c r="R3" i="2"/>
  <c r="R18" i="2"/>
  <c r="Q18" i="2"/>
  <c r="Z33" i="2"/>
  <c r="Y33" i="2"/>
  <c r="AA33" i="2"/>
  <c r="S18" i="2"/>
  <c r="Z5" i="2"/>
  <c r="R6" i="2"/>
  <c r="AA5" i="2"/>
  <c r="Y5" i="2"/>
  <c r="S6" i="2"/>
  <c r="Q6" i="2"/>
  <c r="S13" i="2"/>
  <c r="Q13" i="2"/>
  <c r="AA23" i="2"/>
  <c r="R13" i="2"/>
  <c r="Y23" i="2"/>
  <c r="Z23" i="2"/>
  <c r="Z4" i="2"/>
  <c r="Q16" i="2"/>
  <c r="AA4" i="2"/>
  <c r="Y4" i="2"/>
  <c r="R16" i="2"/>
  <c r="S16" i="2"/>
  <c r="Y21" i="2"/>
  <c r="R12" i="2"/>
  <c r="Q12" i="2"/>
  <c r="AA21" i="2"/>
  <c r="Z21" i="2"/>
  <c r="S12" i="2"/>
  <c r="AA29" i="2"/>
  <c r="Q26" i="2"/>
  <c r="Y29" i="2"/>
  <c r="S26" i="2"/>
  <c r="R26" i="2"/>
  <c r="Z29" i="2"/>
  <c r="AD10" i="1"/>
  <c r="BD22" i="1"/>
  <c r="Q20" i="2"/>
  <c r="R20" i="2"/>
  <c r="AA19" i="2"/>
  <c r="Z19" i="2"/>
  <c r="AH19" i="2" s="1"/>
  <c r="S20" i="2"/>
  <c r="Y19" i="2"/>
  <c r="AA10" i="2"/>
  <c r="Q17" i="2"/>
  <c r="Z10" i="2"/>
  <c r="Y10" i="2"/>
  <c r="S17" i="2"/>
  <c r="R17" i="2"/>
  <c r="AD17" i="1"/>
  <c r="BM6" i="1"/>
  <c r="BM7" i="1"/>
  <c r="Y30" i="2"/>
  <c r="Z30" i="2"/>
  <c r="S7" i="2"/>
  <c r="R7" i="2"/>
  <c r="AA30" i="2"/>
  <c r="AJ30" i="2" s="1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9" i="7"/>
  <c r="I9" i="7"/>
  <c r="J41" i="7"/>
  <c r="I41" i="7"/>
  <c r="L41" i="7"/>
  <c r="M41" i="7"/>
  <c r="K41" i="7"/>
  <c r="J9" i="7"/>
  <c r="L9" i="7"/>
  <c r="K9" i="7"/>
  <c r="M9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0" i="7"/>
  <c r="J64" i="7"/>
  <c r="N64" i="7"/>
  <c r="L64" i="7"/>
  <c r="K64" i="7"/>
  <c r="J30" i="7"/>
  <c r="L30" i="7"/>
  <c r="N30" i="7"/>
  <c r="M30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29" i="7"/>
  <c r="K29" i="7"/>
  <c r="L29" i="7"/>
  <c r="M29" i="7"/>
  <c r="O29" i="7"/>
  <c r="P29" i="7"/>
  <c r="Q29" i="7"/>
  <c r="R29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1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1" i="7"/>
  <c r="J21" i="7"/>
  <c r="P21" i="7"/>
  <c r="V21" i="7"/>
  <c r="W21" i="7"/>
  <c r="K21" i="7"/>
  <c r="L21" i="7"/>
  <c r="Q21" i="7"/>
  <c r="R21" i="7"/>
  <c r="X21" i="7"/>
  <c r="M21" i="7"/>
  <c r="S21" i="7"/>
  <c r="Y21" i="7"/>
  <c r="N21" i="7"/>
  <c r="T21" i="7"/>
  <c r="I21" i="7"/>
  <c r="O21" i="7"/>
  <c r="CE21" i="7"/>
  <c r="FW21" i="7"/>
  <c r="CR21" i="7"/>
  <c r="GJ21" i="7"/>
  <c r="DK21" i="7"/>
  <c r="AF21" i="7"/>
  <c r="DX21" i="7"/>
  <c r="AS21" i="7"/>
  <c r="EK21" i="7"/>
  <c r="BF21" i="7"/>
  <c r="EX21" i="7"/>
  <c r="CK21" i="7"/>
  <c r="GC21" i="7"/>
  <c r="CX21" i="7"/>
  <c r="GP21" i="7"/>
  <c r="DQ21" i="7"/>
  <c r="AL21" i="7"/>
  <c r="ED21" i="7"/>
  <c r="AY21" i="7"/>
  <c r="EQ21" i="7"/>
  <c r="BL21" i="7"/>
  <c r="FD21" i="7"/>
  <c r="CQ21" i="7"/>
  <c r="GI21" i="7"/>
  <c r="DD21" i="7"/>
  <c r="AE21" i="7"/>
  <c r="DW21" i="7"/>
  <c r="AR21" i="7"/>
  <c r="EJ21" i="7"/>
  <c r="BE21" i="7"/>
  <c r="EW21" i="7"/>
  <c r="BR21" i="7"/>
  <c r="FJ21" i="7"/>
  <c r="CW21" i="7"/>
  <c r="GO21" i="7"/>
  <c r="DJ21" i="7"/>
  <c r="AK21" i="7"/>
  <c r="EC21" i="7"/>
  <c r="AX21" i="7"/>
  <c r="EP21" i="7"/>
  <c r="BK21" i="7"/>
  <c r="FC21" i="7"/>
  <c r="BX21" i="7"/>
  <c r="FP21" i="7"/>
  <c r="DC21" i="7"/>
  <c r="GU21" i="7"/>
  <c r="DP21" i="7"/>
  <c r="AQ21" i="7"/>
  <c r="EI21" i="7"/>
  <c r="BD21" i="7"/>
  <c r="EV21" i="7"/>
  <c r="BQ21" i="7"/>
  <c r="FI21" i="7"/>
  <c r="CD21" i="7"/>
  <c r="FV21" i="7"/>
  <c r="DI21" i="7"/>
  <c r="AD21" i="7"/>
  <c r="DV21" i="7"/>
  <c r="AW21" i="7"/>
  <c r="EO21" i="7"/>
  <c r="BJ21" i="7"/>
  <c r="FB21" i="7"/>
  <c r="BW21" i="7"/>
  <c r="FO21" i="7"/>
  <c r="CJ21" i="7"/>
  <c r="GB21" i="7"/>
  <c r="DO21" i="7"/>
  <c r="AJ21" i="7"/>
  <c r="EB21" i="7"/>
  <c r="BC21" i="7"/>
  <c r="EU21" i="7"/>
  <c r="BP21" i="7"/>
  <c r="FH21" i="7"/>
  <c r="CC21" i="7"/>
  <c r="FU21" i="7"/>
  <c r="CP21" i="7"/>
  <c r="GH21" i="7"/>
  <c r="AC21" i="7"/>
  <c r="DU21" i="7"/>
  <c r="AP21" i="7"/>
  <c r="EH21" i="7"/>
  <c r="BI21" i="7"/>
  <c r="FA21" i="7"/>
  <c r="BV21" i="7"/>
  <c r="FN21" i="7"/>
  <c r="CI21" i="7"/>
  <c r="GA21" i="7"/>
  <c r="CV21" i="7"/>
  <c r="GN21" i="7"/>
  <c r="AI21" i="7"/>
  <c r="EA21" i="7"/>
  <c r="AV21" i="7"/>
  <c r="EN21" i="7"/>
  <c r="BO21" i="7"/>
  <c r="FG21" i="7"/>
  <c r="CB21" i="7"/>
  <c r="FT21" i="7"/>
  <c r="CO21" i="7"/>
  <c r="GG21" i="7"/>
  <c r="DB21" i="7"/>
  <c r="GT21" i="7"/>
  <c r="AO21" i="7"/>
  <c r="EG21" i="7"/>
  <c r="BB21" i="7"/>
  <c r="ET21" i="7"/>
  <c r="BU21" i="7"/>
  <c r="FM21" i="7"/>
  <c r="CH21" i="7"/>
  <c r="FZ21" i="7"/>
  <c r="CU21" i="7"/>
  <c r="GM21" i="7"/>
  <c r="DH21" i="7"/>
  <c r="AU21" i="7"/>
  <c r="EM21" i="7"/>
  <c r="BH21" i="7"/>
  <c r="EZ21" i="7"/>
  <c r="CA21" i="7"/>
  <c r="FS21" i="7"/>
  <c r="CN21" i="7"/>
  <c r="GF21" i="7"/>
  <c r="DA21" i="7"/>
  <c r="GS21" i="7"/>
  <c r="DN21" i="7"/>
  <c r="BA21" i="7"/>
  <c r="ES21" i="7"/>
  <c r="BN21" i="7"/>
  <c r="FF21" i="7"/>
  <c r="CG21" i="7"/>
  <c r="FY21" i="7"/>
  <c r="CT21" i="7"/>
  <c r="GL21" i="7"/>
  <c r="DG21" i="7"/>
  <c r="AB21" i="7"/>
  <c r="DT21" i="7"/>
  <c r="BG21" i="7"/>
  <c r="EY21" i="7"/>
  <c r="BT21" i="7"/>
  <c r="FL21" i="7"/>
  <c r="CM21" i="7"/>
  <c r="GE21" i="7"/>
  <c r="CZ21" i="7"/>
  <c r="GR21" i="7"/>
  <c r="DM21" i="7"/>
  <c r="AH21" i="7"/>
  <c r="DZ21" i="7"/>
  <c r="BM21" i="7"/>
  <c r="FE21" i="7"/>
  <c r="BZ21" i="7"/>
  <c r="FR21" i="7"/>
  <c r="CS21" i="7"/>
  <c r="GK21" i="7"/>
  <c r="DF21" i="7"/>
  <c r="AA21" i="7"/>
  <c r="DS21" i="7"/>
  <c r="AN21" i="7"/>
  <c r="EF21" i="7"/>
  <c r="BS21" i="7"/>
  <c r="FK21" i="7"/>
  <c r="CF21" i="7"/>
  <c r="FX21" i="7"/>
  <c r="CY21" i="7"/>
  <c r="GQ21" i="7"/>
  <c r="DL21" i="7"/>
  <c r="AG21" i="7"/>
  <c r="DY21" i="7"/>
  <c r="AT21" i="7"/>
  <c r="EL21" i="7"/>
  <c r="BY21" i="7"/>
  <c r="FQ21" i="7"/>
  <c r="CL21" i="7"/>
  <c r="GD21" i="7"/>
  <c r="DE21" i="7"/>
  <c r="Z21" i="7"/>
  <c r="DR21" i="7"/>
  <c r="AM21" i="7"/>
  <c r="EE21" i="7"/>
  <c r="AZ21" i="7"/>
  <c r="ER21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1" i="7"/>
  <c r="J11" i="7"/>
  <c r="K11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8" i="7"/>
  <c r="J38" i="7"/>
  <c r="J5" i="7"/>
  <c r="M38" i="7"/>
  <c r="L38" i="7"/>
  <c r="K38" i="7"/>
  <c r="M5" i="7"/>
  <c r="L5" i="7"/>
  <c r="K5" i="7"/>
  <c r="L55" i="7"/>
  <c r="K55" i="7"/>
  <c r="M55" i="7"/>
  <c r="M23" i="7"/>
  <c r="K23" i="7"/>
  <c r="L23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9" i="7"/>
  <c r="DS9" i="7"/>
  <c r="BL9" i="7"/>
  <c r="BT9" i="7"/>
  <c r="FL9" i="7"/>
  <c r="BV9" i="7"/>
  <c r="CQ9" i="7"/>
  <c r="CS9" i="7"/>
  <c r="CE9" i="7"/>
  <c r="BO9" i="7"/>
  <c r="BA9" i="7"/>
  <c r="EL9" i="7"/>
  <c r="AG9" i="7"/>
  <c r="DY9" i="7"/>
  <c r="BR9" i="7"/>
  <c r="BZ9" i="7"/>
  <c r="FR9" i="7"/>
  <c r="CB9" i="7"/>
  <c r="DC9" i="7"/>
  <c r="DE9" i="7"/>
  <c r="CV9" i="7"/>
  <c r="CG9" i="7"/>
  <c r="BS9" i="7"/>
  <c r="GH9" i="7"/>
  <c r="AM9" i="7"/>
  <c r="EE9" i="7"/>
  <c r="BX9" i="7"/>
  <c r="CF9" i="7"/>
  <c r="FX9" i="7"/>
  <c r="CH9" i="7"/>
  <c r="DO9" i="7"/>
  <c r="DQ9" i="7"/>
  <c r="DH9" i="7"/>
  <c r="CW9" i="7"/>
  <c r="CK9" i="7"/>
  <c r="BU9" i="7"/>
  <c r="AS9" i="7"/>
  <c r="EK9" i="7"/>
  <c r="CD9" i="7"/>
  <c r="CL9" i="7"/>
  <c r="GD9" i="7"/>
  <c r="CN9" i="7"/>
  <c r="EA9" i="7"/>
  <c r="EC9" i="7"/>
  <c r="DT9" i="7"/>
  <c r="DI9" i="7"/>
  <c r="CY9" i="7"/>
  <c r="EU9" i="7"/>
  <c r="AY9" i="7"/>
  <c r="EQ9" i="7"/>
  <c r="CJ9" i="7"/>
  <c r="CR9" i="7"/>
  <c r="GJ9" i="7"/>
  <c r="CT9" i="7"/>
  <c r="EM9" i="7"/>
  <c r="EO9" i="7"/>
  <c r="EF9" i="7"/>
  <c r="DU9" i="7"/>
  <c r="DK9" i="7"/>
  <c r="GO9" i="7"/>
  <c r="BE9" i="7"/>
  <c r="EW9" i="7"/>
  <c r="CP9" i="7"/>
  <c r="CX9" i="7"/>
  <c r="GP9" i="7"/>
  <c r="CZ9" i="7"/>
  <c r="EV9" i="7"/>
  <c r="EX9" i="7"/>
  <c r="EP9" i="7"/>
  <c r="EG9" i="7"/>
  <c r="DW9" i="7"/>
  <c r="CM9" i="7"/>
  <c r="BK9" i="7"/>
  <c r="FC9" i="7"/>
  <c r="DD9" i="7"/>
  <c r="N9" i="7"/>
  <c r="DF9" i="7"/>
  <c r="FE9" i="7"/>
  <c r="FG9" i="7"/>
  <c r="EY9" i="7"/>
  <c r="ER9" i="7"/>
  <c r="EI9" i="7"/>
  <c r="FD9" i="7"/>
  <c r="BQ9" i="7"/>
  <c r="FI9" i="7"/>
  <c r="R9" i="7"/>
  <c r="DJ9" i="7"/>
  <c r="T9" i="7"/>
  <c r="DL9" i="7"/>
  <c r="FN9" i="7"/>
  <c r="FO9" i="7"/>
  <c r="FH9" i="7"/>
  <c r="FA9" i="7"/>
  <c r="ES9" i="7"/>
  <c r="DB9" i="7"/>
  <c r="BW9" i="7"/>
  <c r="P9" i="7"/>
  <c r="X9" i="7"/>
  <c r="DP9" i="7"/>
  <c r="Z9" i="7"/>
  <c r="DR9" i="7"/>
  <c r="FU9" i="7"/>
  <c r="FV9" i="7"/>
  <c r="FP9" i="7"/>
  <c r="FJ9" i="7"/>
  <c r="FB9" i="7"/>
  <c r="FM9" i="7"/>
  <c r="CC9" i="7"/>
  <c r="V9" i="7"/>
  <c r="AD9" i="7"/>
  <c r="DV9" i="7"/>
  <c r="AF9" i="7"/>
  <c r="DX9" i="7"/>
  <c r="GB9" i="7"/>
  <c r="GC9" i="7"/>
  <c r="FW9" i="7"/>
  <c r="FQ9" i="7"/>
  <c r="FK9" i="7"/>
  <c r="S9" i="7"/>
  <c r="CI9" i="7"/>
  <c r="AB9" i="7"/>
  <c r="AJ9" i="7"/>
  <c r="EB9" i="7"/>
  <c r="AL9" i="7"/>
  <c r="ED9" i="7"/>
  <c r="GI9" i="7"/>
  <c r="GK9" i="7"/>
  <c r="GE9" i="7"/>
  <c r="FY9" i="7"/>
  <c r="FS9" i="7"/>
  <c r="DN9" i="7"/>
  <c r="CO9" i="7"/>
  <c r="AH9" i="7"/>
  <c r="AP9" i="7"/>
  <c r="EH9" i="7"/>
  <c r="AR9" i="7"/>
  <c r="EJ9" i="7"/>
  <c r="GQ9" i="7"/>
  <c r="GR9" i="7"/>
  <c r="GL9" i="7"/>
  <c r="GF9" i="7"/>
  <c r="FZ9" i="7"/>
  <c r="FT9" i="7"/>
  <c r="CU9" i="7"/>
  <c r="AN9" i="7"/>
  <c r="AV9" i="7"/>
  <c r="EN9" i="7"/>
  <c r="AX9" i="7"/>
  <c r="W9" i="7"/>
  <c r="Y9" i="7"/>
  <c r="GS9" i="7"/>
  <c r="GM9" i="7"/>
  <c r="GG9" i="7"/>
  <c r="AK9" i="7"/>
  <c r="DA9" i="7"/>
  <c r="AT9" i="7"/>
  <c r="BB9" i="7"/>
  <c r="ET9" i="7"/>
  <c r="BD9" i="7"/>
  <c r="AO9" i="7"/>
  <c r="AQ9" i="7"/>
  <c r="AC9" i="7"/>
  <c r="GT9" i="7"/>
  <c r="GN9" i="7"/>
  <c r="DZ9" i="7"/>
  <c r="O9" i="7"/>
  <c r="DG9" i="7"/>
  <c r="AZ9" i="7"/>
  <c r="BH9" i="7"/>
  <c r="EZ9" i="7"/>
  <c r="BJ9" i="7"/>
  <c r="BG9" i="7"/>
  <c r="BI9" i="7"/>
  <c r="AU9" i="7"/>
  <c r="AE9" i="7"/>
  <c r="Q9" i="7"/>
  <c r="GU9" i="7"/>
  <c r="GA9" i="7"/>
  <c r="U9" i="7"/>
  <c r="DM9" i="7"/>
  <c r="BF9" i="7"/>
  <c r="BN9" i="7"/>
  <c r="FF9" i="7"/>
  <c r="BP9" i="7"/>
  <c r="BY9" i="7"/>
  <c r="CA9" i="7"/>
  <c r="BM9" i="7"/>
  <c r="AW9" i="7"/>
  <c r="AI9" i="7"/>
  <c r="BC9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9" i="7"/>
  <c r="DT29" i="7"/>
  <c r="AC29" i="7"/>
  <c r="DU29" i="7"/>
  <c r="AD29" i="7"/>
  <c r="DV29" i="7"/>
  <c r="AK29" i="7"/>
  <c r="EC29" i="7"/>
  <c r="CT29" i="7"/>
  <c r="AF29" i="7"/>
  <c r="EK29" i="7"/>
  <c r="AM29" i="7"/>
  <c r="AH29" i="7"/>
  <c r="DZ29" i="7"/>
  <c r="AI29" i="7"/>
  <c r="EA29" i="7"/>
  <c r="AJ29" i="7"/>
  <c r="EB29" i="7"/>
  <c r="AQ29" i="7"/>
  <c r="EI29" i="7"/>
  <c r="DL29" i="7"/>
  <c r="AX29" i="7"/>
  <c r="FC29" i="7"/>
  <c r="BE29" i="7"/>
  <c r="AN29" i="7"/>
  <c r="EF29" i="7"/>
  <c r="AO29" i="7"/>
  <c r="EG29" i="7"/>
  <c r="AP29" i="7"/>
  <c r="EH29" i="7"/>
  <c r="AW29" i="7"/>
  <c r="EO29" i="7"/>
  <c r="ED29" i="7"/>
  <c r="BP29" i="7"/>
  <c r="FU29" i="7"/>
  <c r="BW29" i="7"/>
  <c r="AT29" i="7"/>
  <c r="EL29" i="7"/>
  <c r="AU29" i="7"/>
  <c r="EM29" i="7"/>
  <c r="AV29" i="7"/>
  <c r="EN29" i="7"/>
  <c r="BC29" i="7"/>
  <c r="EU29" i="7"/>
  <c r="EV29" i="7"/>
  <c r="CH29" i="7"/>
  <c r="GM29" i="7"/>
  <c r="CO29" i="7"/>
  <c r="AZ29" i="7"/>
  <c r="ER29" i="7"/>
  <c r="BA29" i="7"/>
  <c r="ES29" i="7"/>
  <c r="BB29" i="7"/>
  <c r="ET29" i="7"/>
  <c r="BI29" i="7"/>
  <c r="FA29" i="7"/>
  <c r="FN29" i="7"/>
  <c r="CZ29" i="7"/>
  <c r="T29" i="7"/>
  <c r="DG29" i="7"/>
  <c r="BF29" i="7"/>
  <c r="EX29" i="7"/>
  <c r="BG29" i="7"/>
  <c r="EY29" i="7"/>
  <c r="BH29" i="7"/>
  <c r="EZ29" i="7"/>
  <c r="BO29" i="7"/>
  <c r="FG29" i="7"/>
  <c r="GF29" i="7"/>
  <c r="DR29" i="7"/>
  <c r="AL29" i="7"/>
  <c r="DY29" i="7"/>
  <c r="BL29" i="7"/>
  <c r="FD29" i="7"/>
  <c r="BM29" i="7"/>
  <c r="FE29" i="7"/>
  <c r="BN29" i="7"/>
  <c r="FF29" i="7"/>
  <c r="BU29" i="7"/>
  <c r="FM29" i="7"/>
  <c r="AA29" i="7"/>
  <c r="EJ29" i="7"/>
  <c r="BD29" i="7"/>
  <c r="EQ29" i="7"/>
  <c r="BR29" i="7"/>
  <c r="FJ29" i="7"/>
  <c r="BS29" i="7"/>
  <c r="FK29" i="7"/>
  <c r="BT29" i="7"/>
  <c r="FL29" i="7"/>
  <c r="CA29" i="7"/>
  <c r="FS29" i="7"/>
  <c r="AS29" i="7"/>
  <c r="FB29" i="7"/>
  <c r="BV29" i="7"/>
  <c r="FI29" i="7"/>
  <c r="BX29" i="7"/>
  <c r="FP29" i="7"/>
  <c r="BY29" i="7"/>
  <c r="FQ29" i="7"/>
  <c r="BZ29" i="7"/>
  <c r="FR29" i="7"/>
  <c r="CG29" i="7"/>
  <c r="FY29" i="7"/>
  <c r="BK29" i="7"/>
  <c r="FT29" i="7"/>
  <c r="CN29" i="7"/>
  <c r="GA29" i="7"/>
  <c r="CD29" i="7"/>
  <c r="FV29" i="7"/>
  <c r="CE29" i="7"/>
  <c r="FW29" i="7"/>
  <c r="CF29" i="7"/>
  <c r="FX29" i="7"/>
  <c r="CM29" i="7"/>
  <c r="GE29" i="7"/>
  <c r="CC29" i="7"/>
  <c r="GL29" i="7"/>
  <c r="DF29" i="7"/>
  <c r="GS29" i="7"/>
  <c r="CJ29" i="7"/>
  <c r="GB29" i="7"/>
  <c r="CK29" i="7"/>
  <c r="GC29" i="7"/>
  <c r="CL29" i="7"/>
  <c r="GD29" i="7"/>
  <c r="CS29" i="7"/>
  <c r="GK29" i="7"/>
  <c r="CU29" i="7"/>
  <c r="AG29" i="7"/>
  <c r="DX29" i="7"/>
  <c r="CP29" i="7"/>
  <c r="GH29" i="7"/>
  <c r="CQ29" i="7"/>
  <c r="GI29" i="7"/>
  <c r="CR29" i="7"/>
  <c r="GJ29" i="7"/>
  <c r="CY29" i="7"/>
  <c r="GQ29" i="7"/>
  <c r="DM29" i="7"/>
  <c r="AY29" i="7"/>
  <c r="EP29" i="7"/>
  <c r="CV29" i="7"/>
  <c r="GN29" i="7"/>
  <c r="CW29" i="7"/>
  <c r="GO29" i="7"/>
  <c r="CX29" i="7"/>
  <c r="GP29" i="7"/>
  <c r="DE29" i="7"/>
  <c r="Z29" i="7"/>
  <c r="EE29" i="7"/>
  <c r="BQ29" i="7"/>
  <c r="FH29" i="7"/>
  <c r="DB29" i="7"/>
  <c r="GT29" i="7"/>
  <c r="DC29" i="7"/>
  <c r="GU29" i="7"/>
  <c r="DD29" i="7"/>
  <c r="S29" i="7"/>
  <c r="DK29" i="7"/>
  <c r="AR29" i="7"/>
  <c r="EW29" i="7"/>
  <c r="CI29" i="7"/>
  <c r="FZ29" i="7"/>
  <c r="DH29" i="7"/>
  <c r="DI29" i="7"/>
  <c r="DJ29" i="7"/>
  <c r="Y29" i="7"/>
  <c r="DQ29" i="7"/>
  <c r="BJ29" i="7"/>
  <c r="FO29" i="7"/>
  <c r="DA29" i="7"/>
  <c r="GR29" i="7"/>
  <c r="V29" i="7"/>
  <c r="DN29" i="7"/>
  <c r="W29" i="7"/>
  <c r="DO29" i="7"/>
  <c r="X29" i="7"/>
  <c r="DP29" i="7"/>
  <c r="AE29" i="7"/>
  <c r="DW29" i="7"/>
  <c r="CB29" i="7"/>
  <c r="GG29" i="7"/>
  <c r="DS29" i="7"/>
  <c r="U29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2" i="7"/>
  <c r="DN22" i="7"/>
  <c r="Q22" i="7"/>
  <c r="DI22" i="7"/>
  <c r="L22" i="7"/>
  <c r="DD22" i="7"/>
  <c r="M22" i="7"/>
  <c r="DE22" i="7"/>
  <c r="N22" i="7"/>
  <c r="DF22" i="7"/>
  <c r="O22" i="7"/>
  <c r="DG22" i="7"/>
  <c r="AB22" i="7"/>
  <c r="AH22" i="7"/>
  <c r="DZ22" i="7"/>
  <c r="AC22" i="7"/>
  <c r="DU22" i="7"/>
  <c r="X22" i="7"/>
  <c r="DP22" i="7"/>
  <c r="Y22" i="7"/>
  <c r="DQ22" i="7"/>
  <c r="Z22" i="7"/>
  <c r="DR22" i="7"/>
  <c r="AN22" i="7"/>
  <c r="AT22" i="7"/>
  <c r="EL22" i="7"/>
  <c r="AO22" i="7"/>
  <c r="EG22" i="7"/>
  <c r="AJ22" i="7"/>
  <c r="EB22" i="7"/>
  <c r="AK22" i="7"/>
  <c r="EC22" i="7"/>
  <c r="AL22" i="7"/>
  <c r="ED22" i="7"/>
  <c r="AM22" i="7"/>
  <c r="EE22" i="7"/>
  <c r="AZ22" i="7"/>
  <c r="ER22" i="7"/>
  <c r="AU22" i="7"/>
  <c r="EM22" i="7"/>
  <c r="AP22" i="7"/>
  <c r="EH22" i="7"/>
  <c r="AQ22" i="7"/>
  <c r="EI22" i="7"/>
  <c r="AR22" i="7"/>
  <c r="EJ22" i="7"/>
  <c r="AS22" i="7"/>
  <c r="BF22" i="7"/>
  <c r="EX22" i="7"/>
  <c r="BA22" i="7"/>
  <c r="ES22" i="7"/>
  <c r="AV22" i="7"/>
  <c r="EN22" i="7"/>
  <c r="AW22" i="7"/>
  <c r="EO22" i="7"/>
  <c r="AX22" i="7"/>
  <c r="BL22" i="7"/>
  <c r="FD22" i="7"/>
  <c r="BG22" i="7"/>
  <c r="EY22" i="7"/>
  <c r="BB22" i="7"/>
  <c r="ET22" i="7"/>
  <c r="BC22" i="7"/>
  <c r="EU22" i="7"/>
  <c r="BD22" i="7"/>
  <c r="EV22" i="7"/>
  <c r="BE22" i="7"/>
  <c r="EW22" i="7"/>
  <c r="BR22" i="7"/>
  <c r="FJ22" i="7"/>
  <c r="BM22" i="7"/>
  <c r="BX22" i="7"/>
  <c r="FP22" i="7"/>
  <c r="BS22" i="7"/>
  <c r="FK22" i="7"/>
  <c r="BN22" i="7"/>
  <c r="CD22" i="7"/>
  <c r="FV22" i="7"/>
  <c r="BY22" i="7"/>
  <c r="FQ22" i="7"/>
  <c r="BT22" i="7"/>
  <c r="FL22" i="7"/>
  <c r="BU22" i="7"/>
  <c r="FM22" i="7"/>
  <c r="BV22" i="7"/>
  <c r="FN22" i="7"/>
  <c r="BW22" i="7"/>
  <c r="FO22" i="7"/>
  <c r="CJ22" i="7"/>
  <c r="GB22" i="7"/>
  <c r="CE22" i="7"/>
  <c r="FW22" i="7"/>
  <c r="BZ22" i="7"/>
  <c r="FR22" i="7"/>
  <c r="CA22" i="7"/>
  <c r="FS22" i="7"/>
  <c r="CB22" i="7"/>
  <c r="FT22" i="7"/>
  <c r="CC22" i="7"/>
  <c r="FU22" i="7"/>
  <c r="CP22" i="7"/>
  <c r="GH22" i="7"/>
  <c r="CK22" i="7"/>
  <c r="GC22" i="7"/>
  <c r="CF22" i="7"/>
  <c r="FX22" i="7"/>
  <c r="CG22" i="7"/>
  <c r="FY22" i="7"/>
  <c r="CH22" i="7"/>
  <c r="FZ22" i="7"/>
  <c r="CI22" i="7"/>
  <c r="CV22" i="7"/>
  <c r="GN22" i="7"/>
  <c r="CQ22" i="7"/>
  <c r="GI22" i="7"/>
  <c r="CL22" i="7"/>
  <c r="GD22" i="7"/>
  <c r="CM22" i="7"/>
  <c r="GE22" i="7"/>
  <c r="CN22" i="7"/>
  <c r="GF22" i="7"/>
  <c r="DB22" i="7"/>
  <c r="GT22" i="7"/>
  <c r="CW22" i="7"/>
  <c r="GO22" i="7"/>
  <c r="CR22" i="7"/>
  <c r="GJ22" i="7"/>
  <c r="CS22" i="7"/>
  <c r="GK22" i="7"/>
  <c r="CT22" i="7"/>
  <c r="GL22" i="7"/>
  <c r="CU22" i="7"/>
  <c r="GM22" i="7"/>
  <c r="P22" i="7"/>
  <c r="DH22" i="7"/>
  <c r="K22" i="7"/>
  <c r="DC22" i="7"/>
  <c r="GU22" i="7"/>
  <c r="CX22" i="7"/>
  <c r="GP22" i="7"/>
  <c r="CY22" i="7"/>
  <c r="GQ22" i="7"/>
  <c r="CZ22" i="7"/>
  <c r="GR22" i="7"/>
  <c r="DA22" i="7"/>
  <c r="GS22" i="7"/>
  <c r="AI22" i="7"/>
  <c r="DW22" i="7"/>
  <c r="BK22" i="7"/>
  <c r="DO22" i="7"/>
  <c r="FA22" i="7"/>
  <c r="BQ22" i="7"/>
  <c r="EA22" i="7"/>
  <c r="FG22" i="7"/>
  <c r="CO22" i="7"/>
  <c r="FE22" i="7"/>
  <c r="T22" i="7"/>
  <c r="DM22" i="7"/>
  <c r="R22" i="7"/>
  <c r="AF22" i="7"/>
  <c r="DS22" i="7"/>
  <c r="AD22" i="7"/>
  <c r="BJ22" i="7"/>
  <c r="DY22" i="7"/>
  <c r="BH22" i="7"/>
  <c r="BP22" i="7"/>
  <c r="EK22" i="7"/>
  <c r="DJ22" i="7"/>
  <c r="DL22" i="7"/>
  <c r="EQ22" i="7"/>
  <c r="DV22" i="7"/>
  <c r="DX22" i="7"/>
  <c r="FC22" i="7"/>
  <c r="EZ22" i="7"/>
  <c r="EP22" i="7"/>
  <c r="FI22" i="7"/>
  <c r="FF22" i="7"/>
  <c r="FB22" i="7"/>
  <c r="GA22" i="7"/>
  <c r="S22" i="7"/>
  <c r="FH22" i="7"/>
  <c r="GG22" i="7"/>
  <c r="AE22" i="7"/>
  <c r="U22" i="7"/>
  <c r="DT22" i="7"/>
  <c r="BI22" i="7"/>
  <c r="AA22" i="7"/>
  <c r="EF22" i="7"/>
  <c r="BO22" i="7"/>
  <c r="AG22" i="7"/>
  <c r="W22" i="7"/>
  <c r="DK22" i="7"/>
  <c r="AY22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2" i="7"/>
  <c r="DK12" i="7"/>
  <c r="GN12" i="7"/>
  <c r="CX12" i="7"/>
  <c r="GA12" i="7"/>
  <c r="CK12" i="7"/>
  <c r="EX12" i="7"/>
  <c r="AB12" i="7"/>
  <c r="DE12" i="7"/>
  <c r="GH12" i="7"/>
  <c r="CR12" i="7"/>
  <c r="FU12" i="7"/>
  <c r="U12" i="7"/>
  <c r="EA12" i="7"/>
  <c r="AK12" i="7"/>
  <c r="DN12" i="7"/>
  <c r="GQ12" i="7"/>
  <c r="DA12" i="7"/>
  <c r="FN12" i="7"/>
  <c r="AR12" i="7"/>
  <c r="DU12" i="7"/>
  <c r="AE12" i="7"/>
  <c r="DH12" i="7"/>
  <c r="GK12" i="7"/>
  <c r="J12" i="7"/>
  <c r="EQ12" i="7"/>
  <c r="BA12" i="7"/>
  <c r="ED12" i="7"/>
  <c r="AN12" i="7"/>
  <c r="DQ12" i="7"/>
  <c r="GD12" i="7"/>
  <c r="BH12" i="7"/>
  <c r="EK12" i="7"/>
  <c r="AU12" i="7"/>
  <c r="DX12" i="7"/>
  <c r="AH12" i="7"/>
  <c r="P12" i="7"/>
  <c r="FG12" i="7"/>
  <c r="BQ12" i="7"/>
  <c r="ET12" i="7"/>
  <c r="BD12" i="7"/>
  <c r="EG12" i="7"/>
  <c r="GT12" i="7"/>
  <c r="BX12" i="7"/>
  <c r="FA12" i="7"/>
  <c r="BK12" i="7"/>
  <c r="EN12" i="7"/>
  <c r="AX12" i="7"/>
  <c r="V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K12" i="7"/>
  <c r="AJ12" i="7"/>
  <c r="DM12" i="7"/>
  <c r="GP12" i="7"/>
  <c r="CZ12" i="7"/>
  <c r="GC12" i="7"/>
  <c r="BG12" i="7"/>
  <c r="DT12" i="7"/>
  <c r="AD12" i="7"/>
  <c r="DG12" i="7"/>
  <c r="GJ12" i="7"/>
  <c r="CT12" i="7"/>
  <c r="Q12" i="7"/>
  <c r="AZ12" i="7"/>
  <c r="EC12" i="7"/>
  <c r="AM12" i="7"/>
  <c r="DP12" i="7"/>
  <c r="GS12" i="7"/>
  <c r="BW12" i="7"/>
  <c r="EJ12" i="7"/>
  <c r="AT12" i="7"/>
  <c r="DW12" i="7"/>
  <c r="AG12" i="7"/>
  <c r="DJ12" i="7"/>
  <c r="W12" i="7"/>
  <c r="BP12" i="7"/>
  <c r="ES12" i="7"/>
  <c r="BC12" i="7"/>
  <c r="EF12" i="7"/>
  <c r="Z12" i="7"/>
  <c r="CM12" i="7"/>
  <c r="EZ12" i="7"/>
  <c r="BJ12" i="7"/>
  <c r="EM12" i="7"/>
  <c r="AW12" i="7"/>
  <c r="DZ12" i="7"/>
  <c r="M12" i="7"/>
  <c r="CF12" i="7"/>
  <c r="FI12" i="7"/>
  <c r="BS12" i="7"/>
  <c r="EV12" i="7"/>
  <c r="AP12" i="7"/>
  <c r="DC12" i="7"/>
  <c r="FP12" i="7"/>
  <c r="BZ12" i="7"/>
  <c r="FC12" i="7"/>
  <c r="BM12" i="7"/>
  <c r="EP12" i="7"/>
  <c r="S12" i="7"/>
  <c r="L12" i="7"/>
  <c r="CV12" i="7"/>
  <c r="FY12" i="7"/>
  <c r="CI12" i="7"/>
  <c r="FL12" i="7"/>
  <c r="BF12" i="7"/>
  <c r="DS12" i="7"/>
  <c r="GF12" i="7"/>
  <c r="CP12" i="7"/>
  <c r="FS12" i="7"/>
  <c r="CC12" i="7"/>
  <c r="FF12" i="7"/>
  <c r="Y12" i="7"/>
  <c r="R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X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N12" i="7"/>
  <c r="BO12" i="7"/>
  <c r="ER12" i="7"/>
  <c r="BB12" i="7"/>
  <c r="EE12" i="7"/>
  <c r="AO12" i="7"/>
  <c r="DB12" i="7"/>
  <c r="FO12" i="7"/>
  <c r="BI12" i="7"/>
  <c r="EL12" i="7"/>
  <c r="AV12" i="7"/>
  <c r="DY12" i="7"/>
  <c r="T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1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1" i="7"/>
  <c r="EA11" i="7"/>
  <c r="AP11" i="7"/>
  <c r="EH11" i="7"/>
  <c r="BC11" i="7"/>
  <c r="EU11" i="7"/>
  <c r="BJ11" i="7"/>
  <c r="FB11" i="7"/>
  <c r="BQ11" i="7"/>
  <c r="FI11" i="7"/>
  <c r="BX11" i="7"/>
  <c r="FP11" i="7"/>
  <c r="AO11" i="7"/>
  <c r="EG11" i="7"/>
  <c r="AV11" i="7"/>
  <c r="EN11" i="7"/>
  <c r="BI11" i="7"/>
  <c r="FA11" i="7"/>
  <c r="BP11" i="7"/>
  <c r="FH11" i="7"/>
  <c r="AU11" i="7"/>
  <c r="EM11" i="7"/>
  <c r="BB11" i="7"/>
  <c r="ET11" i="7"/>
  <c r="BO11" i="7"/>
  <c r="FG11" i="7"/>
  <c r="BV11" i="7"/>
  <c r="FN11" i="7"/>
  <c r="CC11" i="7"/>
  <c r="FU11" i="7"/>
  <c r="CJ11" i="7"/>
  <c r="GB11" i="7"/>
  <c r="BA11" i="7"/>
  <c r="ES11" i="7"/>
  <c r="BH11" i="7"/>
  <c r="EZ11" i="7"/>
  <c r="BU11" i="7"/>
  <c r="FM11" i="7"/>
  <c r="BG11" i="7"/>
  <c r="EY11" i="7"/>
  <c r="BN11" i="7"/>
  <c r="FF11" i="7"/>
  <c r="CA11" i="7"/>
  <c r="FS11" i="7"/>
  <c r="CH11" i="7"/>
  <c r="FZ11" i="7"/>
  <c r="CO11" i="7"/>
  <c r="GG11" i="7"/>
  <c r="CV11" i="7"/>
  <c r="GN11" i="7"/>
  <c r="BM11" i="7"/>
  <c r="FE11" i="7"/>
  <c r="BT11" i="7"/>
  <c r="FL11" i="7"/>
  <c r="CG11" i="7"/>
  <c r="FY11" i="7"/>
  <c r="CN11" i="7"/>
  <c r="GF11" i="7"/>
  <c r="CU11" i="7"/>
  <c r="GM11" i="7"/>
  <c r="DB11" i="7"/>
  <c r="GT11" i="7"/>
  <c r="BS11" i="7"/>
  <c r="FK11" i="7"/>
  <c r="BZ11" i="7"/>
  <c r="FR11" i="7"/>
  <c r="CM11" i="7"/>
  <c r="GE11" i="7"/>
  <c r="CT11" i="7"/>
  <c r="GL11" i="7"/>
  <c r="DA11" i="7"/>
  <c r="GS11" i="7"/>
  <c r="DH11" i="7"/>
  <c r="BY11" i="7"/>
  <c r="FQ11" i="7"/>
  <c r="CF11" i="7"/>
  <c r="FX11" i="7"/>
  <c r="CS11" i="7"/>
  <c r="GK11" i="7"/>
  <c r="CZ11" i="7"/>
  <c r="GR11" i="7"/>
  <c r="DG11" i="7"/>
  <c r="V11" i="7"/>
  <c r="DN11" i="7"/>
  <c r="CE11" i="7"/>
  <c r="FW11" i="7"/>
  <c r="CL11" i="7"/>
  <c r="GD11" i="7"/>
  <c r="CY11" i="7"/>
  <c r="GQ11" i="7"/>
  <c r="DF11" i="7"/>
  <c r="CK11" i="7"/>
  <c r="GC11" i="7"/>
  <c r="CR11" i="7"/>
  <c r="GJ11" i="7"/>
  <c r="DE11" i="7"/>
  <c r="T11" i="7"/>
  <c r="DL11" i="7"/>
  <c r="AA11" i="7"/>
  <c r="DS11" i="7"/>
  <c r="AH11" i="7"/>
  <c r="DZ11" i="7"/>
  <c r="CQ11" i="7"/>
  <c r="GI11" i="7"/>
  <c r="CX11" i="7"/>
  <c r="GP11" i="7"/>
  <c r="DK11" i="7"/>
  <c r="Z11" i="7"/>
  <c r="DR11" i="7"/>
  <c r="AG11" i="7"/>
  <c r="DY11" i="7"/>
  <c r="AN11" i="7"/>
  <c r="EF11" i="7"/>
  <c r="CW11" i="7"/>
  <c r="GO11" i="7"/>
  <c r="DD11" i="7"/>
  <c r="Y11" i="7"/>
  <c r="DQ11" i="7"/>
  <c r="AF11" i="7"/>
  <c r="DX11" i="7"/>
  <c r="AM11" i="7"/>
  <c r="EE11" i="7"/>
  <c r="AT11" i="7"/>
  <c r="EL11" i="7"/>
  <c r="DC11" i="7"/>
  <c r="GU11" i="7"/>
  <c r="DJ11" i="7"/>
  <c r="AE11" i="7"/>
  <c r="DW11" i="7"/>
  <c r="AL11" i="7"/>
  <c r="ED11" i="7"/>
  <c r="AS11" i="7"/>
  <c r="EK11" i="7"/>
  <c r="AZ11" i="7"/>
  <c r="ER11" i="7"/>
  <c r="DI11" i="7"/>
  <c r="X11" i="7"/>
  <c r="DP11" i="7"/>
  <c r="AK11" i="7"/>
  <c r="EC11" i="7"/>
  <c r="AR11" i="7"/>
  <c r="EJ11" i="7"/>
  <c r="AY11" i="7"/>
  <c r="EQ11" i="7"/>
  <c r="AC11" i="7"/>
  <c r="DU11" i="7"/>
  <c r="AJ11" i="7"/>
  <c r="EB11" i="7"/>
  <c r="AW11" i="7"/>
  <c r="EO11" i="7"/>
  <c r="BD11" i="7"/>
  <c r="EV11" i="7"/>
  <c r="BK11" i="7"/>
  <c r="FC11" i="7"/>
  <c r="BR11" i="7"/>
  <c r="FJ11" i="7"/>
  <c r="FT11" i="7"/>
  <c r="FD11" i="7"/>
  <c r="N11" i="7"/>
  <c r="U11" i="7"/>
  <c r="FV11" i="7"/>
  <c r="O11" i="7"/>
  <c r="BE11" i="7"/>
  <c r="GH11" i="7"/>
  <c r="P11" i="7"/>
  <c r="BW11" i="7"/>
  <c r="CI11" i="7"/>
  <c r="DM11" i="7"/>
  <c r="EW11" i="7"/>
  <c r="W11" i="7"/>
  <c r="FO11" i="7"/>
  <c r="DO11" i="7"/>
  <c r="GA11" i="7"/>
  <c r="AD11" i="7"/>
  <c r="AB11" i="7"/>
  <c r="DV11" i="7"/>
  <c r="BF11" i="7"/>
  <c r="AQ11" i="7"/>
  <c r="BL11" i="7"/>
  <c r="EI11" i="7"/>
  <c r="CD11" i="7"/>
  <c r="Q11" i="7"/>
  <c r="AX11" i="7"/>
  <c r="CP11" i="7"/>
  <c r="R11" i="7"/>
  <c r="CB11" i="7"/>
  <c r="DT11" i="7"/>
  <c r="M11" i="7"/>
  <c r="EP11" i="7"/>
  <c r="EX11" i="7"/>
  <c r="S11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3" i="2"/>
  <c r="BN2" i="2"/>
  <c r="BN28" i="2"/>
  <c r="BN20" i="2"/>
  <c r="BN9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4" i="2"/>
  <c r="H36" i="2"/>
  <c r="H35" i="2"/>
  <c r="H37" i="2"/>
  <c r="V35" i="2"/>
  <c r="V37" i="2"/>
  <c r="V36" i="2"/>
  <c r="T37" i="2"/>
  <c r="T36" i="2"/>
  <c r="T35" i="2"/>
  <c r="O37" i="2"/>
  <c r="O36" i="2"/>
  <c r="O35" i="2"/>
  <c r="G24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0" i="2"/>
  <c r="BL9" i="2"/>
  <c r="AD225" i="1"/>
  <c r="AD164" i="1"/>
  <c r="AD168" i="1"/>
  <c r="AC170" i="1"/>
  <c r="AC156" i="1"/>
  <c r="AJ26" i="2"/>
  <c r="AC231" i="1"/>
  <c r="BL13" i="2"/>
  <c r="AD239" i="1"/>
  <c r="AC236" i="1"/>
  <c r="AC150" i="1"/>
  <c r="AC122" i="1"/>
  <c r="AD123" i="1"/>
  <c r="AC102" i="1"/>
  <c r="BL28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4" i="2"/>
  <c r="AH9" i="2"/>
  <c r="BO31" i="2"/>
  <c r="BO5" i="2"/>
  <c r="BO21" i="2"/>
  <c r="AJ10" i="2"/>
  <c r="AJ20" i="2"/>
  <c r="AH20" i="2"/>
  <c r="AH28" i="2"/>
  <c r="BO26" i="2"/>
  <c r="AJ22" i="2"/>
  <c r="AJ28" i="2"/>
  <c r="BO10" i="2"/>
  <c r="BN17" i="2"/>
  <c r="AJ5" i="2"/>
  <c r="AG19" i="2"/>
  <c r="BO53" i="5"/>
  <c r="CY6" i="2"/>
  <c r="CY5" i="2"/>
  <c r="AE17" i="2"/>
  <c r="AI9" i="2"/>
  <c r="AI3" i="2"/>
  <c r="BO46" i="5"/>
  <c r="AI8" i="2"/>
  <c r="AJ17" i="2"/>
  <c r="BO16" i="2"/>
  <c r="AE31" i="2"/>
  <c r="AF4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3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6" i="2"/>
  <c r="AF11" i="2"/>
  <c r="BN24" i="2"/>
  <c r="BO23" i="2"/>
  <c r="BO42" i="5"/>
  <c r="BO14" i="2"/>
  <c r="BO21" i="5"/>
  <c r="AI32" i="2"/>
  <c r="AG13" i="2"/>
  <c r="AI26" i="2"/>
  <c r="AE6" i="2"/>
  <c r="AI21" i="2"/>
  <c r="AI7" i="2"/>
  <c r="AG32" i="2"/>
  <c r="AC29" i="2"/>
  <c r="AC14" i="2"/>
  <c r="AC20" i="2"/>
  <c r="AG9" i="2"/>
  <c r="AI29" i="2"/>
  <c r="AI14" i="2"/>
  <c r="AG29" i="2"/>
  <c r="AC26" i="2"/>
  <c r="AE12" i="2"/>
  <c r="AE4" i="2"/>
  <c r="AI2" i="2"/>
  <c r="AI18" i="2"/>
  <c r="AE33" i="2"/>
  <c r="AC6" i="2"/>
  <c r="AC19" i="2"/>
  <c r="AC23" i="2"/>
  <c r="AE20" i="2"/>
  <c r="AE2" i="2"/>
  <c r="AI27" i="2"/>
  <c r="AF28" i="2"/>
  <c r="AE24" i="2"/>
  <c r="AI31" i="2"/>
  <c r="AE10" i="2"/>
  <c r="AG30" i="2"/>
  <c r="AG7" i="2"/>
  <c r="AE16" i="2"/>
  <c r="AI5" i="2"/>
  <c r="AC8" i="2"/>
  <c r="AE26" i="2"/>
  <c r="AC32" i="2"/>
  <c r="AI24" i="2"/>
  <c r="AG33" i="2"/>
  <c r="AE3" i="2"/>
  <c r="AE13" i="2"/>
  <c r="AE27" i="2"/>
  <c r="AI10" i="2"/>
  <c r="AF9" i="2"/>
  <c r="AE21" i="2"/>
  <c r="AI15" i="2"/>
  <c r="AE18" i="2"/>
  <c r="AC17" i="2"/>
  <c r="AC12" i="2"/>
  <c r="AE29" i="2"/>
  <c r="AE28" i="2"/>
  <c r="AI19" i="2"/>
  <c r="AI16" i="2"/>
  <c r="AE9" i="2"/>
  <c r="AE19" i="2"/>
  <c r="AF20" i="2"/>
  <c r="AC27" i="2"/>
  <c r="AG4" i="2"/>
  <c r="AI30" i="2"/>
  <c r="AI23" i="2"/>
  <c r="AG20" i="2"/>
  <c r="AC13" i="2"/>
  <c r="AI4" i="2"/>
  <c r="AE23" i="2"/>
  <c r="AE7" i="2"/>
  <c r="AG27" i="2"/>
  <c r="AI22" i="2"/>
  <c r="AE30" i="2"/>
  <c r="AE15" i="2"/>
  <c r="AC16" i="2"/>
  <c r="AI33" i="2"/>
  <c r="AI6" i="2"/>
  <c r="AC3" i="2"/>
  <c r="AI12" i="2"/>
  <c r="AE14" i="2"/>
  <c r="AG12" i="2"/>
  <c r="AI17" i="2"/>
  <c r="AC24" i="2"/>
  <c r="AC2" i="2"/>
  <c r="AC10" i="2"/>
  <c r="AC31" i="2"/>
  <c r="AG2" i="2"/>
  <c r="AI20" i="2"/>
  <c r="AI11" i="2"/>
  <c r="AC22" i="2"/>
  <c r="AC25" i="2"/>
  <c r="AC11" i="2"/>
  <c r="AG22" i="2"/>
  <c r="AG21" i="2"/>
  <c r="AI28" i="2"/>
  <c r="AC7" i="2"/>
  <c r="AE8" i="2"/>
  <c r="AG10" i="2"/>
  <c r="AG6" i="2"/>
  <c r="AG16" i="2"/>
  <c r="AC15" i="2"/>
  <c r="AC33" i="2"/>
  <c r="AG8" i="2"/>
  <c r="AE32" i="2"/>
  <c r="AG15" i="2"/>
  <c r="AE22" i="2"/>
  <c r="AG26" i="2"/>
  <c r="AG25" i="2"/>
  <c r="AG18" i="2"/>
  <c r="AC5" i="2"/>
  <c r="AC28" i="2"/>
  <c r="AC4" i="2"/>
  <c r="AC30" i="2"/>
  <c r="AE5" i="2"/>
  <c r="AG23" i="2"/>
  <c r="AG28" i="2"/>
  <c r="AG31" i="2"/>
  <c r="AE25" i="2"/>
  <c r="AH24" i="2"/>
  <c r="AG17" i="2"/>
  <c r="AC9" i="2"/>
  <c r="AC21" i="2"/>
  <c r="AC18" i="2"/>
  <c r="AJ2" i="2"/>
  <c r="AG24" i="2"/>
  <c r="AG14" i="2"/>
  <c r="AG3" i="2"/>
  <c r="AI25" i="2"/>
  <c r="AG11" i="2"/>
  <c r="AE11" i="2"/>
  <c r="AH18" i="2"/>
  <c r="BX4" i="2"/>
  <c r="J6" i="2"/>
  <c r="G6" i="2"/>
  <c r="J21" i="2"/>
  <c r="G21" i="2"/>
  <c r="J17" i="2"/>
  <c r="BX13" i="2"/>
  <c r="J13" i="2"/>
  <c r="BV16" i="2"/>
  <c r="X13" i="2"/>
  <c r="BX16" i="2"/>
  <c r="BX9" i="2"/>
  <c r="J28" i="2"/>
  <c r="X28" i="2"/>
  <c r="X21" i="2"/>
  <c r="X7" i="2"/>
  <c r="BV9" i="2"/>
  <c r="J2" i="2"/>
  <c r="BV7" i="2"/>
  <c r="BX7" i="2"/>
  <c r="X23" i="2"/>
  <c r="BV33" i="2"/>
  <c r="X10" i="2"/>
  <c r="X22" i="2"/>
  <c r="BX3" i="2"/>
  <c r="BW4" i="2"/>
  <c r="AH15" i="2"/>
  <c r="BX31" i="2"/>
  <c r="X31" i="2"/>
  <c r="BW25" i="2"/>
  <c r="X18" i="2"/>
  <c r="BV25" i="2"/>
  <c r="BX18" i="2"/>
  <c r="BX22" i="2"/>
  <c r="BX33" i="2"/>
  <c r="X6" i="2"/>
  <c r="X11" i="2"/>
  <c r="BO19" i="2"/>
  <c r="X30" i="2"/>
  <c r="BX20" i="2"/>
  <c r="BX19" i="2"/>
  <c r="BX25" i="2"/>
  <c r="X29" i="2"/>
  <c r="BX26" i="2"/>
  <c r="BX29" i="2"/>
  <c r="BX6" i="2"/>
  <c r="X19" i="2"/>
  <c r="J9" i="2"/>
  <c r="X4" i="2"/>
  <c r="X33" i="2"/>
  <c r="BV11" i="2"/>
  <c r="BX11" i="2"/>
  <c r="BW7" i="2"/>
  <c r="BV10" i="2"/>
  <c r="BV20" i="2"/>
  <c r="BW20" i="2"/>
  <c r="BV31" i="2"/>
  <c r="BV26" i="2"/>
  <c r="BV22" i="2"/>
  <c r="X5" i="2"/>
  <c r="BX10" i="2"/>
  <c r="BV6" i="2"/>
  <c r="X20" i="2"/>
  <c r="X16" i="2"/>
  <c r="BW19" i="2"/>
  <c r="BX30" i="2"/>
  <c r="BX15" i="2"/>
  <c r="BX28" i="2"/>
  <c r="BV28" i="2"/>
  <c r="BV2" i="2"/>
  <c r="X26" i="2"/>
  <c r="BX17" i="2"/>
  <c r="X17" i="2"/>
  <c r="BX21" i="2"/>
  <c r="BX12" i="2"/>
  <c r="J15" i="2"/>
  <c r="E15" i="2" s="1"/>
  <c r="X32" i="2"/>
  <c r="BV19" i="2"/>
  <c r="AF18" i="2"/>
  <c r="AF25" i="2"/>
  <c r="AJ13" i="2"/>
  <c r="AF13" i="2"/>
  <c r="BN22" i="2"/>
  <c r="AF8" i="2"/>
  <c r="AH23" i="2"/>
  <c r="BV4" i="2"/>
  <c r="P30" i="2"/>
  <c r="BV29" i="2"/>
  <c r="BV12" i="2"/>
  <c r="X27" i="2"/>
  <c r="BX27" i="2"/>
  <c r="J25" i="2"/>
  <c r="X25" i="2"/>
  <c r="J24" i="2"/>
  <c r="X14" i="2"/>
  <c r="BX14" i="2"/>
  <c r="X24" i="2"/>
  <c r="P25" i="2"/>
  <c r="BW13" i="2"/>
  <c r="BX24" i="2"/>
  <c r="P21" i="2"/>
  <c r="X15" i="2"/>
  <c r="P11" i="2"/>
  <c r="X9" i="2"/>
  <c r="P31" i="2"/>
  <c r="P29" i="2"/>
  <c r="P10" i="2"/>
  <c r="X2" i="2"/>
  <c r="P23" i="2"/>
  <c r="P12" i="2"/>
  <c r="X12" i="2"/>
  <c r="P27" i="2"/>
  <c r="P22" i="2"/>
  <c r="BV15" i="2"/>
  <c r="BV13" i="2"/>
  <c r="BV14" i="2"/>
  <c r="BV30" i="2"/>
  <c r="BV24" i="2"/>
  <c r="BV32" i="2"/>
  <c r="BX2" i="2"/>
  <c r="BW21" i="2"/>
  <c r="BV23" i="2"/>
  <c r="BV17" i="2"/>
  <c r="BV18" i="2"/>
  <c r="BW26" i="2"/>
  <c r="BW16" i="2"/>
  <c r="BV21" i="2"/>
  <c r="BW5" i="2"/>
  <c r="BV5" i="2"/>
  <c r="BV27" i="2"/>
  <c r="BW33" i="2"/>
  <c r="BW18" i="2"/>
  <c r="BW3" i="2"/>
  <c r="BV3" i="2"/>
  <c r="BX5" i="2"/>
  <c r="AH31" i="2"/>
  <c r="X3" i="2"/>
  <c r="P14" i="2"/>
  <c r="BX23" i="2"/>
  <c r="J10" i="2"/>
  <c r="BW30" i="2"/>
  <c r="J7" i="2"/>
  <c r="P18" i="2"/>
  <c r="BX32" i="2"/>
  <c r="BW28" i="2"/>
  <c r="P28" i="2"/>
  <c r="J27" i="2"/>
  <c r="BW27" i="2"/>
  <c r="BW11" i="2"/>
  <c r="J5" i="2"/>
  <c r="P5" i="2"/>
  <c r="BW17" i="2"/>
  <c r="P17" i="2"/>
  <c r="J18" i="2"/>
  <c r="J4" i="2"/>
  <c r="J29" i="2"/>
  <c r="BW9" i="2"/>
  <c r="J33" i="2"/>
  <c r="P33" i="2"/>
  <c r="P13" i="2"/>
  <c r="BW12" i="2"/>
  <c r="BW29" i="2"/>
  <c r="J19" i="2"/>
  <c r="J23" i="2"/>
  <c r="J11" i="2"/>
  <c r="P4" i="2"/>
  <c r="P9" i="2"/>
  <c r="BW10" i="2"/>
  <c r="J32" i="2"/>
  <c r="BW14" i="2"/>
  <c r="J31" i="2"/>
  <c r="P19" i="2"/>
  <c r="BW6" i="2"/>
  <c r="P15" i="2"/>
  <c r="J3" i="2"/>
  <c r="J14" i="2"/>
  <c r="J12" i="2"/>
  <c r="P3" i="2"/>
  <c r="J22" i="2"/>
  <c r="J20" i="2"/>
  <c r="J26" i="2"/>
  <c r="BW15" i="2"/>
  <c r="P7" i="2"/>
  <c r="BW22" i="2"/>
  <c r="P6" i="2"/>
  <c r="J30" i="2"/>
  <c r="P16" i="2"/>
  <c r="P26" i="2"/>
  <c r="P24" i="2"/>
  <c r="P2" i="2"/>
  <c r="BW2" i="2"/>
  <c r="J16" i="2"/>
  <c r="BW23" i="2"/>
  <c r="BW24" i="2"/>
  <c r="P32" i="2"/>
  <c r="BW31" i="2"/>
  <c r="BW32" i="2"/>
  <c r="P20" i="2"/>
  <c r="BH6" i="2"/>
  <c r="BH23" i="2"/>
  <c r="BH14" i="2"/>
  <c r="BH25" i="2"/>
  <c r="BH27" i="2"/>
  <c r="BH15" i="2"/>
  <c r="BH3" i="2"/>
  <c r="BH29" i="2"/>
  <c r="BH4" i="2"/>
  <c r="BH17" i="2"/>
  <c r="BH30" i="2"/>
  <c r="BH19" i="2"/>
  <c r="BH5" i="2"/>
  <c r="BH18" i="2"/>
  <c r="BH28" i="2"/>
  <c r="BH2" i="2"/>
  <c r="BH10" i="2"/>
  <c r="BH16" i="2"/>
  <c r="BH26" i="2"/>
  <c r="BH13" i="2"/>
  <c r="BH7" i="2"/>
  <c r="BH22" i="2"/>
  <c r="BH9" i="2"/>
  <c r="BH24" i="2"/>
  <c r="BH21" i="2"/>
  <c r="BH12" i="2"/>
  <c r="BH33" i="2"/>
  <c r="BH31" i="2"/>
  <c r="BH32" i="2"/>
  <c r="BH20" i="2"/>
  <c r="BH11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2" i="2" l="1"/>
  <c r="AF30" i="2"/>
  <c r="AF17" i="2"/>
  <c r="AF2" i="2"/>
  <c r="BO12" i="2"/>
  <c r="BN30" i="2"/>
  <c r="BL30" i="2"/>
  <c r="AO796" i="1"/>
  <c r="AP32" i="2"/>
  <c r="AO802" i="1"/>
  <c r="AJ9" i="2"/>
  <c r="AL9" i="2" s="1"/>
  <c r="AH13" i="2"/>
  <c r="AL13" i="2" s="1"/>
  <c r="BO15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2" i="2"/>
  <c r="AL28" i="2"/>
  <c r="AL20" i="2"/>
  <c r="AP1009" i="1"/>
  <c r="AP990" i="1"/>
  <c r="AP855" i="1"/>
  <c r="AP989" i="1"/>
  <c r="AP1012" i="1"/>
  <c r="BZ31" i="2"/>
  <c r="AO1113" i="1"/>
  <c r="BZ28" i="2"/>
  <c r="BZ3" i="2"/>
  <c r="BZ24" i="2"/>
  <c r="BZ6" i="2"/>
  <c r="BZ14" i="2"/>
  <c r="BZ26" i="2"/>
  <c r="CJ30" i="2"/>
  <c r="CJ11" i="2"/>
  <c r="CJ20" i="2"/>
  <c r="BZ13" i="2"/>
  <c r="BZ2" i="2"/>
  <c r="BZ17" i="2"/>
  <c r="CI13" i="2"/>
  <c r="CI21" i="2"/>
  <c r="CJ33" i="2"/>
  <c r="BZ23" i="2"/>
  <c r="BZ11" i="2"/>
  <c r="BZ5" i="2"/>
  <c r="BZ16" i="2"/>
  <c r="BZ30" i="2"/>
  <c r="BZ9" i="2"/>
  <c r="BZ4" i="2"/>
  <c r="BZ21" i="2"/>
  <c r="BZ15" i="2"/>
  <c r="BZ20" i="2"/>
  <c r="BZ7" i="2"/>
  <c r="BZ32" i="2"/>
  <c r="BZ19" i="2"/>
  <c r="BZ10" i="2"/>
  <c r="BZ27" i="2"/>
  <c r="BZ18" i="2"/>
  <c r="BZ29" i="2"/>
  <c r="BZ22" i="2"/>
  <c r="BZ12" i="2"/>
  <c r="BZ33" i="2"/>
  <c r="BZ25" i="2"/>
  <c r="AO958" i="1"/>
  <c r="CJ17" i="2"/>
  <c r="CI28" i="2"/>
  <c r="CI24" i="2"/>
  <c r="CJ26" i="2"/>
  <c r="CI12" i="2"/>
  <c r="CJ6" i="2"/>
  <c r="CJ31" i="2"/>
  <c r="CI30" i="2"/>
  <c r="CI6" i="2"/>
  <c r="CI8" i="2"/>
  <c r="CI17" i="2"/>
  <c r="CJ18" i="2"/>
  <c r="CJ28" i="2"/>
  <c r="CJ13" i="2"/>
  <c r="CI16" i="2"/>
  <c r="CI15" i="2"/>
  <c r="CI9" i="2"/>
  <c r="CJ19" i="2"/>
  <c r="CJ3" i="2"/>
  <c r="CJ24" i="2"/>
  <c r="AP762" i="1"/>
  <c r="CI5" i="2"/>
  <c r="CI29" i="2"/>
  <c r="CJ2" i="2"/>
  <c r="CJ9" i="2"/>
  <c r="CI14" i="2"/>
  <c r="CI31" i="2"/>
  <c r="CJ14" i="2"/>
  <c r="CI18" i="2"/>
  <c r="CI7" i="2"/>
  <c r="CJ25" i="2"/>
  <c r="CI3" i="2"/>
  <c r="CI32" i="2"/>
  <c r="CI27" i="2"/>
  <c r="CJ21" i="2"/>
  <c r="CI10" i="2"/>
  <c r="CJ22" i="2"/>
  <c r="CJ27" i="2"/>
  <c r="CI20" i="2"/>
  <c r="CI2" i="2"/>
  <c r="CJ5" i="2"/>
  <c r="CI4" i="2"/>
  <c r="CI23" i="2"/>
  <c r="CJ23" i="2"/>
  <c r="CI19" i="2"/>
  <c r="CJ32" i="2"/>
  <c r="CJ7" i="2"/>
  <c r="CI26" i="2"/>
  <c r="CJ12" i="2"/>
  <c r="CI22" i="2"/>
  <c r="CJ10" i="2"/>
  <c r="CJ16" i="2"/>
  <c r="CJ29" i="2"/>
  <c r="CI33" i="2"/>
  <c r="CI25" i="2"/>
  <c r="CI11" i="2"/>
  <c r="CJ8" i="2"/>
  <c r="CJ15" i="2"/>
  <c r="CJ4" i="2"/>
  <c r="E33" i="2"/>
  <c r="BK17" i="2"/>
  <c r="E9" i="2"/>
  <c r="E22" i="2"/>
  <c r="E4" i="2"/>
  <c r="BK21" i="2"/>
  <c r="E14" i="2"/>
  <c r="E23" i="2"/>
  <c r="E18" i="2"/>
  <c r="E7" i="2"/>
  <c r="E26" i="2"/>
  <c r="E3" i="2"/>
  <c r="E19" i="2"/>
  <c r="E10" i="2"/>
  <c r="E2" i="2"/>
  <c r="E16" i="2"/>
  <c r="E30" i="2"/>
  <c r="E20" i="2"/>
  <c r="E29" i="2"/>
  <c r="E5" i="2"/>
  <c r="E12" i="2"/>
  <c r="E31" i="2"/>
  <c r="E11" i="2"/>
  <c r="E27" i="2"/>
  <c r="E13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0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1" i="2"/>
  <c r="BO7" i="2"/>
  <c r="BN11" i="2"/>
  <c r="BO17" i="2"/>
  <c r="BN27" i="2"/>
  <c r="BN26" i="2"/>
  <c r="BO30" i="2"/>
  <c r="BO33" i="2"/>
  <c r="BN33" i="2"/>
  <c r="BN32" i="2"/>
  <c r="BO6" i="2"/>
  <c r="BN25" i="2"/>
  <c r="BN7" i="2"/>
  <c r="BN10" i="2"/>
  <c r="BO4" i="2"/>
  <c r="BO29" i="2"/>
  <c r="BO27" i="2"/>
  <c r="BO25" i="2"/>
  <c r="BN14" i="2"/>
  <c r="BN29" i="2"/>
  <c r="BO11" i="2"/>
  <c r="BO22" i="2"/>
  <c r="BN16" i="2"/>
  <c r="BO13" i="2"/>
  <c r="BO8" i="2"/>
  <c r="BN19" i="2"/>
  <c r="BO18" i="2"/>
  <c r="BN12" i="2"/>
  <c r="BN23" i="2"/>
  <c r="BN31" i="2"/>
  <c r="BO2" i="2"/>
  <c r="BO9" i="2"/>
  <c r="BO28" i="2"/>
  <c r="BO20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4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4" i="2"/>
  <c r="BM24" i="2"/>
  <c r="AP26" i="2"/>
  <c r="BL26" i="2"/>
  <c r="BM17" i="2"/>
  <c r="BL14" i="2"/>
  <c r="BL15" i="2"/>
  <c r="BM26" i="2"/>
  <c r="BM31" i="2"/>
  <c r="BM14" i="2"/>
  <c r="BL19" i="2"/>
  <c r="BL29" i="2"/>
  <c r="BM33" i="2"/>
  <c r="BL22" i="2"/>
  <c r="BM23" i="2"/>
  <c r="BM12" i="2"/>
  <c r="BL16" i="2"/>
  <c r="BM7" i="2"/>
  <c r="BM22" i="2"/>
  <c r="BM21" i="2"/>
  <c r="BL3" i="2"/>
  <c r="BM19" i="2"/>
  <c r="BM11" i="2"/>
  <c r="BM5" i="2"/>
  <c r="BL33" i="2"/>
  <c r="BM25" i="2"/>
  <c r="BL12" i="2"/>
  <c r="BL27" i="2"/>
  <c r="BL31" i="2"/>
  <c r="BM29" i="2"/>
  <c r="BM6" i="2"/>
  <c r="BM10" i="2"/>
  <c r="BM4" i="2"/>
  <c r="BM15" i="2"/>
  <c r="BL7" i="2"/>
  <c r="BL10" i="2"/>
  <c r="BM3" i="2"/>
  <c r="BL23" i="2"/>
  <c r="BM32" i="2"/>
  <c r="BL32" i="2"/>
  <c r="BL6" i="2"/>
  <c r="BM16" i="2"/>
  <c r="BL21" i="2"/>
  <c r="BL5" i="2"/>
  <c r="BM27" i="2"/>
  <c r="BM30" i="2"/>
  <c r="BM18" i="2"/>
  <c r="BL24" i="2"/>
  <c r="BL25" i="2"/>
  <c r="BM13" i="2"/>
  <c r="BL11" i="2"/>
  <c r="BM9" i="2"/>
  <c r="BM8" i="2"/>
  <c r="BM2" i="2"/>
  <c r="BM28" i="2"/>
  <c r="BL17" i="2"/>
  <c r="BL4" i="2"/>
  <c r="BM20" i="2"/>
  <c r="AP24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9" i="2"/>
  <c r="AF5" i="2"/>
  <c r="AH25" i="2"/>
  <c r="AP9" i="2"/>
  <c r="AF10" i="2"/>
  <c r="AO26" i="2"/>
  <c r="AF21" i="2"/>
  <c r="AH10" i="2"/>
  <c r="AK10" i="2" s="1"/>
  <c r="AF27" i="2"/>
  <c r="AP28" i="2"/>
  <c r="AH5" i="2"/>
  <c r="AK5" i="2" s="1"/>
  <c r="AF15" i="2"/>
  <c r="AO28" i="2"/>
  <c r="AJ31" i="2"/>
  <c r="AK31" i="2" s="1"/>
  <c r="AJ15" i="2"/>
  <c r="AK15" i="2" s="1"/>
  <c r="AP20" i="2"/>
  <c r="AF26" i="2"/>
  <c r="AO25" i="2"/>
  <c r="AP22" i="2"/>
  <c r="AO21" i="2"/>
  <c r="AJ21" i="2"/>
  <c r="AO20" i="2"/>
  <c r="AH26" i="2"/>
  <c r="AK26" i="2" s="1"/>
  <c r="AH6" i="2"/>
  <c r="AF22" i="2"/>
  <c r="AO10" i="2"/>
  <c r="AO5" i="2"/>
  <c r="AP5" i="2"/>
  <c r="AP10" i="2"/>
  <c r="AJ4" i="2"/>
  <c r="BP47" i="5"/>
  <c r="BP13" i="5"/>
  <c r="AO4" i="2"/>
  <c r="BP45" i="5"/>
  <c r="BP53" i="5"/>
  <c r="AF33" i="2"/>
  <c r="AF3" i="2"/>
  <c r="AJ11" i="2"/>
  <c r="AJ33" i="2"/>
  <c r="AW28" i="2"/>
  <c r="AW20" i="2"/>
  <c r="AW2" i="2"/>
  <c r="AW8" i="2"/>
  <c r="AH33" i="2"/>
  <c r="AF12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24" i="2"/>
  <c r="AK24" i="2" s="1"/>
  <c r="BP21" i="5"/>
  <c r="E32" i="2"/>
  <c r="CY2" i="2"/>
  <c r="CZ5" i="2" s="1"/>
  <c r="AO24" i="2"/>
  <c r="AH4" i="2"/>
  <c r="AD23" i="2"/>
  <c r="BP23" i="2" s="1"/>
  <c r="AJ29" i="2"/>
  <c r="AH21" i="2"/>
  <c r="AP21" i="2"/>
  <c r="AH14" i="2"/>
  <c r="AP11" i="2"/>
  <c r="AJ23" i="2"/>
  <c r="AK23" i="2" s="1"/>
  <c r="DA5" i="2"/>
  <c r="DA6" i="2"/>
  <c r="AF31" i="2"/>
  <c r="AF29" i="2"/>
  <c r="CY3" i="2"/>
  <c r="DA3" i="2" s="1"/>
  <c r="AP2" i="2"/>
  <c r="AJ27" i="2"/>
  <c r="AF7" i="2"/>
  <c r="AJ16" i="2"/>
  <c r="AK16" i="2" s="1"/>
  <c r="AF23" i="2"/>
  <c r="AO12" i="2"/>
  <c r="AO27" i="2"/>
  <c r="AH27" i="2"/>
  <c r="AP27" i="2"/>
  <c r="AO16" i="2"/>
  <c r="AH29" i="2"/>
  <c r="AP16" i="2"/>
  <c r="AJ12" i="2"/>
  <c r="AK12" i="2" s="1"/>
  <c r="BP27" i="5"/>
  <c r="BP3" i="5"/>
  <c r="BP11" i="5"/>
  <c r="BP25" i="5"/>
  <c r="AD27" i="2"/>
  <c r="BP27" i="2" s="1"/>
  <c r="AF19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2" i="2"/>
  <c r="E25" i="2"/>
  <c r="BK5" i="2"/>
  <c r="BK25" i="2"/>
  <c r="BK18" i="2"/>
  <c r="BK10" i="2"/>
  <c r="BK14" i="2"/>
  <c r="BK13" i="2"/>
  <c r="BK12" i="2"/>
  <c r="BK3" i="2"/>
  <c r="BK23" i="2"/>
  <c r="BK22" i="2"/>
  <c r="BK31" i="2"/>
  <c r="BK4" i="2"/>
  <c r="BK32" i="2"/>
  <c r="BK11" i="2"/>
  <c r="BK19" i="2"/>
  <c r="BK2" i="2"/>
  <c r="BK30" i="2"/>
  <c r="BK7" i="2"/>
  <c r="BK26" i="2"/>
  <c r="BK29" i="2"/>
  <c r="BK20" i="2"/>
  <c r="BK24" i="2"/>
  <c r="BK27" i="2"/>
  <c r="BK16" i="2"/>
  <c r="BK15" i="2"/>
  <c r="BK33" i="2"/>
  <c r="BK9" i="2"/>
  <c r="K6" i="2"/>
  <c r="E6" i="2"/>
  <c r="BI28" i="2"/>
  <c r="E28" i="2"/>
  <c r="K17" i="2"/>
  <c r="E17" i="2"/>
  <c r="K21" i="2"/>
  <c r="E21" i="2"/>
  <c r="BJ21" i="2"/>
  <c r="AD17" i="2"/>
  <c r="BP17" i="2" s="1"/>
  <c r="BI6" i="2"/>
  <c r="BJ6" i="2"/>
  <c r="AD32" i="2"/>
  <c r="BP32" i="2" s="1"/>
  <c r="AD16" i="2"/>
  <c r="BP16" i="2" s="1"/>
  <c r="AF32" i="2"/>
  <c r="AD20" i="2"/>
  <c r="BP20" i="2" s="1"/>
  <c r="AD33" i="2"/>
  <c r="BP33" i="2" s="1"/>
  <c r="AD26" i="2"/>
  <c r="BP26" i="2" s="1"/>
  <c r="AO7" i="2"/>
  <c r="AD21" i="2"/>
  <c r="BP21" i="2" s="1"/>
  <c r="AD25" i="2"/>
  <c r="BP25" i="2" s="1"/>
  <c r="AD31" i="2"/>
  <c r="BP31" i="2" s="1"/>
  <c r="AH32" i="2"/>
  <c r="AD10" i="2"/>
  <c r="BP10" i="2" s="1"/>
  <c r="AD28" i="2"/>
  <c r="BP28" i="2" s="1"/>
  <c r="AD15" i="2"/>
  <c r="BP15" i="2" s="1"/>
  <c r="AD5" i="2"/>
  <c r="BP5" i="2" s="1"/>
  <c r="AD11" i="2"/>
  <c r="BP11" i="2" s="1"/>
  <c r="AD6" i="2"/>
  <c r="BP6" i="2" s="1"/>
  <c r="AD9" i="2"/>
  <c r="BP9" i="2" s="1"/>
  <c r="AD2" i="2"/>
  <c r="BP2" i="2" s="1"/>
  <c r="AD3" i="2"/>
  <c r="BP3" i="2" s="1"/>
  <c r="AD4" i="2"/>
  <c r="BP4" i="2" s="1"/>
  <c r="AD18" i="2"/>
  <c r="BP18" i="2" s="1"/>
  <c r="AD22" i="2"/>
  <c r="BP22" i="2" s="1"/>
  <c r="AD29" i="2"/>
  <c r="BP29" i="2" s="1"/>
  <c r="AD19" i="2"/>
  <c r="BP19" i="2" s="1"/>
  <c r="AD13" i="2"/>
  <c r="BP13" i="2" s="1"/>
  <c r="AD7" i="2"/>
  <c r="BP7" i="2" s="1"/>
  <c r="AD30" i="2"/>
  <c r="BP30" i="2" s="1"/>
  <c r="AJ32" i="2"/>
  <c r="AP30" i="2"/>
  <c r="AH30" i="2"/>
  <c r="AW30" i="2" s="1"/>
  <c r="AJ25" i="2"/>
  <c r="AO18" i="2"/>
  <c r="AJ18" i="2"/>
  <c r="AW18" i="2" s="1"/>
  <c r="AD12" i="2"/>
  <c r="BP12" i="2" s="1"/>
  <c r="AO19" i="2"/>
  <c r="AJ19" i="2"/>
  <c r="AK19" i="2" s="1"/>
  <c r="AJ14" i="2"/>
  <c r="AD14" i="2"/>
  <c r="BP14" i="2" s="1"/>
  <c r="AJ7" i="2"/>
  <c r="AD24" i="2"/>
  <c r="BP24" i="2" s="1"/>
  <c r="AH22" i="2"/>
  <c r="AK22" i="2" s="1"/>
  <c r="BI21" i="2"/>
  <c r="BY13" i="2"/>
  <c r="BY4" i="2"/>
  <c r="BJ17" i="2"/>
  <c r="BI17" i="2"/>
  <c r="BI29" i="2"/>
  <c r="K29" i="2"/>
  <c r="BI5" i="2"/>
  <c r="K5" i="2"/>
  <c r="BJ12" i="2"/>
  <c r="K12" i="2"/>
  <c r="BJ31" i="2"/>
  <c r="K31" i="2"/>
  <c r="BJ4" i="2"/>
  <c r="K4" i="2"/>
  <c r="BI24" i="2"/>
  <c r="K24" i="2"/>
  <c r="BI22" i="2"/>
  <c r="K22" i="2"/>
  <c r="BI10" i="2"/>
  <c r="K10" i="2"/>
  <c r="BI13" i="2"/>
  <c r="K13" i="2"/>
  <c r="BJ13" i="2"/>
  <c r="BI16" i="2"/>
  <c r="K16" i="2"/>
  <c r="BJ26" i="2"/>
  <c r="K26" i="2"/>
  <c r="BI3" i="2"/>
  <c r="K3" i="2"/>
  <c r="BJ23" i="2"/>
  <c r="K23" i="2"/>
  <c r="BI33" i="2"/>
  <c r="K33" i="2"/>
  <c r="BJ27" i="2"/>
  <c r="K27" i="2"/>
  <c r="BJ25" i="2"/>
  <c r="K25" i="2"/>
  <c r="BJ9" i="2"/>
  <c r="K9" i="2"/>
  <c r="BJ28" i="2"/>
  <c r="K28" i="2"/>
  <c r="BJ14" i="2"/>
  <c r="K14" i="2"/>
  <c r="BI11" i="2"/>
  <c r="K11" i="2"/>
  <c r="BJ18" i="2"/>
  <c r="K18" i="2"/>
  <c r="BJ7" i="2"/>
  <c r="K7" i="2"/>
  <c r="BJ30" i="2"/>
  <c r="K30" i="2"/>
  <c r="BI20" i="2"/>
  <c r="K20" i="2"/>
  <c r="BJ32" i="2"/>
  <c r="K32" i="2"/>
  <c r="BJ19" i="2"/>
  <c r="K19" i="2"/>
  <c r="BI15" i="2"/>
  <c r="K15" i="2"/>
  <c r="BJ2" i="2"/>
  <c r="K2" i="2"/>
  <c r="BI2" i="2"/>
  <c r="BY16" i="2"/>
  <c r="BY9" i="2"/>
  <c r="BY7" i="2"/>
  <c r="BI9" i="2"/>
  <c r="BY18" i="2"/>
  <c r="AP3" i="2"/>
  <c r="BY20" i="2"/>
  <c r="BY22" i="2"/>
  <c r="BY3" i="2"/>
  <c r="AP15" i="2"/>
  <c r="AO15" i="2"/>
  <c r="BY26" i="2"/>
  <c r="AP14" i="2"/>
  <c r="BY31" i="2"/>
  <c r="BJ15" i="2"/>
  <c r="AP6" i="2"/>
  <c r="BY12" i="2"/>
  <c r="AO33" i="2"/>
  <c r="AO6" i="2"/>
  <c r="BY29" i="2"/>
  <c r="AP18" i="2"/>
  <c r="BY6" i="2"/>
  <c r="BY33" i="2"/>
  <c r="BY25" i="2"/>
  <c r="AP19" i="2"/>
  <c r="BY19" i="2"/>
  <c r="BY11" i="2"/>
  <c r="BY17" i="2"/>
  <c r="BY28" i="2"/>
  <c r="BY10" i="2"/>
  <c r="BY15" i="2"/>
  <c r="BY21" i="2"/>
  <c r="BY30" i="2"/>
  <c r="BI25" i="2"/>
  <c r="BY27" i="2"/>
  <c r="AO29" i="2"/>
  <c r="AP25" i="2"/>
  <c r="AO32" i="2"/>
  <c r="AP23" i="2"/>
  <c r="AO23" i="2"/>
  <c r="AO13" i="2"/>
  <c r="BY14" i="2"/>
  <c r="AP29" i="2"/>
  <c r="BY24" i="2"/>
  <c r="AP33" i="2"/>
  <c r="AO22" i="2"/>
  <c r="AO3" i="2"/>
  <c r="AO30" i="2"/>
  <c r="AP31" i="2"/>
  <c r="AP8" i="2"/>
  <c r="AP7" i="2"/>
  <c r="AP13" i="2"/>
  <c r="BJ10" i="2"/>
  <c r="BJ24" i="2"/>
  <c r="BY2" i="2"/>
  <c r="BJ11" i="2"/>
  <c r="AO31" i="2"/>
  <c r="BY5" i="2"/>
  <c r="BY23" i="2"/>
  <c r="BI7" i="2"/>
  <c r="BI27" i="2"/>
  <c r="BI32" i="2"/>
  <c r="BI23" i="2"/>
  <c r="BJ5" i="2"/>
  <c r="BJ29" i="2"/>
  <c r="BY32" i="2"/>
  <c r="BI18" i="2"/>
  <c r="AO8" i="2"/>
  <c r="D2" i="9" s="1"/>
  <c r="U7" i="9" s="1"/>
  <c r="BI4" i="2"/>
  <c r="BJ33" i="2"/>
  <c r="BJ22" i="2"/>
  <c r="BI19" i="2"/>
  <c r="BI26" i="2"/>
  <c r="BI31" i="2"/>
  <c r="BJ16" i="2"/>
  <c r="BJ20" i="2"/>
  <c r="BJ3" i="2"/>
  <c r="BI14" i="2"/>
  <c r="BI12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3" i="2" l="1"/>
  <c r="AK13" i="2"/>
  <c r="AW9" i="2"/>
  <c r="AK9" i="2"/>
  <c r="AM9" i="2"/>
  <c r="AN9" i="2"/>
  <c r="AM20" i="2"/>
  <c r="AN20" i="2"/>
  <c r="AM28" i="2"/>
  <c r="AN28" i="2"/>
  <c r="AM13" i="2"/>
  <c r="AN13" i="2"/>
  <c r="AM2" i="2"/>
  <c r="AN2" i="2"/>
  <c r="AM8" i="2"/>
  <c r="AN8" i="2"/>
  <c r="AB6" i="2"/>
  <c r="AB17" i="2"/>
  <c r="AB4" i="2"/>
  <c r="AB29" i="2"/>
  <c r="AB27" i="2"/>
  <c r="AB24" i="2"/>
  <c r="AB28" i="2"/>
  <c r="AB32" i="2"/>
  <c r="AB13" i="2"/>
  <c r="AB31" i="2"/>
  <c r="AB15" i="2"/>
  <c r="AB18" i="2"/>
  <c r="AB12" i="2"/>
  <c r="AB10" i="2"/>
  <c r="AB11" i="2"/>
  <c r="AB30" i="2"/>
  <c r="AB33" i="2"/>
  <c r="AB3" i="2"/>
  <c r="AB25" i="2"/>
  <c r="AB16" i="2"/>
  <c r="AB14" i="2"/>
  <c r="AB5" i="2"/>
  <c r="AB20" i="2"/>
  <c r="AB23" i="2"/>
  <c r="AB2" i="2"/>
  <c r="AB9" i="2"/>
  <c r="AB26" i="2"/>
  <c r="AB21" i="2"/>
  <c r="AB19" i="2"/>
  <c r="AB7" i="2"/>
  <c r="AB22" i="2"/>
  <c r="CW11" i="2"/>
  <c r="AL11" i="2"/>
  <c r="AL29" i="2"/>
  <c r="AL21" i="2"/>
  <c r="AL32" i="2"/>
  <c r="AL4" i="2"/>
  <c r="AL25" i="2"/>
  <c r="AL33" i="2"/>
  <c r="AL14" i="2"/>
  <c r="AL6" i="2"/>
  <c r="AL27" i="2"/>
  <c r="AL7" i="2"/>
  <c r="AL3" i="2"/>
  <c r="AL31" i="2"/>
  <c r="AL10" i="2"/>
  <c r="AL30" i="2"/>
  <c r="AL15" i="2"/>
  <c r="AL19" i="2"/>
  <c r="AL16" i="2"/>
  <c r="AL26" i="2"/>
  <c r="AL5" i="2"/>
  <c r="AL23" i="2"/>
  <c r="AL17" i="2"/>
  <c r="AL22" i="2"/>
  <c r="AL12" i="2"/>
  <c r="AL18" i="2"/>
  <c r="AL24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6" i="2"/>
  <c r="BS26" i="2" s="1"/>
  <c r="BR21" i="2"/>
  <c r="BS21" i="2" s="1"/>
  <c r="BR12" i="2"/>
  <c r="BS12" i="2" s="1"/>
  <c r="BR29" i="2"/>
  <c r="BS29" i="2" s="1"/>
  <c r="BN36" i="2"/>
  <c r="BR18" i="2"/>
  <c r="BS18" i="2" s="1"/>
  <c r="BR6" i="2"/>
  <c r="BS6" i="2" s="1"/>
  <c r="BR17" i="2"/>
  <c r="BS17" i="2" s="1"/>
  <c r="BR3" i="2"/>
  <c r="BS3" i="2" s="1"/>
  <c r="BR13" i="2"/>
  <c r="BS13" i="2" s="1"/>
  <c r="BR23" i="2"/>
  <c r="BS23" i="2" s="1"/>
  <c r="BR27" i="2"/>
  <c r="BS27" i="2" s="1"/>
  <c r="BR24" i="2"/>
  <c r="BS24" i="2" s="1"/>
  <c r="BR2" i="2"/>
  <c r="BR10" i="2"/>
  <c r="BS10" i="2" s="1"/>
  <c r="BO37" i="2"/>
  <c r="BR20" i="2"/>
  <c r="BS20" i="2" s="1"/>
  <c r="BR31" i="2"/>
  <c r="BS31" i="2" s="1"/>
  <c r="BR15" i="2"/>
  <c r="BS15" i="2" s="1"/>
  <c r="BR22" i="2"/>
  <c r="BS22" i="2" s="1"/>
  <c r="BR25" i="2"/>
  <c r="BS25" i="2" s="1"/>
  <c r="BR19" i="2"/>
  <c r="BS19" i="2" s="1"/>
  <c r="BR4" i="2"/>
  <c r="BS4" i="2" s="1"/>
  <c r="BR11" i="2"/>
  <c r="BS11" i="2" s="1"/>
  <c r="BR30" i="2"/>
  <c r="BS30" i="2" s="1"/>
  <c r="BR7" i="2"/>
  <c r="BS7" i="2" s="1"/>
  <c r="BR9" i="2"/>
  <c r="BS9" i="2" s="1"/>
  <c r="BL35" i="2"/>
  <c r="BL36" i="2"/>
  <c r="BL37" i="2"/>
  <c r="BM35" i="2"/>
  <c r="BM36" i="2"/>
  <c r="BM37" i="2"/>
  <c r="CK11" i="2"/>
  <c r="CL11" i="2" s="1"/>
  <c r="CK30" i="2"/>
  <c r="CL30" i="2" s="1"/>
  <c r="CK21" i="2"/>
  <c r="CL21" i="2" s="1"/>
  <c r="CK20" i="2"/>
  <c r="CL20" i="2" s="1"/>
  <c r="CK12" i="2"/>
  <c r="CL12" i="2" s="1"/>
  <c r="CK13" i="2"/>
  <c r="CL13" i="2" s="1"/>
  <c r="CK33" i="2"/>
  <c r="CL33" i="2" s="1"/>
  <c r="CK2" i="2"/>
  <c r="CL2" i="2" s="1"/>
  <c r="BV37" i="2"/>
  <c r="BZ8" i="2"/>
  <c r="BZ37" i="2" s="1"/>
  <c r="CK26" i="2"/>
  <c r="CL26" i="2" s="1"/>
  <c r="CK18" i="2"/>
  <c r="CL18" i="2" s="1"/>
  <c r="CK31" i="2"/>
  <c r="CL31" i="2" s="1"/>
  <c r="CK28" i="2"/>
  <c r="CL28" i="2" s="1"/>
  <c r="CK24" i="2"/>
  <c r="CL24" i="2" s="1"/>
  <c r="CK9" i="2"/>
  <c r="CL9" i="2" s="1"/>
  <c r="CK17" i="2"/>
  <c r="CL17" i="2" s="1"/>
  <c r="CK6" i="2"/>
  <c r="CL6" i="2" s="1"/>
  <c r="CK15" i="2"/>
  <c r="CL15" i="2" s="1"/>
  <c r="CK8" i="2"/>
  <c r="CL8" i="2" s="1"/>
  <c r="CK16" i="2"/>
  <c r="CL16" i="2" s="1"/>
  <c r="CK10" i="2"/>
  <c r="CL10" i="2" s="1"/>
  <c r="CK14" i="2"/>
  <c r="CL14" i="2" s="1"/>
  <c r="CK23" i="2"/>
  <c r="CL23" i="2" s="1"/>
  <c r="CK27" i="2"/>
  <c r="CL27" i="2" s="1"/>
  <c r="CK7" i="2"/>
  <c r="CL7" i="2" s="1"/>
  <c r="CK19" i="2"/>
  <c r="CL19" i="2" s="1"/>
  <c r="CK32" i="2"/>
  <c r="CL32" i="2" s="1"/>
  <c r="CK3" i="2"/>
  <c r="CL3" i="2" s="1"/>
  <c r="CK25" i="2"/>
  <c r="CL25" i="2" s="1"/>
  <c r="CK4" i="2"/>
  <c r="CL4" i="2" s="1"/>
  <c r="CK5" i="2"/>
  <c r="CL5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11" i="2"/>
  <c r="AK4" i="2"/>
  <c r="AK25" i="2"/>
  <c r="AK29" i="2"/>
  <c r="AK14" i="2"/>
  <c r="AK3" i="2"/>
  <c r="AK6" i="2"/>
  <c r="AK7" i="2"/>
  <c r="AK21" i="2"/>
  <c r="AK33" i="2"/>
  <c r="AK32" i="2"/>
  <c r="AK17" i="2"/>
  <c r="AK18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2" i="2"/>
  <c r="AR4" i="2"/>
  <c r="AV4" i="2" s="1"/>
  <c r="AQ10" i="2"/>
  <c r="AR28" i="2"/>
  <c r="AV28" i="2" s="1"/>
  <c r="AR29" i="2"/>
  <c r="AV29" i="2" s="1"/>
  <c r="AQ15" i="2"/>
  <c r="AQ19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7" i="2"/>
  <c r="AV27" i="2" s="1"/>
  <c r="AR24" i="2"/>
  <c r="AQ31" i="2"/>
  <c r="AQ13" i="2"/>
  <c r="AR19" i="2"/>
  <c r="AV19" i="2" s="1"/>
  <c r="AR21" i="2"/>
  <c r="AV21" i="2" s="1"/>
  <c r="AQ2" i="2"/>
  <c r="AQ27" i="2"/>
  <c r="AQ20" i="2"/>
  <c r="AQ26" i="2"/>
  <c r="AQ17" i="2"/>
  <c r="AQ12" i="2"/>
  <c r="AQ18" i="2"/>
  <c r="AQ11" i="2"/>
  <c r="AQ21" i="2"/>
  <c r="AR9" i="2"/>
  <c r="AV9" i="2" s="1"/>
  <c r="AR32" i="2"/>
  <c r="AV32" i="2" s="1"/>
  <c r="AR25" i="2"/>
  <c r="AV25" i="2" s="1"/>
  <c r="AR18" i="2"/>
  <c r="AV18" i="2" s="1"/>
  <c r="AR30" i="2"/>
  <c r="AV30" i="2" s="1"/>
  <c r="AR22" i="2"/>
  <c r="AV22" i="2" s="1"/>
  <c r="AQ32" i="2"/>
  <c r="AQ29" i="2"/>
  <c r="AQ25" i="2"/>
  <c r="AR7" i="2"/>
  <c r="AV7" i="2" s="1"/>
  <c r="AQ4" i="2"/>
  <c r="AQ9" i="2"/>
  <c r="AR2" i="2"/>
  <c r="AV2" i="2" s="1"/>
  <c r="AR17" i="2"/>
  <c r="AV17" i="2" s="1"/>
  <c r="AR20" i="2"/>
  <c r="AV20" i="2" s="1"/>
  <c r="AQ23" i="2"/>
  <c r="AR23" i="2"/>
  <c r="AV23" i="2" s="1"/>
  <c r="AR3" i="2"/>
  <c r="AV3" i="2" s="1"/>
  <c r="AR13" i="2"/>
  <c r="AV13" i="2" s="1"/>
  <c r="AQ24" i="2"/>
  <c r="BQ24" i="2" s="1"/>
  <c r="AQ6" i="2"/>
  <c r="AQ33" i="2"/>
  <c r="AR31" i="2"/>
  <c r="AV31" i="2" s="1"/>
  <c r="AR26" i="2"/>
  <c r="AV26" i="2" s="1"/>
  <c r="AQ30" i="2"/>
  <c r="AR6" i="2"/>
  <c r="AV6" i="2" s="1"/>
  <c r="AQ3" i="2"/>
  <c r="AR12" i="2"/>
  <c r="AV12" i="2" s="1"/>
  <c r="AR10" i="2"/>
  <c r="AV10" i="2" s="1"/>
  <c r="AQ28" i="2"/>
  <c r="AW24" i="2"/>
  <c r="AR8" i="2"/>
  <c r="AW31" i="2"/>
  <c r="AW10" i="2"/>
  <c r="AW5" i="2"/>
  <c r="AW25" i="2"/>
  <c r="AW26" i="2"/>
  <c r="AW21" i="2"/>
  <c r="AW15" i="2"/>
  <c r="AT22" i="2"/>
  <c r="AS21" i="2"/>
  <c r="AW22" i="2"/>
  <c r="AW4" i="2"/>
  <c r="AW11" i="2"/>
  <c r="AW27" i="2"/>
  <c r="AW33" i="2"/>
  <c r="AW3" i="2"/>
  <c r="AW32" i="2"/>
  <c r="AW6" i="2"/>
  <c r="AW12" i="2"/>
  <c r="AW7" i="2"/>
  <c r="AW16" i="2"/>
  <c r="AW14" i="2"/>
  <c r="AW19" i="2"/>
  <c r="AW23" i="2"/>
  <c r="AW29" i="2"/>
  <c r="CR18" i="2"/>
  <c r="CZ6" i="2"/>
  <c r="CY4" i="2"/>
  <c r="DA4" i="2" s="1"/>
  <c r="AS17" i="2"/>
  <c r="BP67" i="5"/>
  <c r="AT6" i="2"/>
  <c r="AT21" i="2"/>
  <c r="BK8" i="2"/>
  <c r="BK36" i="2" s="1"/>
  <c r="AT17" i="2"/>
  <c r="K8" i="2"/>
  <c r="E8" i="2"/>
  <c r="E35" i="2" s="1"/>
  <c r="AT30" i="2"/>
  <c r="AD8" i="2"/>
  <c r="AS6" i="2"/>
  <c r="AQ8" i="2"/>
  <c r="AT23" i="2"/>
  <c r="AT31" i="2"/>
  <c r="AT29" i="2"/>
  <c r="AS4" i="2"/>
  <c r="AT4" i="2"/>
  <c r="AS2" i="2"/>
  <c r="AT2" i="2"/>
  <c r="AS7" i="2"/>
  <c r="AT7" i="2"/>
  <c r="AS25" i="2"/>
  <c r="AT25" i="2"/>
  <c r="AS16" i="2"/>
  <c r="AT16" i="2"/>
  <c r="AS20" i="2"/>
  <c r="AT20" i="2"/>
  <c r="AS28" i="2"/>
  <c r="AT28" i="2"/>
  <c r="AT3" i="2"/>
  <c r="AT13" i="2"/>
  <c r="AS24" i="2"/>
  <c r="AT24" i="2"/>
  <c r="AS12" i="2"/>
  <c r="AT12" i="2"/>
  <c r="AS10" i="2"/>
  <c r="AT10" i="2"/>
  <c r="AS5" i="2"/>
  <c r="AT5" i="2"/>
  <c r="AT32" i="2"/>
  <c r="AS14" i="2"/>
  <c r="AT14" i="2"/>
  <c r="AT15" i="2"/>
  <c r="AS18" i="2"/>
  <c r="AT18" i="2"/>
  <c r="AS27" i="2"/>
  <c r="AT27" i="2"/>
  <c r="AS19" i="2"/>
  <c r="AT19" i="2"/>
  <c r="AS11" i="2"/>
  <c r="AT11" i="2"/>
  <c r="AS9" i="2"/>
  <c r="AT9" i="2"/>
  <c r="AT33" i="2"/>
  <c r="AS26" i="2"/>
  <c r="AT26" i="2"/>
  <c r="AS31" i="2"/>
  <c r="AS29" i="2"/>
  <c r="AS15" i="2"/>
  <c r="AS3" i="2"/>
  <c r="AS13" i="2"/>
  <c r="AS22" i="2"/>
  <c r="AS30" i="2"/>
  <c r="AS33" i="2"/>
  <c r="AS32" i="2"/>
  <c r="AS23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5" i="2" l="1"/>
  <c r="AN5" i="2"/>
  <c r="AM32" i="2"/>
  <c r="AN32" i="2"/>
  <c r="AM16" i="2"/>
  <c r="AN16" i="2"/>
  <c r="AM29" i="2"/>
  <c r="AN29" i="2"/>
  <c r="AM19" i="2"/>
  <c r="AN19" i="2"/>
  <c r="AM11" i="2"/>
  <c r="AN11" i="2"/>
  <c r="AM15" i="2"/>
  <c r="AN15" i="2"/>
  <c r="AM21" i="2"/>
  <c r="AN21" i="2"/>
  <c r="AM30" i="2"/>
  <c r="AN30" i="2"/>
  <c r="AM10" i="2"/>
  <c r="AN10" i="2"/>
  <c r="AM31" i="2"/>
  <c r="AN31" i="2"/>
  <c r="AM3" i="2"/>
  <c r="AN3" i="2"/>
  <c r="AM7" i="2"/>
  <c r="AN7" i="2"/>
  <c r="AM26" i="2"/>
  <c r="AN26" i="2"/>
  <c r="AM24" i="2"/>
  <c r="AN24" i="2"/>
  <c r="AM27" i="2"/>
  <c r="AN27" i="2"/>
  <c r="AM18" i="2"/>
  <c r="AN18" i="2"/>
  <c r="AM6" i="2"/>
  <c r="AN6" i="2"/>
  <c r="AM12" i="2"/>
  <c r="AN12" i="2"/>
  <c r="AM14" i="2"/>
  <c r="AN14" i="2"/>
  <c r="AM22" i="2"/>
  <c r="AN22" i="2"/>
  <c r="AM33" i="2"/>
  <c r="AN33" i="2"/>
  <c r="AM17" i="2"/>
  <c r="AN17" i="2"/>
  <c r="AM25" i="2"/>
  <c r="AN25" i="2"/>
  <c r="AM23" i="2"/>
  <c r="AN23" i="2"/>
  <c r="AM4" i="2"/>
  <c r="AN4" i="2"/>
  <c r="BR8" i="2"/>
  <c r="BR37" i="2" s="1"/>
  <c r="AB8" i="2"/>
  <c r="CX7" i="2"/>
  <c r="CW9" i="2" s="1"/>
  <c r="CX10" i="2" s="1"/>
  <c r="BS2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3" i="2"/>
  <c r="BQ23" i="2"/>
  <c r="AU21" i="2"/>
  <c r="BQ21" i="2"/>
  <c r="AU28" i="2"/>
  <c r="BQ28" i="2"/>
  <c r="AU18" i="2"/>
  <c r="BQ18" i="2"/>
  <c r="AU9" i="2"/>
  <c r="BQ9" i="2"/>
  <c r="AU17" i="2"/>
  <c r="BQ17" i="2"/>
  <c r="AU3" i="2"/>
  <c r="BQ3" i="2"/>
  <c r="AU4" i="2"/>
  <c r="BQ4" i="2"/>
  <c r="AU26" i="2"/>
  <c r="BQ26" i="2"/>
  <c r="AU16" i="2"/>
  <c r="BQ16" i="2"/>
  <c r="AU20" i="2"/>
  <c r="BQ20" i="2"/>
  <c r="AU19" i="2"/>
  <c r="BQ19" i="2"/>
  <c r="AU30" i="2"/>
  <c r="BQ30" i="2"/>
  <c r="AU25" i="2"/>
  <c r="BQ25" i="2"/>
  <c r="AU27" i="2"/>
  <c r="BQ27" i="2"/>
  <c r="AU15" i="2"/>
  <c r="BQ15" i="2"/>
  <c r="AU29" i="2"/>
  <c r="BQ29" i="2"/>
  <c r="AU2" i="2"/>
  <c r="BQ2" i="2"/>
  <c r="AU32" i="2"/>
  <c r="BQ32" i="2"/>
  <c r="AU7" i="2"/>
  <c r="BQ7" i="2"/>
  <c r="AU33" i="2"/>
  <c r="BQ33" i="2"/>
  <c r="AU10" i="2"/>
  <c r="BQ10" i="2"/>
  <c r="AU6" i="2"/>
  <c r="BQ6" i="2"/>
  <c r="AU13" i="2"/>
  <c r="BQ13" i="2"/>
  <c r="AU31" i="2"/>
  <c r="BQ31" i="2"/>
  <c r="AU22" i="2"/>
  <c r="BQ22" i="2"/>
  <c r="AU12" i="2"/>
  <c r="BQ12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4" i="2"/>
  <c r="AR35" i="2"/>
  <c r="AR37" i="2"/>
  <c r="AR36" i="2"/>
  <c r="AU24" i="2"/>
  <c r="AQ35" i="2"/>
  <c r="AQ37" i="2"/>
  <c r="AQ36" i="2"/>
  <c r="K35" i="2"/>
  <c r="AV8" i="2"/>
  <c r="AU8" i="2"/>
  <c r="DA7" i="2"/>
  <c r="AS8" i="2"/>
  <c r="AS37" i="2" s="1"/>
  <c r="DB4" i="2" l="1"/>
  <c r="DE9" i="2"/>
  <c r="BS8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<sst xmlns="http://schemas.openxmlformats.org/spreadsheetml/2006/main" count="6035" uniqueCount="766">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</sst>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-3</c:v>
                </c:pt>
                <c:pt idx="425">
                  <c:v>-3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0</c:v>
                </c:pt>
                <c:pt idx="423">
                  <c:v>2</c:v>
                </c:pt>
                <c:pt idx="424">
                  <c:v>-4</c:v>
                </c:pt>
                <c:pt idx="425">
                  <c:v>-4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-9</c:v>
                </c:pt>
                <c:pt idx="422">
                  <c:v>-9</c:v>
                </c:pt>
                <c:pt idx="423">
                  <c:v>-9</c:v>
                </c:pt>
                <c:pt idx="424">
                  <c:v>-9</c:v>
                </c:pt>
                <c:pt idx="425">
                  <c:v>-9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0.16864608076009502</c:v>
                </c:pt>
                <c:pt idx="1">
                  <c:v>0.39429928741092635</c:v>
                </c:pt>
                <c:pt idx="2">
                  <c:v>0.22565320665083136</c:v>
                </c:pt>
                <c:pt idx="3">
                  <c:v>0.15201900237529692</c:v>
                </c:pt>
                <c:pt idx="4">
                  <c:v>4.2755344418052253E-2</c:v>
                </c:pt>
                <c:pt idx="5">
                  <c:v>9.5011876484560574E-3</c:v>
                </c:pt>
                <c:pt idx="6">
                  <c:v>9.5011876484560574E-3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0.16152019002375298</c:v>
                </c:pt>
                <c:pt idx="1">
                  <c:v>0.38004750593824227</c:v>
                </c:pt>
                <c:pt idx="2">
                  <c:v>0.25890736342042753</c:v>
                </c:pt>
                <c:pt idx="3">
                  <c:v>0.12351543942992874</c:v>
                </c:pt>
                <c:pt idx="4">
                  <c:v>6.6508313539192399E-2</c:v>
                </c:pt>
                <c:pt idx="5">
                  <c:v>7.1258907363420431E-3</c:v>
                </c:pt>
                <c:pt idx="6">
                  <c:v>4.7505938242280287E-3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0.16508313539192399</c:v>
                </c:pt>
                <c:pt idx="1">
                  <c:v>0.38717339667458434</c:v>
                </c:pt>
                <c:pt idx="2">
                  <c:v>0.24228028503562946</c:v>
                </c:pt>
                <c:pt idx="3">
                  <c:v>0.13776722090261281</c:v>
                </c:pt>
                <c:pt idx="4">
                  <c:v>5.4631828978622329E-2</c:v>
                </c:pt>
                <c:pt idx="5">
                  <c:v>8.3135391923990498E-3</c:v>
                </c:pt>
                <c:pt idx="6">
                  <c:v>7.1258907363420431E-3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18" workbookViewId="0">
      <selection activeCell="Q427" sqref="Q427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421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165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225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141</v>
      </c>
      <c r="BP5" s="57"/>
      <c r="BR5" s="2">
        <v>0</v>
      </c>
      <c r="BS5" s="110" cm="1">
        <f t="array" ref="BS5">SUM(--(ABS($F$3:$F$1315 - $J$3:$J$1315) = 0)) -(((32*82)/2) - $BD$4)</f>
        <v>71</v>
      </c>
      <c r="BT5" s="111">
        <f>$BS5/$BD$4</f>
        <v>0.16864608076009502</v>
      </c>
      <c r="BU5" s="112" cm="1">
        <f t="array" ref="BU5">SUM(--(ABS($G$3:$G$1315 - $K$3:$K$1315) = 0)) -(((32*82)/2) - $BD$4)</f>
        <v>68</v>
      </c>
      <c r="BV5" s="113">
        <f>$BU5/$BD$4</f>
        <v>0.16152019002375298</v>
      </c>
      <c r="BW5" s="109">
        <f t="shared" ref="BW5:BW15" si="5">BS5+BU5</f>
        <v>139</v>
      </c>
      <c r="BX5" s="114">
        <f t="shared" ref="BX5:BX15" si="6">(BS5+BU5)/($BD$4*2)</f>
        <v>0.16508313539192399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196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166</v>
      </c>
      <c r="BT6" s="111">
        <f t="shared" ref="BT6:BT15" si="7">$BS6/$BD$4</f>
        <v>0.39429928741092635</v>
      </c>
      <c r="BU6" s="112" cm="1">
        <f t="array" ref="BU6">SUM(--(ABS($G$3:$G$1315 - $K$3:$K$1315) = $BR6))</f>
        <v>160</v>
      </c>
      <c r="BV6" s="113">
        <f t="shared" ref="BV6:BV15" si="8">$BU6/$BD$4</f>
        <v>0.38004750593824227</v>
      </c>
      <c r="BW6" s="109">
        <f t="shared" si="5"/>
        <v>326</v>
      </c>
      <c r="BX6" s="114">
        <f t="shared" si="6"/>
        <v>0.38717339667458434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0.53444180522565321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34</v>
      </c>
      <c r="BP7" s="57"/>
      <c r="BR7" s="2">
        <v>2</v>
      </c>
      <c r="BS7" s="110" cm="1">
        <f t="array" ref="BS7">SUM(--(ABS($F$3:$F$1315 - $J$3:$J$1315) = $BR7))</f>
        <v>95</v>
      </c>
      <c r="BT7" s="111">
        <f t="shared" si="7"/>
        <v>0.22565320665083136</v>
      </c>
      <c r="BU7" s="112" cm="1">
        <f t="array" ref="BU7">SUM(--(ABS($G$3:$G$1315 - $K$3:$K$1315) = $BR7))</f>
        <v>109</v>
      </c>
      <c r="BV7" s="113">
        <f t="shared" si="8"/>
        <v>0.25890736342042753</v>
      </c>
      <c r="BW7" s="109">
        <f t="shared" si="5"/>
        <v>204</v>
      </c>
      <c r="BX7" s="114">
        <f t="shared" si="6"/>
        <v>0.24228028503562946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64</v>
      </c>
      <c r="BT8" s="111">
        <f t="shared" si="7"/>
        <v>0.15201900237529692</v>
      </c>
      <c r="BU8" s="112" cm="1">
        <f t="array" ref="BU8">SUM(--(ABS($G$3:$G$1315 - $K$3:$K$1315) = $BR8))</f>
        <v>52</v>
      </c>
      <c r="BV8" s="113">
        <f t="shared" si="8"/>
        <v>0.12351543942992874</v>
      </c>
      <c r="BW8" s="109">
        <f t="shared" si="5"/>
        <v>116</v>
      </c>
      <c r="BX8" s="114">
        <f t="shared" si="6"/>
        <v>0.13776722090261281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194.30000000000041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21</v>
      </c>
      <c r="BP9" s="57"/>
      <c r="BR9" s="2">
        <v>4</v>
      </c>
      <c r="BS9" s="110" cm="1">
        <f t="array" ref="BS9">SUM(--(ABS($F$3:$F$1315 - $J$3:$J$1315) = $BR9))</f>
        <v>18</v>
      </c>
      <c r="BT9" s="111">
        <f t="shared" si="7"/>
        <v>4.2755344418052253E-2</v>
      </c>
      <c r="BU9" s="112" cm="1">
        <f t="array" ref="BU9">SUM(--(ABS($G$3:$G$1315 - $K$3:$K$1315) = $BR9))</f>
        <v>28</v>
      </c>
      <c r="BV9" s="113">
        <f t="shared" si="8"/>
        <v>6.6508313539192399E-2</v>
      </c>
      <c r="BW9" s="109">
        <f t="shared" si="5"/>
        <v>46</v>
      </c>
      <c r="BX9" s="114">
        <f t="shared" si="6"/>
        <v>5.4631828978622329E-2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0.46152019002375394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9.5011876484560574E-3</v>
      </c>
      <c r="BU10" s="112" cm="1">
        <f t="array" ref="BU10">SUM(--(ABS($G$3:$G$1315 - $K$3:$K$1315) = $BR10))</f>
        <v>3</v>
      </c>
      <c r="BV10" s="113">
        <f t="shared" si="8"/>
        <v>7.1258907363420431E-3</v>
      </c>
      <c r="BW10" s="109">
        <f t="shared" si="5"/>
        <v>7</v>
      </c>
      <c r="BX10" s="114">
        <f t="shared" si="6"/>
        <v>8.3135391923990498E-3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180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225-141-55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9.5011876484560574E-3</v>
      </c>
      <c r="BU11" s="112" cm="1">
        <f t="array" ref="BU11">SUM(--(ABS($G$3:$G$1315 - $K$3:$K$1315) = $BR11))</f>
        <v>2</v>
      </c>
      <c r="BV11" s="113">
        <f t="shared" si="8"/>
        <v>4.7505938242280287E-3</v>
      </c>
      <c r="BW11" s="109">
        <f t="shared" si="5"/>
        <v>6</v>
      </c>
      <c r="BX11" s="114">
        <f t="shared" si="6"/>
        <v>7.1258907363420431E-3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73</v>
      </c>
      <c r="BF12">
        <f>10/100</f>
        <v>0.1</v>
      </c>
      <c r="BK12" s="57"/>
      <c r="BL12" s="158" t="str">
        <f>_xlfn.CONCAT(TEXT(BM4, "0"),"-",TEXT(BM5, "0"),"-",TEXT(BM7+BM9+BM6+BM8, "0"))</f>
        <v>165-141-115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1.5771971496437052</v>
      </c>
      <c r="BT16" s="157"/>
      <c r="BU16" s="157">
        <f>((BR5*BV5)+(BV6*BR6)+(BV7*BR7)+(BV8*BR8)+(BV9*BR9)+(BV10*BR10)+(BV11*BR11)+(BV12*BR12)+(BV13*BR13)+(BV14*BR14)+(BV15*BR15))</f>
        <v>1.5985748218527314</v>
      </c>
      <c r="BV16" s="157"/>
      <c r="BX16">
        <f>((BR5*BX5)+(BX6*BR6)+(BX7*BR7)+(BX8*BR8)+(BX9*BR9)+(BX10*BR10)+(BX11*BR11)+(BX12*BR12)+(BX13*BR13)+(BX14*BR14)+(BX15*BR15))</f>
        <v>1.5878859857482186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214.30000000000067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0.50902612826603488</v>
      </c>
      <c r="BH18" t="s">
        <v>759</v>
      </c>
      <c r="BI18" s="10">
        <f>BI17/BD4</f>
        <v>4.7505938242280284E-2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4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7.2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0-1-0</v>
      </c>
      <c r="AP410" s="2" t="str">
        <f>INDEX(Sheet5!$B$2:$AG$33, MATCH(Table2[[#This Row],[HomeTeam]],Sheet5!$A$2:$A$33, 0), MATCH(Table2[[#This Row],[AwayTeam]],Sheet5!$A$2:$A$33, 0))</f>
        <v>1-0-0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0-1-0</v>
      </c>
      <c r="AP416" s="2" t="str">
        <f>INDEX(Sheet5!$B$2:$AG$33, MATCH(Table2[[#This Row],[HomeTeam]],Sheet5!$A$2:$A$33, 0), MATCH(Table2[[#This Row],[AwayTeam]],Sheet5!$A$2:$A$33, 0))</f>
        <v>1-0-0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-7</v>
      </c>
      <c r="AI423" s="2">
        <f t="shared" si="38"/>
        <v>-9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2</v>
      </c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>
        <v>1</v>
      </c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0</v>
      </c>
      <c r="AH424" s="2">
        <f t="shared" si="37"/>
        <v>-7</v>
      </c>
      <c r="AI424" s="2">
        <f t="shared" si="38"/>
        <v>-9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-7</v>
      </c>
      <c r="AI425" s="2">
        <f t="shared" si="38"/>
        <v>-9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0</v>
      </c>
      <c r="K426" s="2">
        <v>0</v>
      </c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-3</v>
      </c>
      <c r="AG426" s="2">
        <f>Table2[[#This Row],[ActualHomeScore]]-Table2[[#This Row],[PredictedHomeScore]]</f>
        <v>-4</v>
      </c>
      <c r="AH426" s="2">
        <f t="shared" si="37"/>
        <v>-7</v>
      </c>
      <c r="AI426" s="2">
        <f t="shared" si="38"/>
        <v>-9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0</v>
      </c>
      <c r="K427" s="143">
        <v>0</v>
      </c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-3</v>
      </c>
      <c r="AG427" s="143">
        <f>Table2[[#This Row],[ActualHomeScore]]-Table2[[#This Row],[PredictedHomeScore]]</f>
        <v>-4</v>
      </c>
      <c r="AH427" s="143">
        <f t="shared" si="37"/>
        <v>-7</v>
      </c>
      <c r="AI427" s="143">
        <f t="shared" si="38"/>
        <v>-9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1-0-0</v>
      </c>
      <c r="AP439" s="2" t="str">
        <f>INDEX(Sheet5!$B$2:$AG$33, MATCH(Table2[[#This Row],[HomeTeam]],Sheet5!$A$2:$A$33, 0), MATCH(Table2[[#This Row],[AwayTeam]],Sheet5!$A$2:$A$33, 0))</f>
        <v>0-1-0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1-0-0</v>
      </c>
      <c r="AP448" s="2" t="str">
        <f>INDEX(Sheet5!$B$2:$AG$33, MATCH(Table2[[#This Row],[HomeTeam]],Sheet5!$A$2:$A$33, 0), MATCH(Table2[[#This Row],[AwayTeam]],Sheet5!$A$2:$A$33, 0))</f>
        <v>0-1-0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0-1-0</v>
      </c>
      <c r="AP500" s="2" t="str">
        <f>INDEX(Sheet5!$B$2:$AG$33, MATCH(Table2[[#This Row],[HomeTeam]],Sheet5!$A$2:$A$33, 0), MATCH(Table2[[#This Row],[AwayTeam]],Sheet5!$A$2:$A$33, 0))</f>
        <v>1-0-0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D663:AM663 C664:AM949 C950:X950 C951:AM1314 D1315:BH1048576 AF1:BG1 Z950:AM950 AO23:BI1314 AE1:AE1314 A1:B1048576 BB3:BI5 X4:Y7 BB6:BG11 BI6:BI11 BH6:BH12 BA12:BI16 BA17:BG17 BA18:BI22 BJ45:BJ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34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29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28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30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22</v>
      </c>
      <c r="S64" s="145">
        <f>SUMIFS(Table2[NewPointsAway],Table2[GameDate], "&lt;=" &amp; $A64, Table2[AwayTeam], S$1)+SUMIFS(Table2[NewPointsHome],Table2[GameDate], "&lt;=" &amp; $A64, Table2[HomeTeam], S$1)</f>
        <v>31</v>
      </c>
      <c r="T64" s="145">
        <f>SUMIFS(Table2[NewPointsAway],Table2[GameDate], "&lt;=" &amp; $A64, Table2[AwayTeam], T$1)+SUMIFS(Table2[NewPointsHome],Table2[GameDate], "&lt;=" &amp; $A64, Table2[HomeTeam], T$1)</f>
        <v>30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31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27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34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33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29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28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41</v>
      </c>
      <c r="K65" s="145">
        <f>SUMIFS(Table2[NewPointsAway],Table2[GameDate], "&lt;=" &amp; $A65, Table2[AwayTeam], K$1)+SUMIFS(Table2[NewPointsHome],Table2[GameDate], "&lt;=" &amp; $A65, Table2[HomeTeam], K$1)</f>
        <v>30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22</v>
      </c>
      <c r="S65" s="145">
        <f>SUMIFS(Table2[NewPointsAway],Table2[GameDate], "&lt;=" &amp; $A65, Table2[AwayTeam], S$1)+SUMIFS(Table2[NewPointsHome],Table2[GameDate], "&lt;=" &amp; $A65, Table2[HomeTeam], S$1)</f>
        <v>31</v>
      </c>
      <c r="T65" s="145">
        <f>SUMIFS(Table2[NewPointsAway],Table2[GameDate], "&lt;=" &amp; $A65, Table2[AwayTeam], T$1)+SUMIFS(Table2[NewPointsHome],Table2[GameDate], "&lt;=" &amp; $A65, Table2[HomeTeam], T$1)</f>
        <v>30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31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27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32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34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33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29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28</v>
      </c>
      <c r="I66" s="145">
        <f>SUMIFS(Table2[NewPointsAway],Table2[GameDate], "&lt;=" &amp; $A66, Table2[AwayTeam], I$1)+SUMIFS(Table2[NewPointsHome],Table2[GameDate], "&lt;=" &amp; $A66, Table2[HomeTeam], I$1)</f>
        <v>44</v>
      </c>
      <c r="J66" s="145">
        <f>SUMIFS(Table2[NewPointsAway],Table2[GameDate], "&lt;=" &amp; $A66, Table2[AwayTeam], J$1)+SUMIFS(Table2[NewPointsHome],Table2[GameDate], "&lt;=" &amp; $A66, Table2[HomeTeam], J$1)</f>
        <v>41</v>
      </c>
      <c r="K66" s="145">
        <f>SUMIFS(Table2[NewPointsAway],Table2[GameDate], "&lt;=" &amp; $A66, Table2[AwayTeam], K$1)+SUMIFS(Table2[NewPointsHome],Table2[GameDate], "&lt;=" &amp; $A66, Table2[HomeTeam], K$1)</f>
        <v>30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22</v>
      </c>
      <c r="S66" s="145">
        <f>SUMIFS(Table2[NewPointsAway],Table2[GameDate], "&lt;=" &amp; $A66, Table2[AwayTeam], S$1)+SUMIFS(Table2[NewPointsHome],Table2[GameDate], "&lt;=" &amp; $A66, Table2[HomeTeam], S$1)</f>
        <v>31</v>
      </c>
      <c r="T66" s="145">
        <f>SUMIFS(Table2[NewPointsAway],Table2[GameDate], "&lt;=" &amp; $A66, Table2[AwayTeam], T$1)+SUMIFS(Table2[NewPointsHome],Table2[GameDate], "&lt;=" &amp; $A66, Table2[HomeTeam], T$1)</f>
        <v>30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31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27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32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34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33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29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28</v>
      </c>
      <c r="I67" s="145">
        <f>SUMIFS(Table2[NewPointsAway],Table2[GameDate], "&lt;=" &amp; $A67, Table2[AwayTeam], I$1)+SUMIFS(Table2[NewPointsHome],Table2[GameDate], "&lt;=" &amp; $A67, Table2[HomeTeam], I$1)</f>
        <v>44</v>
      </c>
      <c r="J67" s="145">
        <f>SUMIFS(Table2[NewPointsAway],Table2[GameDate], "&lt;=" &amp; $A67, Table2[AwayTeam], J$1)+SUMIFS(Table2[NewPointsHome],Table2[GameDate], "&lt;=" &amp; $A67, Table2[HomeTeam], J$1)</f>
        <v>41</v>
      </c>
      <c r="K67" s="145">
        <f>SUMIFS(Table2[NewPointsAway],Table2[GameDate], "&lt;=" &amp; $A67, Table2[AwayTeam], K$1)+SUMIFS(Table2[NewPointsHome],Table2[GameDate], "&lt;=" &amp; $A67, Table2[HomeTeam], K$1)</f>
        <v>30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22</v>
      </c>
      <c r="S67" s="145">
        <f>SUMIFS(Table2[NewPointsAway],Table2[GameDate], "&lt;=" &amp; $A67, Table2[AwayTeam], S$1)+SUMIFS(Table2[NewPointsHome],Table2[GameDate], "&lt;=" &amp; $A67, Table2[HomeTeam], S$1)</f>
        <v>31</v>
      </c>
      <c r="T67" s="145">
        <f>SUMIFS(Table2[NewPointsAway],Table2[GameDate], "&lt;=" &amp; $A67, Table2[AwayTeam], T$1)+SUMIFS(Table2[NewPointsHome],Table2[GameDate], "&lt;=" &amp; $A67, Table2[HomeTeam], T$1)</f>
        <v>30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31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29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27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32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34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33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29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28</v>
      </c>
      <c r="I68" s="145">
        <f>SUMIFS(Table2[NewPointsAway],Table2[GameDate], "&lt;=" &amp; $A68, Table2[AwayTeam], I$1)+SUMIFS(Table2[NewPointsHome],Table2[GameDate], "&lt;=" &amp; $A68, Table2[HomeTeam], I$1)</f>
        <v>44</v>
      </c>
      <c r="J68" s="145">
        <f>SUMIFS(Table2[NewPointsAway],Table2[GameDate], "&lt;=" &amp; $A68, Table2[AwayTeam], J$1)+SUMIFS(Table2[NewPointsHome],Table2[GameDate], "&lt;=" &amp; $A68, Table2[HomeTeam], J$1)</f>
        <v>41</v>
      </c>
      <c r="K68" s="145">
        <f>SUMIFS(Table2[NewPointsAway],Table2[GameDate], "&lt;=" &amp; $A68, Table2[AwayTeam], K$1)+SUMIFS(Table2[NewPointsHome],Table2[GameDate], "&lt;=" &amp; $A68, Table2[HomeTeam], K$1)</f>
        <v>30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22</v>
      </c>
      <c r="S68" s="145">
        <f>SUMIFS(Table2[NewPointsAway],Table2[GameDate], "&lt;=" &amp; $A68, Table2[AwayTeam], S$1)+SUMIFS(Table2[NewPointsHome],Table2[GameDate], "&lt;=" &amp; $A68, Table2[HomeTeam], S$1)</f>
        <v>31</v>
      </c>
      <c r="T68" s="145">
        <f>SUMIFS(Table2[NewPointsAway],Table2[GameDate], "&lt;=" &amp; $A68, Table2[AwayTeam], T$1)+SUMIFS(Table2[NewPointsHome],Table2[GameDate], "&lt;=" &amp; $A68, Table2[HomeTeam], T$1)</f>
        <v>30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31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29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27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32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34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33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29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28</v>
      </c>
      <c r="I69" s="145">
        <f>SUMIFS(Table2[NewPointsAway],Table2[GameDate], "&lt;=" &amp; $A69, Table2[AwayTeam], I$1)+SUMIFS(Table2[NewPointsHome],Table2[GameDate], "&lt;=" &amp; $A69, Table2[HomeTeam], I$1)</f>
        <v>44</v>
      </c>
      <c r="J69" s="145">
        <f>SUMIFS(Table2[NewPointsAway],Table2[GameDate], "&lt;=" &amp; $A69, Table2[AwayTeam], J$1)+SUMIFS(Table2[NewPointsHome],Table2[GameDate], "&lt;=" &amp; $A69, Table2[HomeTeam], J$1)</f>
        <v>41</v>
      </c>
      <c r="K69" s="145">
        <f>SUMIFS(Table2[NewPointsAway],Table2[GameDate], "&lt;=" &amp; $A69, Table2[AwayTeam], K$1)+SUMIFS(Table2[NewPointsHome],Table2[GameDate], "&lt;=" &amp; $A69, Table2[HomeTeam], K$1)</f>
        <v>30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22</v>
      </c>
      <c r="S69" s="145">
        <f>SUMIFS(Table2[NewPointsAway],Table2[GameDate], "&lt;=" &amp; $A69, Table2[AwayTeam], S$1)+SUMIFS(Table2[NewPointsHome],Table2[GameDate], "&lt;=" &amp; $A69, Table2[HomeTeam], S$1)</f>
        <v>31</v>
      </c>
      <c r="T69" s="145">
        <f>SUMIFS(Table2[NewPointsAway],Table2[GameDate], "&lt;=" &amp; $A69, Table2[AwayTeam], T$1)+SUMIFS(Table2[NewPointsHome],Table2[GameDate], "&lt;=" &amp; $A69, Table2[HomeTeam], T$1)</f>
        <v>30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31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29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27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32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34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33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29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28</v>
      </c>
      <c r="I70" s="145">
        <f>SUMIFS(Table2[NewPointsAway],Table2[GameDate], "&lt;=" &amp; $A70, Table2[AwayTeam], I$1)+SUMIFS(Table2[NewPointsHome],Table2[GameDate], "&lt;=" &amp; $A70, Table2[HomeTeam], I$1)</f>
        <v>44</v>
      </c>
      <c r="J70" s="145">
        <f>SUMIFS(Table2[NewPointsAway],Table2[GameDate], "&lt;=" &amp; $A70, Table2[AwayTeam], J$1)+SUMIFS(Table2[NewPointsHome],Table2[GameDate], "&lt;=" &amp; $A70, Table2[HomeTeam], J$1)</f>
        <v>41</v>
      </c>
      <c r="K70" s="145">
        <f>SUMIFS(Table2[NewPointsAway],Table2[GameDate], "&lt;=" &amp; $A70, Table2[AwayTeam], K$1)+SUMIFS(Table2[NewPointsHome],Table2[GameDate], "&lt;=" &amp; $A70, Table2[HomeTeam], K$1)</f>
        <v>30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22</v>
      </c>
      <c r="S70" s="145">
        <f>SUMIFS(Table2[NewPointsAway],Table2[GameDate], "&lt;=" &amp; $A70, Table2[AwayTeam], S$1)+SUMIFS(Table2[NewPointsHome],Table2[GameDate], "&lt;=" &amp; $A70, Table2[HomeTeam], S$1)</f>
        <v>31</v>
      </c>
      <c r="T70" s="145">
        <f>SUMIFS(Table2[NewPointsAway],Table2[GameDate], "&lt;=" &amp; $A70, Table2[AwayTeam], T$1)+SUMIFS(Table2[NewPointsHome],Table2[GameDate], "&lt;=" &amp; $A70, Table2[HomeTeam], T$1)</f>
        <v>30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31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29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27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32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34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33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29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28</v>
      </c>
      <c r="I71" s="145">
        <f>SUMIFS(Table2[NewPointsAway],Table2[GameDate], "&lt;=" &amp; $A71, Table2[AwayTeam], I$1)+SUMIFS(Table2[NewPointsHome],Table2[GameDate], "&lt;=" &amp; $A71, Table2[HomeTeam], I$1)</f>
        <v>44</v>
      </c>
      <c r="J71" s="145">
        <f>SUMIFS(Table2[NewPointsAway],Table2[GameDate], "&lt;=" &amp; $A71, Table2[AwayTeam], J$1)+SUMIFS(Table2[NewPointsHome],Table2[GameDate], "&lt;=" &amp; $A71, Table2[HomeTeam], J$1)</f>
        <v>41</v>
      </c>
      <c r="K71" s="145">
        <f>SUMIFS(Table2[NewPointsAway],Table2[GameDate], "&lt;=" &amp; $A71, Table2[AwayTeam], K$1)+SUMIFS(Table2[NewPointsHome],Table2[GameDate], "&lt;=" &amp; $A71, Table2[HomeTeam], K$1)</f>
        <v>30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22</v>
      </c>
      <c r="S71" s="145">
        <f>SUMIFS(Table2[NewPointsAway],Table2[GameDate], "&lt;=" &amp; $A71, Table2[AwayTeam], S$1)+SUMIFS(Table2[NewPointsHome],Table2[GameDate], "&lt;=" &amp; $A71, Table2[HomeTeam], S$1)</f>
        <v>31</v>
      </c>
      <c r="T71" s="145">
        <f>SUMIFS(Table2[NewPointsAway],Table2[GameDate], "&lt;=" &amp; $A71, Table2[AwayTeam], T$1)+SUMIFS(Table2[NewPointsHome],Table2[GameDate], "&lt;=" &amp; $A71, Table2[HomeTeam], T$1)</f>
        <v>30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31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29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27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32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34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33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29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28</v>
      </c>
      <c r="I72" s="145">
        <f>SUMIFS(Table2[NewPointsAway],Table2[GameDate], "&lt;=" &amp; $A72, Table2[AwayTeam], I$1)+SUMIFS(Table2[NewPointsHome],Table2[GameDate], "&lt;=" &amp; $A72, Table2[HomeTeam], I$1)</f>
        <v>44</v>
      </c>
      <c r="J72" s="145">
        <f>SUMIFS(Table2[NewPointsAway],Table2[GameDate], "&lt;=" &amp; $A72, Table2[AwayTeam], J$1)+SUMIFS(Table2[NewPointsHome],Table2[GameDate], "&lt;=" &amp; $A72, Table2[HomeTeam], J$1)</f>
        <v>41</v>
      </c>
      <c r="K72" s="145">
        <f>SUMIFS(Table2[NewPointsAway],Table2[GameDate], "&lt;=" &amp; $A72, Table2[AwayTeam], K$1)+SUMIFS(Table2[NewPointsHome],Table2[GameDate], "&lt;=" &amp; $A72, Table2[HomeTeam], K$1)</f>
        <v>30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22</v>
      </c>
      <c r="S72" s="145">
        <f>SUMIFS(Table2[NewPointsAway],Table2[GameDate], "&lt;=" &amp; $A72, Table2[AwayTeam], S$1)+SUMIFS(Table2[NewPointsHome],Table2[GameDate], "&lt;=" &amp; $A72, Table2[HomeTeam], S$1)</f>
        <v>31</v>
      </c>
      <c r="T72" s="145">
        <f>SUMIFS(Table2[NewPointsAway],Table2[GameDate], "&lt;=" &amp; $A72, Table2[AwayTeam], T$1)+SUMIFS(Table2[NewPointsHome],Table2[GameDate], "&lt;=" &amp; $A72, Table2[HomeTeam], T$1)</f>
        <v>30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31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29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27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32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34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33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29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28</v>
      </c>
      <c r="I73" s="145">
        <f>SUMIFS(Table2[NewPointsAway],Table2[GameDate], "&lt;=" &amp; $A73, Table2[AwayTeam], I$1)+SUMIFS(Table2[NewPointsHome],Table2[GameDate], "&lt;=" &amp; $A73, Table2[HomeTeam], I$1)</f>
        <v>44</v>
      </c>
      <c r="J73" s="145">
        <f>SUMIFS(Table2[NewPointsAway],Table2[GameDate], "&lt;=" &amp; $A73, Table2[AwayTeam], J$1)+SUMIFS(Table2[NewPointsHome],Table2[GameDate], "&lt;=" &amp; $A73, Table2[HomeTeam], J$1)</f>
        <v>41</v>
      </c>
      <c r="K73" s="145">
        <f>SUMIFS(Table2[NewPointsAway],Table2[GameDate], "&lt;=" &amp; $A73, Table2[AwayTeam], K$1)+SUMIFS(Table2[NewPointsHome],Table2[GameDate], "&lt;=" &amp; $A73, Table2[HomeTeam], K$1)</f>
        <v>30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22</v>
      </c>
      <c r="S73" s="145">
        <f>SUMIFS(Table2[NewPointsAway],Table2[GameDate], "&lt;=" &amp; $A73, Table2[AwayTeam], S$1)+SUMIFS(Table2[NewPointsHome],Table2[GameDate], "&lt;=" &amp; $A73, Table2[HomeTeam], S$1)</f>
        <v>31</v>
      </c>
      <c r="T73" s="145">
        <f>SUMIFS(Table2[NewPointsAway],Table2[GameDate], "&lt;=" &amp; $A73, Table2[AwayTeam], T$1)+SUMIFS(Table2[NewPointsHome],Table2[GameDate], "&lt;=" &amp; $A73, Table2[HomeTeam], T$1)</f>
        <v>30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31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29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27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32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34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33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29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28</v>
      </c>
      <c r="I74" s="145">
        <f>SUMIFS(Table2[NewPointsAway],Table2[GameDate], "&lt;=" &amp; $A74, Table2[AwayTeam], I$1)+SUMIFS(Table2[NewPointsHome],Table2[GameDate], "&lt;=" &amp; $A74, Table2[HomeTeam], I$1)</f>
        <v>44</v>
      </c>
      <c r="J74" s="145">
        <f>SUMIFS(Table2[NewPointsAway],Table2[GameDate], "&lt;=" &amp; $A74, Table2[AwayTeam], J$1)+SUMIFS(Table2[NewPointsHome],Table2[GameDate], "&lt;=" &amp; $A74, Table2[HomeTeam], J$1)</f>
        <v>41</v>
      </c>
      <c r="K74" s="145">
        <f>SUMIFS(Table2[NewPointsAway],Table2[GameDate], "&lt;=" &amp; $A74, Table2[AwayTeam], K$1)+SUMIFS(Table2[NewPointsHome],Table2[GameDate], "&lt;=" &amp; $A74, Table2[HomeTeam], K$1)</f>
        <v>30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22</v>
      </c>
      <c r="S74" s="145">
        <f>SUMIFS(Table2[NewPointsAway],Table2[GameDate], "&lt;=" &amp; $A74, Table2[AwayTeam], S$1)+SUMIFS(Table2[NewPointsHome],Table2[GameDate], "&lt;=" &amp; $A74, Table2[HomeTeam], S$1)</f>
        <v>31</v>
      </c>
      <c r="T74" s="145">
        <f>SUMIFS(Table2[NewPointsAway],Table2[GameDate], "&lt;=" &amp; $A74, Table2[AwayTeam], T$1)+SUMIFS(Table2[NewPointsHome],Table2[GameDate], "&lt;=" &amp; $A74, Table2[HomeTeam], T$1)</f>
        <v>30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31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29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27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32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34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33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29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28</v>
      </c>
      <c r="I75" s="145">
        <f>SUMIFS(Table2[NewPointsAway],Table2[GameDate], "&lt;=" &amp; $A75, Table2[AwayTeam], I$1)+SUMIFS(Table2[NewPointsHome],Table2[GameDate], "&lt;=" &amp; $A75, Table2[HomeTeam], I$1)</f>
        <v>44</v>
      </c>
      <c r="J75" s="145">
        <f>SUMIFS(Table2[NewPointsAway],Table2[GameDate], "&lt;=" &amp; $A75, Table2[AwayTeam], J$1)+SUMIFS(Table2[NewPointsHome],Table2[GameDate], "&lt;=" &amp; $A75, Table2[HomeTeam], J$1)</f>
        <v>41</v>
      </c>
      <c r="K75" s="145">
        <f>SUMIFS(Table2[NewPointsAway],Table2[GameDate], "&lt;=" &amp; $A75, Table2[AwayTeam], K$1)+SUMIFS(Table2[NewPointsHome],Table2[GameDate], "&lt;=" &amp; $A75, Table2[HomeTeam], K$1)</f>
        <v>30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22</v>
      </c>
      <c r="S75" s="145">
        <f>SUMIFS(Table2[NewPointsAway],Table2[GameDate], "&lt;=" &amp; $A75, Table2[AwayTeam], S$1)+SUMIFS(Table2[NewPointsHome],Table2[GameDate], "&lt;=" &amp; $A75, Table2[HomeTeam], S$1)</f>
        <v>31</v>
      </c>
      <c r="T75" s="145">
        <f>SUMIFS(Table2[NewPointsAway],Table2[GameDate], "&lt;=" &amp; $A75, Table2[AwayTeam], T$1)+SUMIFS(Table2[NewPointsHome],Table2[GameDate], "&lt;=" &amp; $A75, Table2[HomeTeam], T$1)</f>
        <v>30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31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29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27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32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34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33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29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28</v>
      </c>
      <c r="I76" s="145">
        <f>SUMIFS(Table2[NewPointsAway],Table2[GameDate], "&lt;=" &amp; $A76, Table2[AwayTeam], I$1)+SUMIFS(Table2[NewPointsHome],Table2[GameDate], "&lt;=" &amp; $A76, Table2[HomeTeam], I$1)</f>
        <v>44</v>
      </c>
      <c r="J76" s="145">
        <f>SUMIFS(Table2[NewPointsAway],Table2[GameDate], "&lt;=" &amp; $A76, Table2[AwayTeam], J$1)+SUMIFS(Table2[NewPointsHome],Table2[GameDate], "&lt;=" &amp; $A76, Table2[HomeTeam], J$1)</f>
        <v>41</v>
      </c>
      <c r="K76" s="145">
        <f>SUMIFS(Table2[NewPointsAway],Table2[GameDate], "&lt;=" &amp; $A76, Table2[AwayTeam], K$1)+SUMIFS(Table2[NewPointsHome],Table2[GameDate], "&lt;=" &amp; $A76, Table2[HomeTeam], K$1)</f>
        <v>30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22</v>
      </c>
      <c r="S76" s="145">
        <f>SUMIFS(Table2[NewPointsAway],Table2[GameDate], "&lt;=" &amp; $A76, Table2[AwayTeam], S$1)+SUMIFS(Table2[NewPointsHome],Table2[GameDate], "&lt;=" &amp; $A76, Table2[HomeTeam], S$1)</f>
        <v>31</v>
      </c>
      <c r="T76" s="145">
        <f>SUMIFS(Table2[NewPointsAway],Table2[GameDate], "&lt;=" &amp; $A76, Table2[AwayTeam], T$1)+SUMIFS(Table2[NewPointsHome],Table2[GameDate], "&lt;=" &amp; $A76, Table2[HomeTeam], T$1)</f>
        <v>30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31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29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27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32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34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33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29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28</v>
      </c>
      <c r="I77" s="145">
        <f>SUMIFS(Table2[NewPointsAway],Table2[GameDate], "&lt;=" &amp; $A77, Table2[AwayTeam], I$1)+SUMIFS(Table2[NewPointsHome],Table2[GameDate], "&lt;=" &amp; $A77, Table2[HomeTeam], I$1)</f>
        <v>44</v>
      </c>
      <c r="J77" s="145">
        <f>SUMIFS(Table2[NewPointsAway],Table2[GameDate], "&lt;=" &amp; $A77, Table2[AwayTeam], J$1)+SUMIFS(Table2[NewPointsHome],Table2[GameDate], "&lt;=" &amp; $A77, Table2[HomeTeam], J$1)</f>
        <v>41</v>
      </c>
      <c r="K77" s="145">
        <f>SUMIFS(Table2[NewPointsAway],Table2[GameDate], "&lt;=" &amp; $A77, Table2[AwayTeam], K$1)+SUMIFS(Table2[NewPointsHome],Table2[GameDate], "&lt;=" &amp; $A77, Table2[HomeTeam], K$1)</f>
        <v>30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22</v>
      </c>
      <c r="S77" s="145">
        <f>SUMIFS(Table2[NewPointsAway],Table2[GameDate], "&lt;=" &amp; $A77, Table2[AwayTeam], S$1)+SUMIFS(Table2[NewPointsHome],Table2[GameDate], "&lt;=" &amp; $A77, Table2[HomeTeam], S$1)</f>
        <v>31</v>
      </c>
      <c r="T77" s="145">
        <f>SUMIFS(Table2[NewPointsAway],Table2[GameDate], "&lt;=" &amp; $A77, Table2[AwayTeam], T$1)+SUMIFS(Table2[NewPointsHome],Table2[GameDate], "&lt;=" &amp; $A77, Table2[HomeTeam], T$1)</f>
        <v>30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31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29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27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32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34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33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29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28</v>
      </c>
      <c r="I78" s="145">
        <f>SUMIFS(Table2[NewPointsAway],Table2[GameDate], "&lt;=" &amp; $A78, Table2[AwayTeam], I$1)+SUMIFS(Table2[NewPointsHome],Table2[GameDate], "&lt;=" &amp; $A78, Table2[HomeTeam], I$1)</f>
        <v>44</v>
      </c>
      <c r="J78" s="145">
        <f>SUMIFS(Table2[NewPointsAway],Table2[GameDate], "&lt;=" &amp; $A78, Table2[AwayTeam], J$1)+SUMIFS(Table2[NewPointsHome],Table2[GameDate], "&lt;=" &amp; $A78, Table2[HomeTeam], J$1)</f>
        <v>41</v>
      </c>
      <c r="K78" s="145">
        <f>SUMIFS(Table2[NewPointsAway],Table2[GameDate], "&lt;=" &amp; $A78, Table2[AwayTeam], K$1)+SUMIFS(Table2[NewPointsHome],Table2[GameDate], "&lt;=" &amp; $A78, Table2[HomeTeam], K$1)</f>
        <v>30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22</v>
      </c>
      <c r="S78" s="145">
        <f>SUMIFS(Table2[NewPointsAway],Table2[GameDate], "&lt;=" &amp; $A78, Table2[AwayTeam], S$1)+SUMIFS(Table2[NewPointsHome],Table2[GameDate], "&lt;=" &amp; $A78, Table2[HomeTeam], S$1)</f>
        <v>31</v>
      </c>
      <c r="T78" s="145">
        <f>SUMIFS(Table2[NewPointsAway],Table2[GameDate], "&lt;=" &amp; $A78, Table2[AwayTeam], T$1)+SUMIFS(Table2[NewPointsHome],Table2[GameDate], "&lt;=" &amp; $A78, Table2[HomeTeam], T$1)</f>
        <v>30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31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29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27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32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34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33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29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28</v>
      </c>
      <c r="I79" s="145">
        <f>SUMIFS(Table2[NewPointsAway],Table2[GameDate], "&lt;=" &amp; $A79, Table2[AwayTeam], I$1)+SUMIFS(Table2[NewPointsHome],Table2[GameDate], "&lt;=" &amp; $A79, Table2[HomeTeam], I$1)</f>
        <v>44</v>
      </c>
      <c r="J79" s="145">
        <f>SUMIFS(Table2[NewPointsAway],Table2[GameDate], "&lt;=" &amp; $A79, Table2[AwayTeam], J$1)+SUMIFS(Table2[NewPointsHome],Table2[GameDate], "&lt;=" &amp; $A79, Table2[HomeTeam], J$1)</f>
        <v>41</v>
      </c>
      <c r="K79" s="145">
        <f>SUMIFS(Table2[NewPointsAway],Table2[GameDate], "&lt;=" &amp; $A79, Table2[AwayTeam], K$1)+SUMIFS(Table2[NewPointsHome],Table2[GameDate], "&lt;=" &amp; $A79, Table2[HomeTeam], K$1)</f>
        <v>30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22</v>
      </c>
      <c r="S79" s="145">
        <f>SUMIFS(Table2[NewPointsAway],Table2[GameDate], "&lt;=" &amp; $A79, Table2[AwayTeam], S$1)+SUMIFS(Table2[NewPointsHome],Table2[GameDate], "&lt;=" &amp; $A79, Table2[HomeTeam], S$1)</f>
        <v>31</v>
      </c>
      <c r="T79" s="145">
        <f>SUMIFS(Table2[NewPointsAway],Table2[GameDate], "&lt;=" &amp; $A79, Table2[AwayTeam], T$1)+SUMIFS(Table2[NewPointsHome],Table2[GameDate], "&lt;=" &amp; $A79, Table2[HomeTeam], T$1)</f>
        <v>30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31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29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27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32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34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33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29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28</v>
      </c>
      <c r="I80" s="145">
        <f>SUMIFS(Table2[NewPointsAway],Table2[GameDate], "&lt;=" &amp; $A80, Table2[AwayTeam], I$1)+SUMIFS(Table2[NewPointsHome],Table2[GameDate], "&lt;=" &amp; $A80, Table2[HomeTeam], I$1)</f>
        <v>44</v>
      </c>
      <c r="J80" s="145">
        <f>SUMIFS(Table2[NewPointsAway],Table2[GameDate], "&lt;=" &amp; $A80, Table2[AwayTeam], J$1)+SUMIFS(Table2[NewPointsHome],Table2[GameDate], "&lt;=" &amp; $A80, Table2[HomeTeam], J$1)</f>
        <v>41</v>
      </c>
      <c r="K80" s="145">
        <f>SUMIFS(Table2[NewPointsAway],Table2[GameDate], "&lt;=" &amp; $A80, Table2[AwayTeam], K$1)+SUMIFS(Table2[NewPointsHome],Table2[GameDate], "&lt;=" &amp; $A80, Table2[HomeTeam], K$1)</f>
        <v>30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22</v>
      </c>
      <c r="S80" s="145">
        <f>SUMIFS(Table2[NewPointsAway],Table2[GameDate], "&lt;=" &amp; $A80, Table2[AwayTeam], S$1)+SUMIFS(Table2[NewPointsHome],Table2[GameDate], "&lt;=" &amp; $A80, Table2[HomeTeam], S$1)</f>
        <v>31</v>
      </c>
      <c r="T80" s="145">
        <f>SUMIFS(Table2[NewPointsAway],Table2[GameDate], "&lt;=" &amp; $A80, Table2[AwayTeam], T$1)+SUMIFS(Table2[NewPointsHome],Table2[GameDate], "&lt;=" &amp; $A80, Table2[HomeTeam], T$1)</f>
        <v>30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31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29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27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32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34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33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29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28</v>
      </c>
      <c r="I81" s="145">
        <f>SUMIFS(Table2[NewPointsAway],Table2[GameDate], "&lt;=" &amp; $A81, Table2[AwayTeam], I$1)+SUMIFS(Table2[NewPointsHome],Table2[GameDate], "&lt;=" &amp; $A81, Table2[HomeTeam], I$1)</f>
        <v>44</v>
      </c>
      <c r="J81" s="145">
        <f>SUMIFS(Table2[NewPointsAway],Table2[GameDate], "&lt;=" &amp; $A81, Table2[AwayTeam], J$1)+SUMIFS(Table2[NewPointsHome],Table2[GameDate], "&lt;=" &amp; $A81, Table2[HomeTeam], J$1)</f>
        <v>41</v>
      </c>
      <c r="K81" s="145">
        <f>SUMIFS(Table2[NewPointsAway],Table2[GameDate], "&lt;=" &amp; $A81, Table2[AwayTeam], K$1)+SUMIFS(Table2[NewPointsHome],Table2[GameDate], "&lt;=" &amp; $A81, Table2[HomeTeam], K$1)</f>
        <v>30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22</v>
      </c>
      <c r="S81" s="145">
        <f>SUMIFS(Table2[NewPointsAway],Table2[GameDate], "&lt;=" &amp; $A81, Table2[AwayTeam], S$1)+SUMIFS(Table2[NewPointsHome],Table2[GameDate], "&lt;=" &amp; $A81, Table2[HomeTeam], S$1)</f>
        <v>31</v>
      </c>
      <c r="T81" s="145">
        <f>SUMIFS(Table2[NewPointsAway],Table2[GameDate], "&lt;=" &amp; $A81, Table2[AwayTeam], T$1)+SUMIFS(Table2[NewPointsHome],Table2[GameDate], "&lt;=" &amp; $A81, Table2[HomeTeam], T$1)</f>
        <v>30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31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29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27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32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34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33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29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28</v>
      </c>
      <c r="I82" s="145">
        <f>SUMIFS(Table2[NewPointsAway],Table2[GameDate], "&lt;=" &amp; $A82, Table2[AwayTeam], I$1)+SUMIFS(Table2[NewPointsHome],Table2[GameDate], "&lt;=" &amp; $A82, Table2[HomeTeam], I$1)</f>
        <v>44</v>
      </c>
      <c r="J82" s="145">
        <f>SUMIFS(Table2[NewPointsAway],Table2[GameDate], "&lt;=" &amp; $A82, Table2[AwayTeam], J$1)+SUMIFS(Table2[NewPointsHome],Table2[GameDate], "&lt;=" &amp; $A82, Table2[HomeTeam], J$1)</f>
        <v>41</v>
      </c>
      <c r="K82" s="145">
        <f>SUMIFS(Table2[NewPointsAway],Table2[GameDate], "&lt;=" &amp; $A82, Table2[AwayTeam], K$1)+SUMIFS(Table2[NewPointsHome],Table2[GameDate], "&lt;=" &amp; $A82, Table2[HomeTeam], K$1)</f>
        <v>30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22</v>
      </c>
      <c r="S82" s="145">
        <f>SUMIFS(Table2[NewPointsAway],Table2[GameDate], "&lt;=" &amp; $A82, Table2[AwayTeam], S$1)+SUMIFS(Table2[NewPointsHome],Table2[GameDate], "&lt;=" &amp; $A82, Table2[HomeTeam], S$1)</f>
        <v>31</v>
      </c>
      <c r="T82" s="145">
        <f>SUMIFS(Table2[NewPointsAway],Table2[GameDate], "&lt;=" &amp; $A82, Table2[AwayTeam], T$1)+SUMIFS(Table2[NewPointsHome],Table2[GameDate], "&lt;=" &amp; $A82, Table2[HomeTeam], T$1)</f>
        <v>30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31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29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27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32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34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33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29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28</v>
      </c>
      <c r="I83" s="145">
        <f>SUMIFS(Table2[NewPointsAway],Table2[GameDate], "&lt;=" &amp; $A83, Table2[AwayTeam], I$1)+SUMIFS(Table2[NewPointsHome],Table2[GameDate], "&lt;=" &amp; $A83, Table2[HomeTeam], I$1)</f>
        <v>44</v>
      </c>
      <c r="J83" s="145">
        <f>SUMIFS(Table2[NewPointsAway],Table2[GameDate], "&lt;=" &amp; $A83, Table2[AwayTeam], J$1)+SUMIFS(Table2[NewPointsHome],Table2[GameDate], "&lt;=" &amp; $A83, Table2[HomeTeam], J$1)</f>
        <v>41</v>
      </c>
      <c r="K83" s="145">
        <f>SUMIFS(Table2[NewPointsAway],Table2[GameDate], "&lt;=" &amp; $A83, Table2[AwayTeam], K$1)+SUMIFS(Table2[NewPointsHome],Table2[GameDate], "&lt;=" &amp; $A83, Table2[HomeTeam], K$1)</f>
        <v>30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22</v>
      </c>
      <c r="S83" s="145">
        <f>SUMIFS(Table2[NewPointsAway],Table2[GameDate], "&lt;=" &amp; $A83, Table2[AwayTeam], S$1)+SUMIFS(Table2[NewPointsHome],Table2[GameDate], "&lt;=" &amp; $A83, Table2[HomeTeam], S$1)</f>
        <v>31</v>
      </c>
      <c r="T83" s="145">
        <f>SUMIFS(Table2[NewPointsAway],Table2[GameDate], "&lt;=" &amp; $A83, Table2[AwayTeam], T$1)+SUMIFS(Table2[NewPointsHome],Table2[GameDate], "&lt;=" &amp; $A83, Table2[HomeTeam], T$1)</f>
        <v>30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31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29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27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32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34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33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29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28</v>
      </c>
      <c r="I84" s="145">
        <f>SUMIFS(Table2[NewPointsAway],Table2[GameDate], "&lt;=" &amp; $A84, Table2[AwayTeam], I$1)+SUMIFS(Table2[NewPointsHome],Table2[GameDate], "&lt;=" &amp; $A84, Table2[HomeTeam], I$1)</f>
        <v>44</v>
      </c>
      <c r="J84" s="145">
        <f>SUMIFS(Table2[NewPointsAway],Table2[GameDate], "&lt;=" &amp; $A84, Table2[AwayTeam], J$1)+SUMIFS(Table2[NewPointsHome],Table2[GameDate], "&lt;=" &amp; $A84, Table2[HomeTeam], J$1)</f>
        <v>41</v>
      </c>
      <c r="K84" s="145">
        <f>SUMIFS(Table2[NewPointsAway],Table2[GameDate], "&lt;=" &amp; $A84, Table2[AwayTeam], K$1)+SUMIFS(Table2[NewPointsHome],Table2[GameDate], "&lt;=" &amp; $A84, Table2[HomeTeam], K$1)</f>
        <v>30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22</v>
      </c>
      <c r="S84" s="145">
        <f>SUMIFS(Table2[NewPointsAway],Table2[GameDate], "&lt;=" &amp; $A84, Table2[AwayTeam], S$1)+SUMIFS(Table2[NewPointsHome],Table2[GameDate], "&lt;=" &amp; $A84, Table2[HomeTeam], S$1)</f>
        <v>31</v>
      </c>
      <c r="T84" s="145">
        <f>SUMIFS(Table2[NewPointsAway],Table2[GameDate], "&lt;=" &amp; $A84, Table2[AwayTeam], T$1)+SUMIFS(Table2[NewPointsHome],Table2[GameDate], "&lt;=" &amp; $A84, Table2[HomeTeam], T$1)</f>
        <v>30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31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29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27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32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34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33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29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28</v>
      </c>
      <c r="I85" s="145">
        <f>SUMIFS(Table2[NewPointsAway],Table2[GameDate], "&lt;=" &amp; $A85, Table2[AwayTeam], I$1)+SUMIFS(Table2[NewPointsHome],Table2[GameDate], "&lt;=" &amp; $A85, Table2[HomeTeam], I$1)</f>
        <v>44</v>
      </c>
      <c r="J85" s="145">
        <f>SUMIFS(Table2[NewPointsAway],Table2[GameDate], "&lt;=" &amp; $A85, Table2[AwayTeam], J$1)+SUMIFS(Table2[NewPointsHome],Table2[GameDate], "&lt;=" &amp; $A85, Table2[HomeTeam], J$1)</f>
        <v>41</v>
      </c>
      <c r="K85" s="145">
        <f>SUMIFS(Table2[NewPointsAway],Table2[GameDate], "&lt;=" &amp; $A85, Table2[AwayTeam], K$1)+SUMIFS(Table2[NewPointsHome],Table2[GameDate], "&lt;=" &amp; $A85, Table2[HomeTeam], K$1)</f>
        <v>30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22</v>
      </c>
      <c r="S85" s="145">
        <f>SUMIFS(Table2[NewPointsAway],Table2[GameDate], "&lt;=" &amp; $A85, Table2[AwayTeam], S$1)+SUMIFS(Table2[NewPointsHome],Table2[GameDate], "&lt;=" &amp; $A85, Table2[HomeTeam], S$1)</f>
        <v>31</v>
      </c>
      <c r="T85" s="145">
        <f>SUMIFS(Table2[NewPointsAway],Table2[GameDate], "&lt;=" &amp; $A85, Table2[AwayTeam], T$1)+SUMIFS(Table2[NewPointsHome],Table2[GameDate], "&lt;=" &amp; $A85, Table2[HomeTeam], T$1)</f>
        <v>30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31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29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27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32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34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33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29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28</v>
      </c>
      <c r="I86" s="145">
        <f>SUMIFS(Table2[NewPointsAway],Table2[GameDate], "&lt;=" &amp; $A86, Table2[AwayTeam], I$1)+SUMIFS(Table2[NewPointsHome],Table2[GameDate], "&lt;=" &amp; $A86, Table2[HomeTeam], I$1)</f>
        <v>44</v>
      </c>
      <c r="J86" s="145">
        <f>SUMIFS(Table2[NewPointsAway],Table2[GameDate], "&lt;=" &amp; $A86, Table2[AwayTeam], J$1)+SUMIFS(Table2[NewPointsHome],Table2[GameDate], "&lt;=" &amp; $A86, Table2[HomeTeam], J$1)</f>
        <v>41</v>
      </c>
      <c r="K86" s="145">
        <f>SUMIFS(Table2[NewPointsAway],Table2[GameDate], "&lt;=" &amp; $A86, Table2[AwayTeam], K$1)+SUMIFS(Table2[NewPointsHome],Table2[GameDate], "&lt;=" &amp; $A86, Table2[HomeTeam], K$1)</f>
        <v>30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22</v>
      </c>
      <c r="S86" s="145">
        <f>SUMIFS(Table2[NewPointsAway],Table2[GameDate], "&lt;=" &amp; $A86, Table2[AwayTeam], S$1)+SUMIFS(Table2[NewPointsHome],Table2[GameDate], "&lt;=" &amp; $A86, Table2[HomeTeam], S$1)</f>
        <v>31</v>
      </c>
      <c r="T86" s="145">
        <f>SUMIFS(Table2[NewPointsAway],Table2[GameDate], "&lt;=" &amp; $A86, Table2[AwayTeam], T$1)+SUMIFS(Table2[NewPointsHome],Table2[GameDate], "&lt;=" &amp; $A86, Table2[HomeTeam], T$1)</f>
        <v>30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31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29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27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32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34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33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29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28</v>
      </c>
      <c r="I87" s="145">
        <f>SUMIFS(Table2[NewPointsAway],Table2[GameDate], "&lt;=" &amp; $A87, Table2[AwayTeam], I$1)+SUMIFS(Table2[NewPointsHome],Table2[GameDate], "&lt;=" &amp; $A87, Table2[HomeTeam], I$1)</f>
        <v>44</v>
      </c>
      <c r="J87" s="145">
        <f>SUMIFS(Table2[NewPointsAway],Table2[GameDate], "&lt;=" &amp; $A87, Table2[AwayTeam], J$1)+SUMIFS(Table2[NewPointsHome],Table2[GameDate], "&lt;=" &amp; $A87, Table2[HomeTeam], J$1)</f>
        <v>41</v>
      </c>
      <c r="K87" s="145">
        <f>SUMIFS(Table2[NewPointsAway],Table2[GameDate], "&lt;=" &amp; $A87, Table2[AwayTeam], K$1)+SUMIFS(Table2[NewPointsHome],Table2[GameDate], "&lt;=" &amp; $A87, Table2[HomeTeam], K$1)</f>
        <v>30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22</v>
      </c>
      <c r="S87" s="145">
        <f>SUMIFS(Table2[NewPointsAway],Table2[GameDate], "&lt;=" &amp; $A87, Table2[AwayTeam], S$1)+SUMIFS(Table2[NewPointsHome],Table2[GameDate], "&lt;=" &amp; $A87, Table2[HomeTeam], S$1)</f>
        <v>31</v>
      </c>
      <c r="T87" s="145">
        <f>SUMIFS(Table2[NewPointsAway],Table2[GameDate], "&lt;=" &amp; $A87, Table2[AwayTeam], T$1)+SUMIFS(Table2[NewPointsHome],Table2[GameDate], "&lt;=" &amp; $A87, Table2[HomeTeam], T$1)</f>
        <v>30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31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29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27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32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34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33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29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28</v>
      </c>
      <c r="I88" s="145">
        <f>SUMIFS(Table2[NewPointsAway],Table2[GameDate], "&lt;=" &amp; $A88, Table2[AwayTeam], I$1)+SUMIFS(Table2[NewPointsHome],Table2[GameDate], "&lt;=" &amp; $A88, Table2[HomeTeam], I$1)</f>
        <v>44</v>
      </c>
      <c r="J88" s="145">
        <f>SUMIFS(Table2[NewPointsAway],Table2[GameDate], "&lt;=" &amp; $A88, Table2[AwayTeam], J$1)+SUMIFS(Table2[NewPointsHome],Table2[GameDate], "&lt;=" &amp; $A88, Table2[HomeTeam], J$1)</f>
        <v>41</v>
      </c>
      <c r="K88" s="145">
        <f>SUMIFS(Table2[NewPointsAway],Table2[GameDate], "&lt;=" &amp; $A88, Table2[AwayTeam], K$1)+SUMIFS(Table2[NewPointsHome],Table2[GameDate], "&lt;=" &amp; $A88, Table2[HomeTeam], K$1)</f>
        <v>30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22</v>
      </c>
      <c r="S88" s="145">
        <f>SUMIFS(Table2[NewPointsAway],Table2[GameDate], "&lt;=" &amp; $A88, Table2[AwayTeam], S$1)+SUMIFS(Table2[NewPointsHome],Table2[GameDate], "&lt;=" &amp; $A88, Table2[HomeTeam], S$1)</f>
        <v>31</v>
      </c>
      <c r="T88" s="145">
        <f>SUMIFS(Table2[NewPointsAway],Table2[GameDate], "&lt;=" &amp; $A88, Table2[AwayTeam], T$1)+SUMIFS(Table2[NewPointsHome],Table2[GameDate], "&lt;=" &amp; $A88, Table2[HomeTeam], T$1)</f>
        <v>30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31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29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27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32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34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33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29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28</v>
      </c>
      <c r="I89" s="145">
        <f>SUMIFS(Table2[NewPointsAway],Table2[GameDate], "&lt;=" &amp; $A89, Table2[AwayTeam], I$1)+SUMIFS(Table2[NewPointsHome],Table2[GameDate], "&lt;=" &amp; $A89, Table2[HomeTeam], I$1)</f>
        <v>44</v>
      </c>
      <c r="J89" s="145">
        <f>SUMIFS(Table2[NewPointsAway],Table2[GameDate], "&lt;=" &amp; $A89, Table2[AwayTeam], J$1)+SUMIFS(Table2[NewPointsHome],Table2[GameDate], "&lt;=" &amp; $A89, Table2[HomeTeam], J$1)</f>
        <v>41</v>
      </c>
      <c r="K89" s="145">
        <f>SUMIFS(Table2[NewPointsAway],Table2[GameDate], "&lt;=" &amp; $A89, Table2[AwayTeam], K$1)+SUMIFS(Table2[NewPointsHome],Table2[GameDate], "&lt;=" &amp; $A89, Table2[HomeTeam], K$1)</f>
        <v>30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22</v>
      </c>
      <c r="S89" s="145">
        <f>SUMIFS(Table2[NewPointsAway],Table2[GameDate], "&lt;=" &amp; $A89, Table2[AwayTeam], S$1)+SUMIFS(Table2[NewPointsHome],Table2[GameDate], "&lt;=" &amp; $A89, Table2[HomeTeam], S$1)</f>
        <v>31</v>
      </c>
      <c r="T89" s="145">
        <f>SUMIFS(Table2[NewPointsAway],Table2[GameDate], "&lt;=" &amp; $A89, Table2[AwayTeam], T$1)+SUMIFS(Table2[NewPointsHome],Table2[GameDate], "&lt;=" &amp; $A89, Table2[HomeTeam], T$1)</f>
        <v>30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31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29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27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32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34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33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29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28</v>
      </c>
      <c r="I90" s="145">
        <f>SUMIFS(Table2[NewPointsAway],Table2[GameDate], "&lt;=" &amp; $A90, Table2[AwayTeam], I$1)+SUMIFS(Table2[NewPointsHome],Table2[GameDate], "&lt;=" &amp; $A90, Table2[HomeTeam], I$1)</f>
        <v>44</v>
      </c>
      <c r="J90" s="145">
        <f>SUMIFS(Table2[NewPointsAway],Table2[GameDate], "&lt;=" &amp; $A90, Table2[AwayTeam], J$1)+SUMIFS(Table2[NewPointsHome],Table2[GameDate], "&lt;=" &amp; $A90, Table2[HomeTeam], J$1)</f>
        <v>41</v>
      </c>
      <c r="K90" s="145">
        <f>SUMIFS(Table2[NewPointsAway],Table2[GameDate], "&lt;=" &amp; $A90, Table2[AwayTeam], K$1)+SUMIFS(Table2[NewPointsHome],Table2[GameDate], "&lt;=" &amp; $A90, Table2[HomeTeam], K$1)</f>
        <v>30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22</v>
      </c>
      <c r="S90" s="145">
        <f>SUMIFS(Table2[NewPointsAway],Table2[GameDate], "&lt;=" &amp; $A90, Table2[AwayTeam], S$1)+SUMIFS(Table2[NewPointsHome],Table2[GameDate], "&lt;=" &amp; $A90, Table2[HomeTeam], S$1)</f>
        <v>31</v>
      </c>
      <c r="T90" s="145">
        <f>SUMIFS(Table2[NewPointsAway],Table2[GameDate], "&lt;=" &amp; $A90, Table2[AwayTeam], T$1)+SUMIFS(Table2[NewPointsHome],Table2[GameDate], "&lt;=" &amp; $A90, Table2[HomeTeam], T$1)</f>
        <v>30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31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29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27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32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34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33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29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28</v>
      </c>
      <c r="I91" s="145">
        <f>SUMIFS(Table2[NewPointsAway],Table2[GameDate], "&lt;=" &amp; $A91, Table2[AwayTeam], I$1)+SUMIFS(Table2[NewPointsHome],Table2[GameDate], "&lt;=" &amp; $A91, Table2[HomeTeam], I$1)</f>
        <v>44</v>
      </c>
      <c r="J91" s="145">
        <f>SUMIFS(Table2[NewPointsAway],Table2[GameDate], "&lt;=" &amp; $A91, Table2[AwayTeam], J$1)+SUMIFS(Table2[NewPointsHome],Table2[GameDate], "&lt;=" &amp; $A91, Table2[HomeTeam], J$1)</f>
        <v>41</v>
      </c>
      <c r="K91" s="145">
        <f>SUMIFS(Table2[NewPointsAway],Table2[GameDate], "&lt;=" &amp; $A91, Table2[AwayTeam], K$1)+SUMIFS(Table2[NewPointsHome],Table2[GameDate], "&lt;=" &amp; $A91, Table2[HomeTeam], K$1)</f>
        <v>30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22</v>
      </c>
      <c r="S91" s="145">
        <f>SUMIFS(Table2[NewPointsAway],Table2[GameDate], "&lt;=" &amp; $A91, Table2[AwayTeam], S$1)+SUMIFS(Table2[NewPointsHome],Table2[GameDate], "&lt;=" &amp; $A91, Table2[HomeTeam], S$1)</f>
        <v>31</v>
      </c>
      <c r="T91" s="145">
        <f>SUMIFS(Table2[NewPointsAway],Table2[GameDate], "&lt;=" &amp; $A91, Table2[AwayTeam], T$1)+SUMIFS(Table2[NewPointsHome],Table2[GameDate], "&lt;=" &amp; $A91, Table2[HomeTeam], T$1)</f>
        <v>30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31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29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27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32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34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33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29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28</v>
      </c>
      <c r="I92" s="145">
        <f>SUMIFS(Table2[NewPointsAway],Table2[GameDate], "&lt;=" &amp; $A92, Table2[AwayTeam], I$1)+SUMIFS(Table2[NewPointsHome],Table2[GameDate], "&lt;=" &amp; $A92, Table2[HomeTeam], I$1)</f>
        <v>44</v>
      </c>
      <c r="J92" s="145">
        <f>SUMIFS(Table2[NewPointsAway],Table2[GameDate], "&lt;=" &amp; $A92, Table2[AwayTeam], J$1)+SUMIFS(Table2[NewPointsHome],Table2[GameDate], "&lt;=" &amp; $A92, Table2[HomeTeam], J$1)</f>
        <v>41</v>
      </c>
      <c r="K92" s="145">
        <f>SUMIFS(Table2[NewPointsAway],Table2[GameDate], "&lt;=" &amp; $A92, Table2[AwayTeam], K$1)+SUMIFS(Table2[NewPointsHome],Table2[GameDate], "&lt;=" &amp; $A92, Table2[HomeTeam], K$1)</f>
        <v>30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22</v>
      </c>
      <c r="S92" s="145">
        <f>SUMIFS(Table2[NewPointsAway],Table2[GameDate], "&lt;=" &amp; $A92, Table2[AwayTeam], S$1)+SUMIFS(Table2[NewPointsHome],Table2[GameDate], "&lt;=" &amp; $A92, Table2[HomeTeam], S$1)</f>
        <v>31</v>
      </c>
      <c r="T92" s="145">
        <f>SUMIFS(Table2[NewPointsAway],Table2[GameDate], "&lt;=" &amp; $A92, Table2[AwayTeam], T$1)+SUMIFS(Table2[NewPointsHome],Table2[GameDate], "&lt;=" &amp; $A92, Table2[HomeTeam], T$1)</f>
        <v>30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31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29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27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32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34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33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29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28</v>
      </c>
      <c r="I93" s="145">
        <f>SUMIFS(Table2[NewPointsAway],Table2[GameDate], "&lt;=" &amp; $A93, Table2[AwayTeam], I$1)+SUMIFS(Table2[NewPointsHome],Table2[GameDate], "&lt;=" &amp; $A93, Table2[HomeTeam], I$1)</f>
        <v>44</v>
      </c>
      <c r="J93" s="145">
        <f>SUMIFS(Table2[NewPointsAway],Table2[GameDate], "&lt;=" &amp; $A93, Table2[AwayTeam], J$1)+SUMIFS(Table2[NewPointsHome],Table2[GameDate], "&lt;=" &amp; $A93, Table2[HomeTeam], J$1)</f>
        <v>41</v>
      </c>
      <c r="K93" s="145">
        <f>SUMIFS(Table2[NewPointsAway],Table2[GameDate], "&lt;=" &amp; $A93, Table2[AwayTeam], K$1)+SUMIFS(Table2[NewPointsHome],Table2[GameDate], "&lt;=" &amp; $A93, Table2[HomeTeam], K$1)</f>
        <v>30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22</v>
      </c>
      <c r="S93" s="145">
        <f>SUMIFS(Table2[NewPointsAway],Table2[GameDate], "&lt;=" &amp; $A93, Table2[AwayTeam], S$1)+SUMIFS(Table2[NewPointsHome],Table2[GameDate], "&lt;=" &amp; $A93, Table2[HomeTeam], S$1)</f>
        <v>31</v>
      </c>
      <c r="T93" s="145">
        <f>SUMIFS(Table2[NewPointsAway],Table2[GameDate], "&lt;=" &amp; $A93, Table2[AwayTeam], T$1)+SUMIFS(Table2[NewPointsHome],Table2[GameDate], "&lt;=" &amp; $A93, Table2[HomeTeam], T$1)</f>
        <v>30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31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29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27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32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34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33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29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28</v>
      </c>
      <c r="I94" s="145">
        <f>SUMIFS(Table2[NewPointsAway],Table2[GameDate], "&lt;=" &amp; $A94, Table2[AwayTeam], I$1)+SUMIFS(Table2[NewPointsHome],Table2[GameDate], "&lt;=" &amp; $A94, Table2[HomeTeam], I$1)</f>
        <v>44</v>
      </c>
      <c r="J94" s="145">
        <f>SUMIFS(Table2[NewPointsAway],Table2[GameDate], "&lt;=" &amp; $A94, Table2[AwayTeam], J$1)+SUMIFS(Table2[NewPointsHome],Table2[GameDate], "&lt;=" &amp; $A94, Table2[HomeTeam], J$1)</f>
        <v>41</v>
      </c>
      <c r="K94" s="145">
        <f>SUMIFS(Table2[NewPointsAway],Table2[GameDate], "&lt;=" &amp; $A94, Table2[AwayTeam], K$1)+SUMIFS(Table2[NewPointsHome],Table2[GameDate], "&lt;=" &amp; $A94, Table2[HomeTeam], K$1)</f>
        <v>30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22</v>
      </c>
      <c r="S94" s="145">
        <f>SUMIFS(Table2[NewPointsAway],Table2[GameDate], "&lt;=" &amp; $A94, Table2[AwayTeam], S$1)+SUMIFS(Table2[NewPointsHome],Table2[GameDate], "&lt;=" &amp; $A94, Table2[HomeTeam], S$1)</f>
        <v>31</v>
      </c>
      <c r="T94" s="145">
        <f>SUMIFS(Table2[NewPointsAway],Table2[GameDate], "&lt;=" &amp; $A94, Table2[AwayTeam], T$1)+SUMIFS(Table2[NewPointsHome],Table2[GameDate], "&lt;=" &amp; $A94, Table2[HomeTeam], T$1)</f>
        <v>30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31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29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27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32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34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33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29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28</v>
      </c>
      <c r="I95" s="145">
        <f>SUMIFS(Table2[NewPointsAway],Table2[GameDate], "&lt;=" &amp; $A95, Table2[AwayTeam], I$1)+SUMIFS(Table2[NewPointsHome],Table2[GameDate], "&lt;=" &amp; $A95, Table2[HomeTeam], I$1)</f>
        <v>44</v>
      </c>
      <c r="J95" s="145">
        <f>SUMIFS(Table2[NewPointsAway],Table2[GameDate], "&lt;=" &amp; $A95, Table2[AwayTeam], J$1)+SUMIFS(Table2[NewPointsHome],Table2[GameDate], "&lt;=" &amp; $A95, Table2[HomeTeam], J$1)</f>
        <v>41</v>
      </c>
      <c r="K95" s="145">
        <f>SUMIFS(Table2[NewPointsAway],Table2[GameDate], "&lt;=" &amp; $A95, Table2[AwayTeam], K$1)+SUMIFS(Table2[NewPointsHome],Table2[GameDate], "&lt;=" &amp; $A95, Table2[HomeTeam], K$1)</f>
        <v>30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22</v>
      </c>
      <c r="S95" s="145">
        <f>SUMIFS(Table2[NewPointsAway],Table2[GameDate], "&lt;=" &amp; $A95, Table2[AwayTeam], S$1)+SUMIFS(Table2[NewPointsHome],Table2[GameDate], "&lt;=" &amp; $A95, Table2[HomeTeam], S$1)</f>
        <v>31</v>
      </c>
      <c r="T95" s="145">
        <f>SUMIFS(Table2[NewPointsAway],Table2[GameDate], "&lt;=" &amp; $A95, Table2[AwayTeam], T$1)+SUMIFS(Table2[NewPointsHome],Table2[GameDate], "&lt;=" &amp; $A95, Table2[HomeTeam], T$1)</f>
        <v>30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31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29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27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32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34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33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29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28</v>
      </c>
      <c r="I96" s="145">
        <f>SUMIFS(Table2[NewPointsAway],Table2[GameDate], "&lt;=" &amp; $A96, Table2[AwayTeam], I$1)+SUMIFS(Table2[NewPointsHome],Table2[GameDate], "&lt;=" &amp; $A96, Table2[HomeTeam], I$1)</f>
        <v>44</v>
      </c>
      <c r="J96" s="145">
        <f>SUMIFS(Table2[NewPointsAway],Table2[GameDate], "&lt;=" &amp; $A96, Table2[AwayTeam], J$1)+SUMIFS(Table2[NewPointsHome],Table2[GameDate], "&lt;=" &amp; $A96, Table2[HomeTeam], J$1)</f>
        <v>41</v>
      </c>
      <c r="K96" s="145">
        <f>SUMIFS(Table2[NewPointsAway],Table2[GameDate], "&lt;=" &amp; $A96, Table2[AwayTeam], K$1)+SUMIFS(Table2[NewPointsHome],Table2[GameDate], "&lt;=" &amp; $A96, Table2[HomeTeam], K$1)</f>
        <v>30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22</v>
      </c>
      <c r="S96" s="145">
        <f>SUMIFS(Table2[NewPointsAway],Table2[GameDate], "&lt;=" &amp; $A96, Table2[AwayTeam], S$1)+SUMIFS(Table2[NewPointsHome],Table2[GameDate], "&lt;=" &amp; $A96, Table2[HomeTeam], S$1)</f>
        <v>31</v>
      </c>
      <c r="T96" s="145">
        <f>SUMIFS(Table2[NewPointsAway],Table2[GameDate], "&lt;=" &amp; $A96, Table2[AwayTeam], T$1)+SUMIFS(Table2[NewPointsHome],Table2[GameDate], "&lt;=" &amp; $A96, Table2[HomeTeam], T$1)</f>
        <v>30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31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29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27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32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34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33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29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28</v>
      </c>
      <c r="I97" s="145">
        <f>SUMIFS(Table2[NewPointsAway],Table2[GameDate], "&lt;=" &amp; $A97, Table2[AwayTeam], I$1)+SUMIFS(Table2[NewPointsHome],Table2[GameDate], "&lt;=" &amp; $A97, Table2[HomeTeam], I$1)</f>
        <v>44</v>
      </c>
      <c r="J97" s="145">
        <f>SUMIFS(Table2[NewPointsAway],Table2[GameDate], "&lt;=" &amp; $A97, Table2[AwayTeam], J$1)+SUMIFS(Table2[NewPointsHome],Table2[GameDate], "&lt;=" &amp; $A97, Table2[HomeTeam], J$1)</f>
        <v>41</v>
      </c>
      <c r="K97" s="145">
        <f>SUMIFS(Table2[NewPointsAway],Table2[GameDate], "&lt;=" &amp; $A97, Table2[AwayTeam], K$1)+SUMIFS(Table2[NewPointsHome],Table2[GameDate], "&lt;=" &amp; $A97, Table2[HomeTeam], K$1)</f>
        <v>30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22</v>
      </c>
      <c r="S97" s="145">
        <f>SUMIFS(Table2[NewPointsAway],Table2[GameDate], "&lt;=" &amp; $A97, Table2[AwayTeam], S$1)+SUMIFS(Table2[NewPointsHome],Table2[GameDate], "&lt;=" &amp; $A97, Table2[HomeTeam], S$1)</f>
        <v>31</v>
      </c>
      <c r="T97" s="145">
        <f>SUMIFS(Table2[NewPointsAway],Table2[GameDate], "&lt;=" &amp; $A97, Table2[AwayTeam], T$1)+SUMIFS(Table2[NewPointsHome],Table2[GameDate], "&lt;=" &amp; $A97, Table2[HomeTeam], T$1)</f>
        <v>30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31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29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27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32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34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33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29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28</v>
      </c>
      <c r="I98" s="145">
        <f>SUMIFS(Table2[NewPointsAway],Table2[GameDate], "&lt;=" &amp; $A98, Table2[AwayTeam], I$1)+SUMIFS(Table2[NewPointsHome],Table2[GameDate], "&lt;=" &amp; $A98, Table2[HomeTeam], I$1)</f>
        <v>44</v>
      </c>
      <c r="J98" s="145">
        <f>SUMIFS(Table2[NewPointsAway],Table2[GameDate], "&lt;=" &amp; $A98, Table2[AwayTeam], J$1)+SUMIFS(Table2[NewPointsHome],Table2[GameDate], "&lt;=" &amp; $A98, Table2[HomeTeam], J$1)</f>
        <v>41</v>
      </c>
      <c r="K98" s="145">
        <f>SUMIFS(Table2[NewPointsAway],Table2[GameDate], "&lt;=" &amp; $A98, Table2[AwayTeam], K$1)+SUMIFS(Table2[NewPointsHome],Table2[GameDate], "&lt;=" &amp; $A98, Table2[HomeTeam], K$1)</f>
        <v>30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22</v>
      </c>
      <c r="S98" s="145">
        <f>SUMIFS(Table2[NewPointsAway],Table2[GameDate], "&lt;=" &amp; $A98, Table2[AwayTeam], S$1)+SUMIFS(Table2[NewPointsHome],Table2[GameDate], "&lt;=" &amp; $A98, Table2[HomeTeam], S$1)</f>
        <v>31</v>
      </c>
      <c r="T98" s="145">
        <f>SUMIFS(Table2[NewPointsAway],Table2[GameDate], "&lt;=" &amp; $A98, Table2[AwayTeam], T$1)+SUMIFS(Table2[NewPointsHome],Table2[GameDate], "&lt;=" &amp; $A98, Table2[HomeTeam], T$1)</f>
        <v>30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31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29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27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32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34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33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29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28</v>
      </c>
      <c r="I99" s="145">
        <f>SUMIFS(Table2[NewPointsAway],Table2[GameDate], "&lt;=" &amp; $A99, Table2[AwayTeam], I$1)+SUMIFS(Table2[NewPointsHome],Table2[GameDate], "&lt;=" &amp; $A99, Table2[HomeTeam], I$1)</f>
        <v>44</v>
      </c>
      <c r="J99" s="145">
        <f>SUMIFS(Table2[NewPointsAway],Table2[GameDate], "&lt;=" &amp; $A99, Table2[AwayTeam], J$1)+SUMIFS(Table2[NewPointsHome],Table2[GameDate], "&lt;=" &amp; $A99, Table2[HomeTeam], J$1)</f>
        <v>41</v>
      </c>
      <c r="K99" s="145">
        <f>SUMIFS(Table2[NewPointsAway],Table2[GameDate], "&lt;=" &amp; $A99, Table2[AwayTeam], K$1)+SUMIFS(Table2[NewPointsHome],Table2[GameDate], "&lt;=" &amp; $A99, Table2[HomeTeam], K$1)</f>
        <v>30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22</v>
      </c>
      <c r="S99" s="145">
        <f>SUMIFS(Table2[NewPointsAway],Table2[GameDate], "&lt;=" &amp; $A99, Table2[AwayTeam], S$1)+SUMIFS(Table2[NewPointsHome],Table2[GameDate], "&lt;=" &amp; $A99, Table2[HomeTeam], S$1)</f>
        <v>31</v>
      </c>
      <c r="T99" s="145">
        <f>SUMIFS(Table2[NewPointsAway],Table2[GameDate], "&lt;=" &amp; $A99, Table2[AwayTeam], T$1)+SUMIFS(Table2[NewPointsHome],Table2[GameDate], "&lt;=" &amp; $A99, Table2[HomeTeam], T$1)</f>
        <v>30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31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29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27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32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34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33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29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28</v>
      </c>
      <c r="I100" s="145">
        <f>SUMIFS(Table2[NewPointsAway],Table2[GameDate], "&lt;=" &amp; $A100, Table2[AwayTeam], I$1)+SUMIFS(Table2[NewPointsHome],Table2[GameDate], "&lt;=" &amp; $A100, Table2[HomeTeam], I$1)</f>
        <v>44</v>
      </c>
      <c r="J100" s="145">
        <f>SUMIFS(Table2[NewPointsAway],Table2[GameDate], "&lt;=" &amp; $A100, Table2[AwayTeam], J$1)+SUMIFS(Table2[NewPointsHome],Table2[GameDate], "&lt;=" &amp; $A100, Table2[HomeTeam], J$1)</f>
        <v>41</v>
      </c>
      <c r="K100" s="145">
        <f>SUMIFS(Table2[NewPointsAway],Table2[GameDate], "&lt;=" &amp; $A100, Table2[AwayTeam], K$1)+SUMIFS(Table2[NewPointsHome],Table2[GameDate], "&lt;=" &amp; $A100, Table2[HomeTeam], K$1)</f>
        <v>30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22</v>
      </c>
      <c r="S100" s="145">
        <f>SUMIFS(Table2[NewPointsAway],Table2[GameDate], "&lt;=" &amp; $A100, Table2[AwayTeam], S$1)+SUMIFS(Table2[NewPointsHome],Table2[GameDate], "&lt;=" &amp; $A100, Table2[HomeTeam], S$1)</f>
        <v>31</v>
      </c>
      <c r="T100" s="145">
        <f>SUMIFS(Table2[NewPointsAway],Table2[GameDate], "&lt;=" &amp; $A100, Table2[AwayTeam], T$1)+SUMIFS(Table2[NewPointsHome],Table2[GameDate], "&lt;=" &amp; $A100, Table2[HomeTeam], T$1)</f>
        <v>30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31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29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27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32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34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33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29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28</v>
      </c>
      <c r="I101" s="145">
        <f>SUMIFS(Table2[NewPointsAway],Table2[GameDate], "&lt;=" &amp; $A101, Table2[AwayTeam], I$1)+SUMIFS(Table2[NewPointsHome],Table2[GameDate], "&lt;=" &amp; $A101, Table2[HomeTeam], I$1)</f>
        <v>44</v>
      </c>
      <c r="J101" s="145">
        <f>SUMIFS(Table2[NewPointsAway],Table2[GameDate], "&lt;=" &amp; $A101, Table2[AwayTeam], J$1)+SUMIFS(Table2[NewPointsHome],Table2[GameDate], "&lt;=" &amp; $A101, Table2[HomeTeam], J$1)</f>
        <v>41</v>
      </c>
      <c r="K101" s="145">
        <f>SUMIFS(Table2[NewPointsAway],Table2[GameDate], "&lt;=" &amp; $A101, Table2[AwayTeam], K$1)+SUMIFS(Table2[NewPointsHome],Table2[GameDate], "&lt;=" &amp; $A101, Table2[HomeTeam], K$1)</f>
        <v>30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22</v>
      </c>
      <c r="S101" s="145">
        <f>SUMIFS(Table2[NewPointsAway],Table2[GameDate], "&lt;=" &amp; $A101, Table2[AwayTeam], S$1)+SUMIFS(Table2[NewPointsHome],Table2[GameDate], "&lt;=" &amp; $A101, Table2[HomeTeam], S$1)</f>
        <v>31</v>
      </c>
      <c r="T101" s="145">
        <f>SUMIFS(Table2[NewPointsAway],Table2[GameDate], "&lt;=" &amp; $A101, Table2[AwayTeam], T$1)+SUMIFS(Table2[NewPointsHome],Table2[GameDate], "&lt;=" &amp; $A101, Table2[HomeTeam], T$1)</f>
        <v>30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31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29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27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32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34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33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29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28</v>
      </c>
      <c r="I102" s="145">
        <f>SUMIFS(Table2[NewPointsAway],Table2[GameDate], "&lt;=" &amp; $A102, Table2[AwayTeam], I$1)+SUMIFS(Table2[NewPointsHome],Table2[GameDate], "&lt;=" &amp; $A102, Table2[HomeTeam], I$1)</f>
        <v>44</v>
      </c>
      <c r="J102" s="145">
        <f>SUMIFS(Table2[NewPointsAway],Table2[GameDate], "&lt;=" &amp; $A102, Table2[AwayTeam], J$1)+SUMIFS(Table2[NewPointsHome],Table2[GameDate], "&lt;=" &amp; $A102, Table2[HomeTeam], J$1)</f>
        <v>41</v>
      </c>
      <c r="K102" s="145">
        <f>SUMIFS(Table2[NewPointsAway],Table2[GameDate], "&lt;=" &amp; $A102, Table2[AwayTeam], K$1)+SUMIFS(Table2[NewPointsHome],Table2[GameDate], "&lt;=" &amp; $A102, Table2[HomeTeam], K$1)</f>
        <v>30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22</v>
      </c>
      <c r="S102" s="145">
        <f>SUMIFS(Table2[NewPointsAway],Table2[GameDate], "&lt;=" &amp; $A102, Table2[AwayTeam], S$1)+SUMIFS(Table2[NewPointsHome],Table2[GameDate], "&lt;=" &amp; $A102, Table2[HomeTeam], S$1)</f>
        <v>31</v>
      </c>
      <c r="T102" s="145">
        <f>SUMIFS(Table2[NewPointsAway],Table2[GameDate], "&lt;=" &amp; $A102, Table2[AwayTeam], T$1)+SUMIFS(Table2[NewPointsHome],Table2[GameDate], "&lt;=" &amp; $A102, Table2[HomeTeam], T$1)</f>
        <v>30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31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29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27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32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34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33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29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28</v>
      </c>
      <c r="I103" s="145">
        <f>SUMIFS(Table2[NewPointsAway],Table2[GameDate], "&lt;=" &amp; $A103, Table2[AwayTeam], I$1)+SUMIFS(Table2[NewPointsHome],Table2[GameDate], "&lt;=" &amp; $A103, Table2[HomeTeam], I$1)</f>
        <v>44</v>
      </c>
      <c r="J103" s="145">
        <f>SUMIFS(Table2[NewPointsAway],Table2[GameDate], "&lt;=" &amp; $A103, Table2[AwayTeam], J$1)+SUMIFS(Table2[NewPointsHome],Table2[GameDate], "&lt;=" &amp; $A103, Table2[HomeTeam], J$1)</f>
        <v>41</v>
      </c>
      <c r="K103" s="145">
        <f>SUMIFS(Table2[NewPointsAway],Table2[GameDate], "&lt;=" &amp; $A103, Table2[AwayTeam], K$1)+SUMIFS(Table2[NewPointsHome],Table2[GameDate], "&lt;=" &amp; $A103, Table2[HomeTeam], K$1)</f>
        <v>30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22</v>
      </c>
      <c r="S103" s="145">
        <f>SUMIFS(Table2[NewPointsAway],Table2[GameDate], "&lt;=" &amp; $A103, Table2[AwayTeam], S$1)+SUMIFS(Table2[NewPointsHome],Table2[GameDate], "&lt;=" &amp; $A103, Table2[HomeTeam], S$1)</f>
        <v>31</v>
      </c>
      <c r="T103" s="145">
        <f>SUMIFS(Table2[NewPointsAway],Table2[GameDate], "&lt;=" &amp; $A103, Table2[AwayTeam], T$1)+SUMIFS(Table2[NewPointsHome],Table2[GameDate], "&lt;=" &amp; $A103, Table2[HomeTeam], T$1)</f>
        <v>30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31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29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27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32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34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33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29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28</v>
      </c>
      <c r="I104" s="145">
        <f>SUMIFS(Table2[NewPointsAway],Table2[GameDate], "&lt;=" &amp; $A104, Table2[AwayTeam], I$1)+SUMIFS(Table2[NewPointsHome],Table2[GameDate], "&lt;=" &amp; $A104, Table2[HomeTeam], I$1)</f>
        <v>44</v>
      </c>
      <c r="J104" s="145">
        <f>SUMIFS(Table2[NewPointsAway],Table2[GameDate], "&lt;=" &amp; $A104, Table2[AwayTeam], J$1)+SUMIFS(Table2[NewPointsHome],Table2[GameDate], "&lt;=" &amp; $A104, Table2[HomeTeam], J$1)</f>
        <v>41</v>
      </c>
      <c r="K104" s="145">
        <f>SUMIFS(Table2[NewPointsAway],Table2[GameDate], "&lt;=" &amp; $A104, Table2[AwayTeam], K$1)+SUMIFS(Table2[NewPointsHome],Table2[GameDate], "&lt;=" &amp; $A104, Table2[HomeTeam], K$1)</f>
        <v>30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22</v>
      </c>
      <c r="S104" s="145">
        <f>SUMIFS(Table2[NewPointsAway],Table2[GameDate], "&lt;=" &amp; $A104, Table2[AwayTeam], S$1)+SUMIFS(Table2[NewPointsHome],Table2[GameDate], "&lt;=" &amp; $A104, Table2[HomeTeam], S$1)</f>
        <v>31</v>
      </c>
      <c r="T104" s="145">
        <f>SUMIFS(Table2[NewPointsAway],Table2[GameDate], "&lt;=" &amp; $A104, Table2[AwayTeam], T$1)+SUMIFS(Table2[NewPointsHome],Table2[GameDate], "&lt;=" &amp; $A104, Table2[HomeTeam], T$1)</f>
        <v>30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31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29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27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32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34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33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29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28</v>
      </c>
      <c r="I105" s="145">
        <f>SUMIFS(Table2[NewPointsAway],Table2[GameDate], "&lt;=" &amp; $A105, Table2[AwayTeam], I$1)+SUMIFS(Table2[NewPointsHome],Table2[GameDate], "&lt;=" &amp; $A105, Table2[HomeTeam], I$1)</f>
        <v>44</v>
      </c>
      <c r="J105" s="145">
        <f>SUMIFS(Table2[NewPointsAway],Table2[GameDate], "&lt;=" &amp; $A105, Table2[AwayTeam], J$1)+SUMIFS(Table2[NewPointsHome],Table2[GameDate], "&lt;=" &amp; $A105, Table2[HomeTeam], J$1)</f>
        <v>41</v>
      </c>
      <c r="K105" s="145">
        <f>SUMIFS(Table2[NewPointsAway],Table2[GameDate], "&lt;=" &amp; $A105, Table2[AwayTeam], K$1)+SUMIFS(Table2[NewPointsHome],Table2[GameDate], "&lt;=" &amp; $A105, Table2[HomeTeam], K$1)</f>
        <v>30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22</v>
      </c>
      <c r="S105" s="145">
        <f>SUMIFS(Table2[NewPointsAway],Table2[GameDate], "&lt;=" &amp; $A105, Table2[AwayTeam], S$1)+SUMIFS(Table2[NewPointsHome],Table2[GameDate], "&lt;=" &amp; $A105, Table2[HomeTeam], S$1)</f>
        <v>31</v>
      </c>
      <c r="T105" s="145">
        <f>SUMIFS(Table2[NewPointsAway],Table2[GameDate], "&lt;=" &amp; $A105, Table2[AwayTeam], T$1)+SUMIFS(Table2[NewPointsHome],Table2[GameDate], "&lt;=" &amp; $A105, Table2[HomeTeam], T$1)</f>
        <v>30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31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29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27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32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34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33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29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28</v>
      </c>
      <c r="I106" s="145">
        <f>SUMIFS(Table2[NewPointsAway],Table2[GameDate], "&lt;=" &amp; $A106, Table2[AwayTeam], I$1)+SUMIFS(Table2[NewPointsHome],Table2[GameDate], "&lt;=" &amp; $A106, Table2[HomeTeam], I$1)</f>
        <v>44</v>
      </c>
      <c r="J106" s="145">
        <f>SUMIFS(Table2[NewPointsAway],Table2[GameDate], "&lt;=" &amp; $A106, Table2[AwayTeam], J$1)+SUMIFS(Table2[NewPointsHome],Table2[GameDate], "&lt;=" &amp; $A106, Table2[HomeTeam], J$1)</f>
        <v>41</v>
      </c>
      <c r="K106" s="145">
        <f>SUMIFS(Table2[NewPointsAway],Table2[GameDate], "&lt;=" &amp; $A106, Table2[AwayTeam], K$1)+SUMIFS(Table2[NewPointsHome],Table2[GameDate], "&lt;=" &amp; $A106, Table2[HomeTeam], K$1)</f>
        <v>30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22</v>
      </c>
      <c r="S106" s="145">
        <f>SUMIFS(Table2[NewPointsAway],Table2[GameDate], "&lt;=" &amp; $A106, Table2[AwayTeam], S$1)+SUMIFS(Table2[NewPointsHome],Table2[GameDate], "&lt;=" &amp; $A106, Table2[HomeTeam], S$1)</f>
        <v>31</v>
      </c>
      <c r="T106" s="145">
        <f>SUMIFS(Table2[NewPointsAway],Table2[GameDate], "&lt;=" &amp; $A106, Table2[AwayTeam], T$1)+SUMIFS(Table2[NewPointsHome],Table2[GameDate], "&lt;=" &amp; $A106, Table2[HomeTeam], T$1)</f>
        <v>30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31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29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27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32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34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33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29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28</v>
      </c>
      <c r="I107" s="145">
        <f>SUMIFS(Table2[NewPointsAway],Table2[GameDate], "&lt;=" &amp; $A107, Table2[AwayTeam], I$1)+SUMIFS(Table2[NewPointsHome],Table2[GameDate], "&lt;=" &amp; $A107, Table2[HomeTeam], I$1)</f>
        <v>44</v>
      </c>
      <c r="J107" s="145">
        <f>SUMIFS(Table2[NewPointsAway],Table2[GameDate], "&lt;=" &amp; $A107, Table2[AwayTeam], J$1)+SUMIFS(Table2[NewPointsHome],Table2[GameDate], "&lt;=" &amp; $A107, Table2[HomeTeam], J$1)</f>
        <v>41</v>
      </c>
      <c r="K107" s="145">
        <f>SUMIFS(Table2[NewPointsAway],Table2[GameDate], "&lt;=" &amp; $A107, Table2[AwayTeam], K$1)+SUMIFS(Table2[NewPointsHome],Table2[GameDate], "&lt;=" &amp; $A107, Table2[HomeTeam], K$1)</f>
        <v>30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22</v>
      </c>
      <c r="S107" s="145">
        <f>SUMIFS(Table2[NewPointsAway],Table2[GameDate], "&lt;=" &amp; $A107, Table2[AwayTeam], S$1)+SUMIFS(Table2[NewPointsHome],Table2[GameDate], "&lt;=" &amp; $A107, Table2[HomeTeam], S$1)</f>
        <v>31</v>
      </c>
      <c r="T107" s="145">
        <f>SUMIFS(Table2[NewPointsAway],Table2[GameDate], "&lt;=" &amp; $A107, Table2[AwayTeam], T$1)+SUMIFS(Table2[NewPointsHome],Table2[GameDate], "&lt;=" &amp; $A107, Table2[HomeTeam], T$1)</f>
        <v>30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31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29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27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32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34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33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29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28</v>
      </c>
      <c r="I108" s="145">
        <f>SUMIFS(Table2[NewPointsAway],Table2[GameDate], "&lt;=" &amp; $A108, Table2[AwayTeam], I$1)+SUMIFS(Table2[NewPointsHome],Table2[GameDate], "&lt;=" &amp; $A108, Table2[HomeTeam], I$1)</f>
        <v>44</v>
      </c>
      <c r="J108" s="145">
        <f>SUMIFS(Table2[NewPointsAway],Table2[GameDate], "&lt;=" &amp; $A108, Table2[AwayTeam], J$1)+SUMIFS(Table2[NewPointsHome],Table2[GameDate], "&lt;=" &amp; $A108, Table2[HomeTeam], J$1)</f>
        <v>41</v>
      </c>
      <c r="K108" s="145">
        <f>SUMIFS(Table2[NewPointsAway],Table2[GameDate], "&lt;=" &amp; $A108, Table2[AwayTeam], K$1)+SUMIFS(Table2[NewPointsHome],Table2[GameDate], "&lt;=" &amp; $A108, Table2[HomeTeam], K$1)</f>
        <v>30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22</v>
      </c>
      <c r="S108" s="145">
        <f>SUMIFS(Table2[NewPointsAway],Table2[GameDate], "&lt;=" &amp; $A108, Table2[AwayTeam], S$1)+SUMIFS(Table2[NewPointsHome],Table2[GameDate], "&lt;=" &amp; $A108, Table2[HomeTeam], S$1)</f>
        <v>31</v>
      </c>
      <c r="T108" s="145">
        <f>SUMIFS(Table2[NewPointsAway],Table2[GameDate], "&lt;=" &amp; $A108, Table2[AwayTeam], T$1)+SUMIFS(Table2[NewPointsHome],Table2[GameDate], "&lt;=" &amp; $A108, Table2[HomeTeam], T$1)</f>
        <v>30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31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29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27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32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34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33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29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28</v>
      </c>
      <c r="I109" s="145">
        <f>SUMIFS(Table2[NewPointsAway],Table2[GameDate], "&lt;=" &amp; $A109, Table2[AwayTeam], I$1)+SUMIFS(Table2[NewPointsHome],Table2[GameDate], "&lt;=" &amp; $A109, Table2[HomeTeam], I$1)</f>
        <v>44</v>
      </c>
      <c r="J109" s="145">
        <f>SUMIFS(Table2[NewPointsAway],Table2[GameDate], "&lt;=" &amp; $A109, Table2[AwayTeam], J$1)+SUMIFS(Table2[NewPointsHome],Table2[GameDate], "&lt;=" &amp; $A109, Table2[HomeTeam], J$1)</f>
        <v>41</v>
      </c>
      <c r="K109" s="145">
        <f>SUMIFS(Table2[NewPointsAway],Table2[GameDate], "&lt;=" &amp; $A109, Table2[AwayTeam], K$1)+SUMIFS(Table2[NewPointsHome],Table2[GameDate], "&lt;=" &amp; $A109, Table2[HomeTeam], K$1)</f>
        <v>30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22</v>
      </c>
      <c r="S109" s="145">
        <f>SUMIFS(Table2[NewPointsAway],Table2[GameDate], "&lt;=" &amp; $A109, Table2[AwayTeam], S$1)+SUMIFS(Table2[NewPointsHome],Table2[GameDate], "&lt;=" &amp; $A109, Table2[HomeTeam], S$1)</f>
        <v>31</v>
      </c>
      <c r="T109" s="145">
        <f>SUMIFS(Table2[NewPointsAway],Table2[GameDate], "&lt;=" &amp; $A109, Table2[AwayTeam], T$1)+SUMIFS(Table2[NewPointsHome],Table2[GameDate], "&lt;=" &amp; $A109, Table2[HomeTeam], T$1)</f>
        <v>30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31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29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27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32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34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33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29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28</v>
      </c>
      <c r="I110" s="145">
        <f>SUMIFS(Table2[NewPointsAway],Table2[GameDate], "&lt;=" &amp; $A110, Table2[AwayTeam], I$1)+SUMIFS(Table2[NewPointsHome],Table2[GameDate], "&lt;=" &amp; $A110, Table2[HomeTeam], I$1)</f>
        <v>44</v>
      </c>
      <c r="J110" s="145">
        <f>SUMIFS(Table2[NewPointsAway],Table2[GameDate], "&lt;=" &amp; $A110, Table2[AwayTeam], J$1)+SUMIFS(Table2[NewPointsHome],Table2[GameDate], "&lt;=" &amp; $A110, Table2[HomeTeam], J$1)</f>
        <v>41</v>
      </c>
      <c r="K110" s="145">
        <f>SUMIFS(Table2[NewPointsAway],Table2[GameDate], "&lt;=" &amp; $A110, Table2[AwayTeam], K$1)+SUMIFS(Table2[NewPointsHome],Table2[GameDate], "&lt;=" &amp; $A110, Table2[HomeTeam], K$1)</f>
        <v>30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22</v>
      </c>
      <c r="S110" s="145">
        <f>SUMIFS(Table2[NewPointsAway],Table2[GameDate], "&lt;=" &amp; $A110, Table2[AwayTeam], S$1)+SUMIFS(Table2[NewPointsHome],Table2[GameDate], "&lt;=" &amp; $A110, Table2[HomeTeam], S$1)</f>
        <v>31</v>
      </c>
      <c r="T110" s="145">
        <f>SUMIFS(Table2[NewPointsAway],Table2[GameDate], "&lt;=" &amp; $A110, Table2[AwayTeam], T$1)+SUMIFS(Table2[NewPointsHome],Table2[GameDate], "&lt;=" &amp; $A110, Table2[HomeTeam], T$1)</f>
        <v>30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31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29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27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32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34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33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29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28</v>
      </c>
      <c r="I111" s="145">
        <f>SUMIFS(Table2[NewPointsAway],Table2[GameDate], "&lt;=" &amp; $A111, Table2[AwayTeam], I$1)+SUMIFS(Table2[NewPointsHome],Table2[GameDate], "&lt;=" &amp; $A111, Table2[HomeTeam], I$1)</f>
        <v>44</v>
      </c>
      <c r="J111" s="145">
        <f>SUMIFS(Table2[NewPointsAway],Table2[GameDate], "&lt;=" &amp; $A111, Table2[AwayTeam], J$1)+SUMIFS(Table2[NewPointsHome],Table2[GameDate], "&lt;=" &amp; $A111, Table2[HomeTeam], J$1)</f>
        <v>41</v>
      </c>
      <c r="K111" s="145">
        <f>SUMIFS(Table2[NewPointsAway],Table2[GameDate], "&lt;=" &amp; $A111, Table2[AwayTeam], K$1)+SUMIFS(Table2[NewPointsHome],Table2[GameDate], "&lt;=" &amp; $A111, Table2[HomeTeam], K$1)</f>
        <v>30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22</v>
      </c>
      <c r="S111" s="145">
        <f>SUMIFS(Table2[NewPointsAway],Table2[GameDate], "&lt;=" &amp; $A111, Table2[AwayTeam], S$1)+SUMIFS(Table2[NewPointsHome],Table2[GameDate], "&lt;=" &amp; $A111, Table2[HomeTeam], S$1)</f>
        <v>31</v>
      </c>
      <c r="T111" s="145">
        <f>SUMIFS(Table2[NewPointsAway],Table2[GameDate], "&lt;=" &amp; $A111, Table2[AwayTeam], T$1)+SUMIFS(Table2[NewPointsHome],Table2[GameDate], "&lt;=" &amp; $A111, Table2[HomeTeam], T$1)</f>
        <v>30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31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29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27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32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34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33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29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28</v>
      </c>
      <c r="I112" s="145">
        <f>SUMIFS(Table2[NewPointsAway],Table2[GameDate], "&lt;=" &amp; $A112, Table2[AwayTeam], I$1)+SUMIFS(Table2[NewPointsHome],Table2[GameDate], "&lt;=" &amp; $A112, Table2[HomeTeam], I$1)</f>
        <v>44</v>
      </c>
      <c r="J112" s="145">
        <f>SUMIFS(Table2[NewPointsAway],Table2[GameDate], "&lt;=" &amp; $A112, Table2[AwayTeam], J$1)+SUMIFS(Table2[NewPointsHome],Table2[GameDate], "&lt;=" &amp; $A112, Table2[HomeTeam], J$1)</f>
        <v>41</v>
      </c>
      <c r="K112" s="145">
        <f>SUMIFS(Table2[NewPointsAway],Table2[GameDate], "&lt;=" &amp; $A112, Table2[AwayTeam], K$1)+SUMIFS(Table2[NewPointsHome],Table2[GameDate], "&lt;=" &amp; $A112, Table2[HomeTeam], K$1)</f>
        <v>30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22</v>
      </c>
      <c r="S112" s="145">
        <f>SUMIFS(Table2[NewPointsAway],Table2[GameDate], "&lt;=" &amp; $A112, Table2[AwayTeam], S$1)+SUMIFS(Table2[NewPointsHome],Table2[GameDate], "&lt;=" &amp; $A112, Table2[HomeTeam], S$1)</f>
        <v>31</v>
      </c>
      <c r="T112" s="145">
        <f>SUMIFS(Table2[NewPointsAway],Table2[GameDate], "&lt;=" &amp; $A112, Table2[AwayTeam], T$1)+SUMIFS(Table2[NewPointsHome],Table2[GameDate], "&lt;=" &amp; $A112, Table2[HomeTeam], T$1)</f>
        <v>30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31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29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27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32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34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33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29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28</v>
      </c>
      <c r="I113" s="145">
        <f>SUMIFS(Table2[NewPointsAway],Table2[GameDate], "&lt;=" &amp; $A113, Table2[AwayTeam], I$1)+SUMIFS(Table2[NewPointsHome],Table2[GameDate], "&lt;=" &amp; $A113, Table2[HomeTeam], I$1)</f>
        <v>44</v>
      </c>
      <c r="J113" s="145">
        <f>SUMIFS(Table2[NewPointsAway],Table2[GameDate], "&lt;=" &amp; $A113, Table2[AwayTeam], J$1)+SUMIFS(Table2[NewPointsHome],Table2[GameDate], "&lt;=" &amp; $A113, Table2[HomeTeam], J$1)</f>
        <v>41</v>
      </c>
      <c r="K113" s="145">
        <f>SUMIFS(Table2[NewPointsAway],Table2[GameDate], "&lt;=" &amp; $A113, Table2[AwayTeam], K$1)+SUMIFS(Table2[NewPointsHome],Table2[GameDate], "&lt;=" &amp; $A113, Table2[HomeTeam], K$1)</f>
        <v>30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22</v>
      </c>
      <c r="S113" s="145">
        <f>SUMIFS(Table2[NewPointsAway],Table2[GameDate], "&lt;=" &amp; $A113, Table2[AwayTeam], S$1)+SUMIFS(Table2[NewPointsHome],Table2[GameDate], "&lt;=" &amp; $A113, Table2[HomeTeam], S$1)</f>
        <v>31</v>
      </c>
      <c r="T113" s="145">
        <f>SUMIFS(Table2[NewPointsAway],Table2[GameDate], "&lt;=" &amp; $A113, Table2[AwayTeam], T$1)+SUMIFS(Table2[NewPointsHome],Table2[GameDate], "&lt;=" &amp; $A113, Table2[HomeTeam], T$1)</f>
        <v>30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31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29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27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32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34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33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29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28</v>
      </c>
      <c r="I114" s="145">
        <f>SUMIFS(Table2[NewPointsAway],Table2[GameDate], "&lt;=" &amp; $A114, Table2[AwayTeam], I$1)+SUMIFS(Table2[NewPointsHome],Table2[GameDate], "&lt;=" &amp; $A114, Table2[HomeTeam], I$1)</f>
        <v>44</v>
      </c>
      <c r="J114" s="145">
        <f>SUMIFS(Table2[NewPointsAway],Table2[GameDate], "&lt;=" &amp; $A114, Table2[AwayTeam], J$1)+SUMIFS(Table2[NewPointsHome],Table2[GameDate], "&lt;=" &amp; $A114, Table2[HomeTeam], J$1)</f>
        <v>41</v>
      </c>
      <c r="K114" s="145">
        <f>SUMIFS(Table2[NewPointsAway],Table2[GameDate], "&lt;=" &amp; $A114, Table2[AwayTeam], K$1)+SUMIFS(Table2[NewPointsHome],Table2[GameDate], "&lt;=" &amp; $A114, Table2[HomeTeam], K$1)</f>
        <v>30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22</v>
      </c>
      <c r="S114" s="145">
        <f>SUMIFS(Table2[NewPointsAway],Table2[GameDate], "&lt;=" &amp; $A114, Table2[AwayTeam], S$1)+SUMIFS(Table2[NewPointsHome],Table2[GameDate], "&lt;=" &amp; $A114, Table2[HomeTeam], S$1)</f>
        <v>31</v>
      </c>
      <c r="T114" s="145">
        <f>SUMIFS(Table2[NewPointsAway],Table2[GameDate], "&lt;=" &amp; $A114, Table2[AwayTeam], T$1)+SUMIFS(Table2[NewPointsHome],Table2[GameDate], "&lt;=" &amp; $A114, Table2[HomeTeam], T$1)</f>
        <v>30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31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29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27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32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34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33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29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28</v>
      </c>
      <c r="I115" s="145">
        <f>SUMIFS(Table2[NewPointsAway],Table2[GameDate], "&lt;=" &amp; $A115, Table2[AwayTeam], I$1)+SUMIFS(Table2[NewPointsHome],Table2[GameDate], "&lt;=" &amp; $A115, Table2[HomeTeam], I$1)</f>
        <v>44</v>
      </c>
      <c r="J115" s="145">
        <f>SUMIFS(Table2[NewPointsAway],Table2[GameDate], "&lt;=" &amp; $A115, Table2[AwayTeam], J$1)+SUMIFS(Table2[NewPointsHome],Table2[GameDate], "&lt;=" &amp; $A115, Table2[HomeTeam], J$1)</f>
        <v>41</v>
      </c>
      <c r="K115" s="145">
        <f>SUMIFS(Table2[NewPointsAway],Table2[GameDate], "&lt;=" &amp; $A115, Table2[AwayTeam], K$1)+SUMIFS(Table2[NewPointsHome],Table2[GameDate], "&lt;=" &amp; $A115, Table2[HomeTeam], K$1)</f>
        <v>30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22</v>
      </c>
      <c r="S115" s="145">
        <f>SUMIFS(Table2[NewPointsAway],Table2[GameDate], "&lt;=" &amp; $A115, Table2[AwayTeam], S$1)+SUMIFS(Table2[NewPointsHome],Table2[GameDate], "&lt;=" &amp; $A115, Table2[HomeTeam], S$1)</f>
        <v>31</v>
      </c>
      <c r="T115" s="145">
        <f>SUMIFS(Table2[NewPointsAway],Table2[GameDate], "&lt;=" &amp; $A115, Table2[AwayTeam], T$1)+SUMIFS(Table2[NewPointsHome],Table2[GameDate], "&lt;=" &amp; $A115, Table2[HomeTeam], T$1)</f>
        <v>30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31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29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27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32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34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33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29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28</v>
      </c>
      <c r="I116" s="145">
        <f>SUMIFS(Table2[NewPointsAway],Table2[GameDate], "&lt;=" &amp; $A116, Table2[AwayTeam], I$1)+SUMIFS(Table2[NewPointsHome],Table2[GameDate], "&lt;=" &amp; $A116, Table2[HomeTeam], I$1)</f>
        <v>44</v>
      </c>
      <c r="J116" s="145">
        <f>SUMIFS(Table2[NewPointsAway],Table2[GameDate], "&lt;=" &amp; $A116, Table2[AwayTeam], J$1)+SUMIFS(Table2[NewPointsHome],Table2[GameDate], "&lt;=" &amp; $A116, Table2[HomeTeam], J$1)</f>
        <v>41</v>
      </c>
      <c r="K116" s="145">
        <f>SUMIFS(Table2[NewPointsAway],Table2[GameDate], "&lt;=" &amp; $A116, Table2[AwayTeam], K$1)+SUMIFS(Table2[NewPointsHome],Table2[GameDate], "&lt;=" &amp; $A116, Table2[HomeTeam], K$1)</f>
        <v>30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22</v>
      </c>
      <c r="S116" s="145">
        <f>SUMIFS(Table2[NewPointsAway],Table2[GameDate], "&lt;=" &amp; $A116, Table2[AwayTeam], S$1)+SUMIFS(Table2[NewPointsHome],Table2[GameDate], "&lt;=" &amp; $A116, Table2[HomeTeam], S$1)</f>
        <v>31</v>
      </c>
      <c r="T116" s="145">
        <f>SUMIFS(Table2[NewPointsAway],Table2[GameDate], "&lt;=" &amp; $A116, Table2[AwayTeam], T$1)+SUMIFS(Table2[NewPointsHome],Table2[GameDate], "&lt;=" &amp; $A116, Table2[HomeTeam], T$1)</f>
        <v>30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31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29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27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32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34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33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29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28</v>
      </c>
      <c r="I117" s="145">
        <f>SUMIFS(Table2[NewPointsAway],Table2[GameDate], "&lt;=" &amp; $A117, Table2[AwayTeam], I$1)+SUMIFS(Table2[NewPointsHome],Table2[GameDate], "&lt;=" &amp; $A117, Table2[HomeTeam], I$1)</f>
        <v>44</v>
      </c>
      <c r="J117" s="145">
        <f>SUMIFS(Table2[NewPointsAway],Table2[GameDate], "&lt;=" &amp; $A117, Table2[AwayTeam], J$1)+SUMIFS(Table2[NewPointsHome],Table2[GameDate], "&lt;=" &amp; $A117, Table2[HomeTeam], J$1)</f>
        <v>41</v>
      </c>
      <c r="K117" s="145">
        <f>SUMIFS(Table2[NewPointsAway],Table2[GameDate], "&lt;=" &amp; $A117, Table2[AwayTeam], K$1)+SUMIFS(Table2[NewPointsHome],Table2[GameDate], "&lt;=" &amp; $A117, Table2[HomeTeam], K$1)</f>
        <v>30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22</v>
      </c>
      <c r="S117" s="145">
        <f>SUMIFS(Table2[NewPointsAway],Table2[GameDate], "&lt;=" &amp; $A117, Table2[AwayTeam], S$1)+SUMIFS(Table2[NewPointsHome],Table2[GameDate], "&lt;=" &amp; $A117, Table2[HomeTeam], S$1)</f>
        <v>31</v>
      </c>
      <c r="T117" s="145">
        <f>SUMIFS(Table2[NewPointsAway],Table2[GameDate], "&lt;=" &amp; $A117, Table2[AwayTeam], T$1)+SUMIFS(Table2[NewPointsHome],Table2[GameDate], "&lt;=" &amp; $A117, Table2[HomeTeam], T$1)</f>
        <v>30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31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29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27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32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34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33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29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28</v>
      </c>
      <c r="I118" s="145">
        <f>SUMIFS(Table2[NewPointsAway],Table2[GameDate], "&lt;=" &amp; $A118, Table2[AwayTeam], I$1)+SUMIFS(Table2[NewPointsHome],Table2[GameDate], "&lt;=" &amp; $A118, Table2[HomeTeam], I$1)</f>
        <v>44</v>
      </c>
      <c r="J118" s="145">
        <f>SUMIFS(Table2[NewPointsAway],Table2[GameDate], "&lt;=" &amp; $A118, Table2[AwayTeam], J$1)+SUMIFS(Table2[NewPointsHome],Table2[GameDate], "&lt;=" &amp; $A118, Table2[HomeTeam], J$1)</f>
        <v>41</v>
      </c>
      <c r="K118" s="145">
        <f>SUMIFS(Table2[NewPointsAway],Table2[GameDate], "&lt;=" &amp; $A118, Table2[AwayTeam], K$1)+SUMIFS(Table2[NewPointsHome],Table2[GameDate], "&lt;=" &amp; $A118, Table2[HomeTeam], K$1)</f>
        <v>30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22</v>
      </c>
      <c r="S118" s="145">
        <f>SUMIFS(Table2[NewPointsAway],Table2[GameDate], "&lt;=" &amp; $A118, Table2[AwayTeam], S$1)+SUMIFS(Table2[NewPointsHome],Table2[GameDate], "&lt;=" &amp; $A118, Table2[HomeTeam], S$1)</f>
        <v>31</v>
      </c>
      <c r="T118" s="145">
        <f>SUMIFS(Table2[NewPointsAway],Table2[GameDate], "&lt;=" &amp; $A118, Table2[AwayTeam], T$1)+SUMIFS(Table2[NewPointsHome],Table2[GameDate], "&lt;=" &amp; $A118, Table2[HomeTeam], T$1)</f>
        <v>30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31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29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27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32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34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33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29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28</v>
      </c>
      <c r="I119" s="145">
        <f>SUMIFS(Table2[NewPointsAway],Table2[GameDate], "&lt;=" &amp; $A119, Table2[AwayTeam], I$1)+SUMIFS(Table2[NewPointsHome],Table2[GameDate], "&lt;=" &amp; $A119, Table2[HomeTeam], I$1)</f>
        <v>44</v>
      </c>
      <c r="J119" s="145">
        <f>SUMIFS(Table2[NewPointsAway],Table2[GameDate], "&lt;=" &amp; $A119, Table2[AwayTeam], J$1)+SUMIFS(Table2[NewPointsHome],Table2[GameDate], "&lt;=" &amp; $A119, Table2[HomeTeam], J$1)</f>
        <v>41</v>
      </c>
      <c r="K119" s="145">
        <f>SUMIFS(Table2[NewPointsAway],Table2[GameDate], "&lt;=" &amp; $A119, Table2[AwayTeam], K$1)+SUMIFS(Table2[NewPointsHome],Table2[GameDate], "&lt;=" &amp; $A119, Table2[HomeTeam], K$1)</f>
        <v>30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22</v>
      </c>
      <c r="S119" s="145">
        <f>SUMIFS(Table2[NewPointsAway],Table2[GameDate], "&lt;=" &amp; $A119, Table2[AwayTeam], S$1)+SUMIFS(Table2[NewPointsHome],Table2[GameDate], "&lt;=" &amp; $A119, Table2[HomeTeam], S$1)</f>
        <v>31</v>
      </c>
      <c r="T119" s="145">
        <f>SUMIFS(Table2[NewPointsAway],Table2[GameDate], "&lt;=" &amp; $A119, Table2[AwayTeam], T$1)+SUMIFS(Table2[NewPointsHome],Table2[GameDate], "&lt;=" &amp; $A119, Table2[HomeTeam], T$1)</f>
        <v>30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31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29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27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32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34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33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29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28</v>
      </c>
      <c r="I120" s="145">
        <f>SUMIFS(Table2[NewPointsAway],Table2[GameDate], "&lt;=" &amp; $A120, Table2[AwayTeam], I$1)+SUMIFS(Table2[NewPointsHome],Table2[GameDate], "&lt;=" &amp; $A120, Table2[HomeTeam], I$1)</f>
        <v>44</v>
      </c>
      <c r="J120" s="145">
        <f>SUMIFS(Table2[NewPointsAway],Table2[GameDate], "&lt;=" &amp; $A120, Table2[AwayTeam], J$1)+SUMIFS(Table2[NewPointsHome],Table2[GameDate], "&lt;=" &amp; $A120, Table2[HomeTeam], J$1)</f>
        <v>41</v>
      </c>
      <c r="K120" s="145">
        <f>SUMIFS(Table2[NewPointsAway],Table2[GameDate], "&lt;=" &amp; $A120, Table2[AwayTeam], K$1)+SUMIFS(Table2[NewPointsHome],Table2[GameDate], "&lt;=" &amp; $A120, Table2[HomeTeam], K$1)</f>
        <v>30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22</v>
      </c>
      <c r="S120" s="145">
        <f>SUMIFS(Table2[NewPointsAway],Table2[GameDate], "&lt;=" &amp; $A120, Table2[AwayTeam], S$1)+SUMIFS(Table2[NewPointsHome],Table2[GameDate], "&lt;=" &amp; $A120, Table2[HomeTeam], S$1)</f>
        <v>31</v>
      </c>
      <c r="T120" s="145">
        <f>SUMIFS(Table2[NewPointsAway],Table2[GameDate], "&lt;=" &amp; $A120, Table2[AwayTeam], T$1)+SUMIFS(Table2[NewPointsHome],Table2[GameDate], "&lt;=" &amp; $A120, Table2[HomeTeam], T$1)</f>
        <v>30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31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29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27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32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34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33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29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28</v>
      </c>
      <c r="I121" s="145">
        <f>SUMIFS(Table2[NewPointsAway],Table2[GameDate], "&lt;=" &amp; $A121, Table2[AwayTeam], I$1)+SUMIFS(Table2[NewPointsHome],Table2[GameDate], "&lt;=" &amp; $A121, Table2[HomeTeam], I$1)</f>
        <v>44</v>
      </c>
      <c r="J121" s="145">
        <f>SUMIFS(Table2[NewPointsAway],Table2[GameDate], "&lt;=" &amp; $A121, Table2[AwayTeam], J$1)+SUMIFS(Table2[NewPointsHome],Table2[GameDate], "&lt;=" &amp; $A121, Table2[HomeTeam], J$1)</f>
        <v>41</v>
      </c>
      <c r="K121" s="145">
        <f>SUMIFS(Table2[NewPointsAway],Table2[GameDate], "&lt;=" &amp; $A121, Table2[AwayTeam], K$1)+SUMIFS(Table2[NewPointsHome],Table2[GameDate], "&lt;=" &amp; $A121, Table2[HomeTeam], K$1)</f>
        <v>30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22</v>
      </c>
      <c r="S121" s="145">
        <f>SUMIFS(Table2[NewPointsAway],Table2[GameDate], "&lt;=" &amp; $A121, Table2[AwayTeam], S$1)+SUMIFS(Table2[NewPointsHome],Table2[GameDate], "&lt;=" &amp; $A121, Table2[HomeTeam], S$1)</f>
        <v>31</v>
      </c>
      <c r="T121" s="145">
        <f>SUMIFS(Table2[NewPointsAway],Table2[GameDate], "&lt;=" &amp; $A121, Table2[AwayTeam], T$1)+SUMIFS(Table2[NewPointsHome],Table2[GameDate], "&lt;=" &amp; $A121, Table2[HomeTeam], T$1)</f>
        <v>30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31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29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27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32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34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33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29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28</v>
      </c>
      <c r="I122" s="145">
        <f>SUMIFS(Table2[NewPointsAway],Table2[GameDate], "&lt;=" &amp; $A122, Table2[AwayTeam], I$1)+SUMIFS(Table2[NewPointsHome],Table2[GameDate], "&lt;=" &amp; $A122, Table2[HomeTeam], I$1)</f>
        <v>44</v>
      </c>
      <c r="J122" s="145">
        <f>SUMIFS(Table2[NewPointsAway],Table2[GameDate], "&lt;=" &amp; $A122, Table2[AwayTeam], J$1)+SUMIFS(Table2[NewPointsHome],Table2[GameDate], "&lt;=" &amp; $A122, Table2[HomeTeam], J$1)</f>
        <v>41</v>
      </c>
      <c r="K122" s="145">
        <f>SUMIFS(Table2[NewPointsAway],Table2[GameDate], "&lt;=" &amp; $A122, Table2[AwayTeam], K$1)+SUMIFS(Table2[NewPointsHome],Table2[GameDate], "&lt;=" &amp; $A122, Table2[HomeTeam], K$1)</f>
        <v>30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22</v>
      </c>
      <c r="S122" s="145">
        <f>SUMIFS(Table2[NewPointsAway],Table2[GameDate], "&lt;=" &amp; $A122, Table2[AwayTeam], S$1)+SUMIFS(Table2[NewPointsHome],Table2[GameDate], "&lt;=" &amp; $A122, Table2[HomeTeam], S$1)</f>
        <v>31</v>
      </c>
      <c r="T122" s="145">
        <f>SUMIFS(Table2[NewPointsAway],Table2[GameDate], "&lt;=" &amp; $A122, Table2[AwayTeam], T$1)+SUMIFS(Table2[NewPointsHome],Table2[GameDate], "&lt;=" &amp; $A122, Table2[HomeTeam], T$1)</f>
        <v>30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31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29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27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32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34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33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29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28</v>
      </c>
      <c r="I123" s="145">
        <f>SUMIFS(Table2[NewPointsAway],Table2[GameDate], "&lt;=" &amp; $A123, Table2[AwayTeam], I$1)+SUMIFS(Table2[NewPointsHome],Table2[GameDate], "&lt;=" &amp; $A123, Table2[HomeTeam], I$1)</f>
        <v>44</v>
      </c>
      <c r="J123" s="145">
        <f>SUMIFS(Table2[NewPointsAway],Table2[GameDate], "&lt;=" &amp; $A123, Table2[AwayTeam], J$1)+SUMIFS(Table2[NewPointsHome],Table2[GameDate], "&lt;=" &amp; $A123, Table2[HomeTeam], J$1)</f>
        <v>41</v>
      </c>
      <c r="K123" s="145">
        <f>SUMIFS(Table2[NewPointsAway],Table2[GameDate], "&lt;=" &amp; $A123, Table2[AwayTeam], K$1)+SUMIFS(Table2[NewPointsHome],Table2[GameDate], "&lt;=" &amp; $A123, Table2[HomeTeam], K$1)</f>
        <v>30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22</v>
      </c>
      <c r="S123" s="145">
        <f>SUMIFS(Table2[NewPointsAway],Table2[GameDate], "&lt;=" &amp; $A123, Table2[AwayTeam], S$1)+SUMIFS(Table2[NewPointsHome],Table2[GameDate], "&lt;=" &amp; $A123, Table2[HomeTeam], S$1)</f>
        <v>31</v>
      </c>
      <c r="T123" s="145">
        <f>SUMIFS(Table2[NewPointsAway],Table2[GameDate], "&lt;=" &amp; $A123, Table2[AwayTeam], T$1)+SUMIFS(Table2[NewPointsHome],Table2[GameDate], "&lt;=" &amp; $A123, Table2[HomeTeam], T$1)</f>
        <v>30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31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29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27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32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34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33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29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28</v>
      </c>
      <c r="I124" s="145">
        <f>SUMIFS(Table2[NewPointsAway],Table2[GameDate], "&lt;=" &amp; $A124, Table2[AwayTeam], I$1)+SUMIFS(Table2[NewPointsHome],Table2[GameDate], "&lt;=" &amp; $A124, Table2[HomeTeam], I$1)</f>
        <v>44</v>
      </c>
      <c r="J124" s="145">
        <f>SUMIFS(Table2[NewPointsAway],Table2[GameDate], "&lt;=" &amp; $A124, Table2[AwayTeam], J$1)+SUMIFS(Table2[NewPointsHome],Table2[GameDate], "&lt;=" &amp; $A124, Table2[HomeTeam], J$1)</f>
        <v>41</v>
      </c>
      <c r="K124" s="145">
        <f>SUMIFS(Table2[NewPointsAway],Table2[GameDate], "&lt;=" &amp; $A124, Table2[AwayTeam], K$1)+SUMIFS(Table2[NewPointsHome],Table2[GameDate], "&lt;=" &amp; $A124, Table2[HomeTeam], K$1)</f>
        <v>30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22</v>
      </c>
      <c r="S124" s="145">
        <f>SUMIFS(Table2[NewPointsAway],Table2[GameDate], "&lt;=" &amp; $A124, Table2[AwayTeam], S$1)+SUMIFS(Table2[NewPointsHome],Table2[GameDate], "&lt;=" &amp; $A124, Table2[HomeTeam], S$1)</f>
        <v>31</v>
      </c>
      <c r="T124" s="145">
        <f>SUMIFS(Table2[NewPointsAway],Table2[GameDate], "&lt;=" &amp; $A124, Table2[AwayTeam], T$1)+SUMIFS(Table2[NewPointsHome],Table2[GameDate], "&lt;=" &amp; $A124, Table2[HomeTeam], T$1)</f>
        <v>30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31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29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27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32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34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33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29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28</v>
      </c>
      <c r="I125" s="145">
        <f>SUMIFS(Table2[NewPointsAway],Table2[GameDate], "&lt;=" &amp; $A125, Table2[AwayTeam], I$1)+SUMIFS(Table2[NewPointsHome],Table2[GameDate], "&lt;=" &amp; $A125, Table2[HomeTeam], I$1)</f>
        <v>44</v>
      </c>
      <c r="J125" s="145">
        <f>SUMIFS(Table2[NewPointsAway],Table2[GameDate], "&lt;=" &amp; $A125, Table2[AwayTeam], J$1)+SUMIFS(Table2[NewPointsHome],Table2[GameDate], "&lt;=" &amp; $A125, Table2[HomeTeam], J$1)</f>
        <v>41</v>
      </c>
      <c r="K125" s="145">
        <f>SUMIFS(Table2[NewPointsAway],Table2[GameDate], "&lt;=" &amp; $A125, Table2[AwayTeam], K$1)+SUMIFS(Table2[NewPointsHome],Table2[GameDate], "&lt;=" &amp; $A125, Table2[HomeTeam], K$1)</f>
        <v>30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22</v>
      </c>
      <c r="S125" s="145">
        <f>SUMIFS(Table2[NewPointsAway],Table2[GameDate], "&lt;=" &amp; $A125, Table2[AwayTeam], S$1)+SUMIFS(Table2[NewPointsHome],Table2[GameDate], "&lt;=" &amp; $A125, Table2[HomeTeam], S$1)</f>
        <v>31</v>
      </c>
      <c r="T125" s="145">
        <f>SUMIFS(Table2[NewPointsAway],Table2[GameDate], "&lt;=" &amp; $A125, Table2[AwayTeam], T$1)+SUMIFS(Table2[NewPointsHome],Table2[GameDate], "&lt;=" &amp; $A125, Table2[HomeTeam], T$1)</f>
        <v>30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31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29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27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32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34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33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29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28</v>
      </c>
      <c r="I126" s="145">
        <f>SUMIFS(Table2[NewPointsAway],Table2[GameDate], "&lt;=" &amp; $A126, Table2[AwayTeam], I$1)+SUMIFS(Table2[NewPointsHome],Table2[GameDate], "&lt;=" &amp; $A126, Table2[HomeTeam], I$1)</f>
        <v>44</v>
      </c>
      <c r="J126" s="145">
        <f>SUMIFS(Table2[NewPointsAway],Table2[GameDate], "&lt;=" &amp; $A126, Table2[AwayTeam], J$1)+SUMIFS(Table2[NewPointsHome],Table2[GameDate], "&lt;=" &amp; $A126, Table2[HomeTeam], J$1)</f>
        <v>41</v>
      </c>
      <c r="K126" s="145">
        <f>SUMIFS(Table2[NewPointsAway],Table2[GameDate], "&lt;=" &amp; $A126, Table2[AwayTeam], K$1)+SUMIFS(Table2[NewPointsHome],Table2[GameDate], "&lt;=" &amp; $A126, Table2[HomeTeam], K$1)</f>
        <v>30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22</v>
      </c>
      <c r="S126" s="145">
        <f>SUMIFS(Table2[NewPointsAway],Table2[GameDate], "&lt;=" &amp; $A126, Table2[AwayTeam], S$1)+SUMIFS(Table2[NewPointsHome],Table2[GameDate], "&lt;=" &amp; $A126, Table2[HomeTeam], S$1)</f>
        <v>31</v>
      </c>
      <c r="T126" s="145">
        <f>SUMIFS(Table2[NewPointsAway],Table2[GameDate], "&lt;=" &amp; $A126, Table2[AwayTeam], T$1)+SUMIFS(Table2[NewPointsHome],Table2[GameDate], "&lt;=" &amp; $A126, Table2[HomeTeam], T$1)</f>
        <v>30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31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29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27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32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34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33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29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28</v>
      </c>
      <c r="I127" s="145">
        <f>SUMIFS(Table2[NewPointsAway],Table2[GameDate], "&lt;=" &amp; $A127, Table2[AwayTeam], I$1)+SUMIFS(Table2[NewPointsHome],Table2[GameDate], "&lt;=" &amp; $A127, Table2[HomeTeam], I$1)</f>
        <v>44</v>
      </c>
      <c r="J127" s="145">
        <f>SUMIFS(Table2[NewPointsAway],Table2[GameDate], "&lt;=" &amp; $A127, Table2[AwayTeam], J$1)+SUMIFS(Table2[NewPointsHome],Table2[GameDate], "&lt;=" &amp; $A127, Table2[HomeTeam], J$1)</f>
        <v>41</v>
      </c>
      <c r="K127" s="145">
        <f>SUMIFS(Table2[NewPointsAway],Table2[GameDate], "&lt;=" &amp; $A127, Table2[AwayTeam], K$1)+SUMIFS(Table2[NewPointsHome],Table2[GameDate], "&lt;=" &amp; $A127, Table2[HomeTeam], K$1)</f>
        <v>30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22</v>
      </c>
      <c r="S127" s="145">
        <f>SUMIFS(Table2[NewPointsAway],Table2[GameDate], "&lt;=" &amp; $A127, Table2[AwayTeam], S$1)+SUMIFS(Table2[NewPointsHome],Table2[GameDate], "&lt;=" &amp; $A127, Table2[HomeTeam], S$1)</f>
        <v>31</v>
      </c>
      <c r="T127" s="145">
        <f>SUMIFS(Table2[NewPointsAway],Table2[GameDate], "&lt;=" &amp; $A127, Table2[AwayTeam], T$1)+SUMIFS(Table2[NewPointsHome],Table2[GameDate], "&lt;=" &amp; $A127, Table2[HomeTeam], T$1)</f>
        <v>30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31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29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27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32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34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33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29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28</v>
      </c>
      <c r="I128" s="145">
        <f>SUMIFS(Table2[NewPointsAway],Table2[GameDate], "&lt;=" &amp; $A128, Table2[AwayTeam], I$1)+SUMIFS(Table2[NewPointsHome],Table2[GameDate], "&lt;=" &amp; $A128, Table2[HomeTeam], I$1)</f>
        <v>44</v>
      </c>
      <c r="J128" s="145">
        <f>SUMIFS(Table2[NewPointsAway],Table2[GameDate], "&lt;=" &amp; $A128, Table2[AwayTeam], J$1)+SUMIFS(Table2[NewPointsHome],Table2[GameDate], "&lt;=" &amp; $A128, Table2[HomeTeam], J$1)</f>
        <v>41</v>
      </c>
      <c r="K128" s="145">
        <f>SUMIFS(Table2[NewPointsAway],Table2[GameDate], "&lt;=" &amp; $A128, Table2[AwayTeam], K$1)+SUMIFS(Table2[NewPointsHome],Table2[GameDate], "&lt;=" &amp; $A128, Table2[HomeTeam], K$1)</f>
        <v>30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22</v>
      </c>
      <c r="S128" s="145">
        <f>SUMIFS(Table2[NewPointsAway],Table2[GameDate], "&lt;=" &amp; $A128, Table2[AwayTeam], S$1)+SUMIFS(Table2[NewPointsHome],Table2[GameDate], "&lt;=" &amp; $A128, Table2[HomeTeam], S$1)</f>
        <v>31</v>
      </c>
      <c r="T128" s="145">
        <f>SUMIFS(Table2[NewPointsAway],Table2[GameDate], "&lt;=" &amp; $A128, Table2[AwayTeam], T$1)+SUMIFS(Table2[NewPointsHome],Table2[GameDate], "&lt;=" &amp; $A128, Table2[HomeTeam], T$1)</f>
        <v>30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31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29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27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32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34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33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29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28</v>
      </c>
      <c r="I129" s="145">
        <f>SUMIFS(Table2[NewPointsAway],Table2[GameDate], "&lt;=" &amp; $A129, Table2[AwayTeam], I$1)+SUMIFS(Table2[NewPointsHome],Table2[GameDate], "&lt;=" &amp; $A129, Table2[HomeTeam], I$1)</f>
        <v>44</v>
      </c>
      <c r="J129" s="145">
        <f>SUMIFS(Table2[NewPointsAway],Table2[GameDate], "&lt;=" &amp; $A129, Table2[AwayTeam], J$1)+SUMIFS(Table2[NewPointsHome],Table2[GameDate], "&lt;=" &amp; $A129, Table2[HomeTeam], J$1)</f>
        <v>41</v>
      </c>
      <c r="K129" s="145">
        <f>SUMIFS(Table2[NewPointsAway],Table2[GameDate], "&lt;=" &amp; $A129, Table2[AwayTeam], K$1)+SUMIFS(Table2[NewPointsHome],Table2[GameDate], "&lt;=" &amp; $A129, Table2[HomeTeam], K$1)</f>
        <v>30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22</v>
      </c>
      <c r="S129" s="145">
        <f>SUMIFS(Table2[NewPointsAway],Table2[GameDate], "&lt;=" &amp; $A129, Table2[AwayTeam], S$1)+SUMIFS(Table2[NewPointsHome],Table2[GameDate], "&lt;=" &amp; $A129, Table2[HomeTeam], S$1)</f>
        <v>31</v>
      </c>
      <c r="T129" s="145">
        <f>SUMIFS(Table2[NewPointsAway],Table2[GameDate], "&lt;=" &amp; $A129, Table2[AwayTeam], T$1)+SUMIFS(Table2[NewPointsHome],Table2[GameDate], "&lt;=" &amp; $A129, Table2[HomeTeam], T$1)</f>
        <v>30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31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29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27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32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34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33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29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28</v>
      </c>
      <c r="I130" s="145">
        <f>SUMIFS(Table2[NewPointsAway],Table2[GameDate], "&lt;=" &amp; $A130, Table2[AwayTeam], I$1)+SUMIFS(Table2[NewPointsHome],Table2[GameDate], "&lt;=" &amp; $A130, Table2[HomeTeam], I$1)</f>
        <v>44</v>
      </c>
      <c r="J130" s="145">
        <f>SUMIFS(Table2[NewPointsAway],Table2[GameDate], "&lt;=" &amp; $A130, Table2[AwayTeam], J$1)+SUMIFS(Table2[NewPointsHome],Table2[GameDate], "&lt;=" &amp; $A130, Table2[HomeTeam], J$1)</f>
        <v>41</v>
      </c>
      <c r="K130" s="145">
        <f>SUMIFS(Table2[NewPointsAway],Table2[GameDate], "&lt;=" &amp; $A130, Table2[AwayTeam], K$1)+SUMIFS(Table2[NewPointsHome],Table2[GameDate], "&lt;=" &amp; $A130, Table2[HomeTeam], K$1)</f>
        <v>30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22</v>
      </c>
      <c r="S130" s="145">
        <f>SUMIFS(Table2[NewPointsAway],Table2[GameDate], "&lt;=" &amp; $A130, Table2[AwayTeam], S$1)+SUMIFS(Table2[NewPointsHome],Table2[GameDate], "&lt;=" &amp; $A130, Table2[HomeTeam], S$1)</f>
        <v>31</v>
      </c>
      <c r="T130" s="145">
        <f>SUMIFS(Table2[NewPointsAway],Table2[GameDate], "&lt;=" &amp; $A130, Table2[AwayTeam], T$1)+SUMIFS(Table2[NewPointsHome],Table2[GameDate], "&lt;=" &amp; $A130, Table2[HomeTeam], T$1)</f>
        <v>30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31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29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27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32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34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33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29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28</v>
      </c>
      <c r="I131" s="145">
        <f>SUMIFS(Table2[NewPointsAway],Table2[GameDate], "&lt;=" &amp; $A131, Table2[AwayTeam], I$1)+SUMIFS(Table2[NewPointsHome],Table2[GameDate], "&lt;=" &amp; $A131, Table2[HomeTeam], I$1)</f>
        <v>44</v>
      </c>
      <c r="J131" s="145">
        <f>SUMIFS(Table2[NewPointsAway],Table2[GameDate], "&lt;=" &amp; $A131, Table2[AwayTeam], J$1)+SUMIFS(Table2[NewPointsHome],Table2[GameDate], "&lt;=" &amp; $A131, Table2[HomeTeam], J$1)</f>
        <v>41</v>
      </c>
      <c r="K131" s="145">
        <f>SUMIFS(Table2[NewPointsAway],Table2[GameDate], "&lt;=" &amp; $A131, Table2[AwayTeam], K$1)+SUMIFS(Table2[NewPointsHome],Table2[GameDate], "&lt;=" &amp; $A131, Table2[HomeTeam], K$1)</f>
        <v>30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22</v>
      </c>
      <c r="S131" s="145">
        <f>SUMIFS(Table2[NewPointsAway],Table2[GameDate], "&lt;=" &amp; $A131, Table2[AwayTeam], S$1)+SUMIFS(Table2[NewPointsHome],Table2[GameDate], "&lt;=" &amp; $A131, Table2[HomeTeam], S$1)</f>
        <v>31</v>
      </c>
      <c r="T131" s="145">
        <f>SUMIFS(Table2[NewPointsAway],Table2[GameDate], "&lt;=" &amp; $A131, Table2[AwayTeam], T$1)+SUMIFS(Table2[NewPointsHome],Table2[GameDate], "&lt;=" &amp; $A131, Table2[HomeTeam], T$1)</f>
        <v>30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31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29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27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32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34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33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29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28</v>
      </c>
      <c r="I132" s="145">
        <f>SUMIFS(Table2[NewPointsAway],Table2[GameDate], "&lt;=" &amp; $A132, Table2[AwayTeam], I$1)+SUMIFS(Table2[NewPointsHome],Table2[GameDate], "&lt;=" &amp; $A132, Table2[HomeTeam], I$1)</f>
        <v>44</v>
      </c>
      <c r="J132" s="145">
        <f>SUMIFS(Table2[NewPointsAway],Table2[GameDate], "&lt;=" &amp; $A132, Table2[AwayTeam], J$1)+SUMIFS(Table2[NewPointsHome],Table2[GameDate], "&lt;=" &amp; $A132, Table2[HomeTeam], J$1)</f>
        <v>41</v>
      </c>
      <c r="K132" s="145">
        <f>SUMIFS(Table2[NewPointsAway],Table2[GameDate], "&lt;=" &amp; $A132, Table2[AwayTeam], K$1)+SUMIFS(Table2[NewPointsHome],Table2[GameDate], "&lt;=" &amp; $A132, Table2[HomeTeam], K$1)</f>
        <v>30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22</v>
      </c>
      <c r="S132" s="145">
        <f>SUMIFS(Table2[NewPointsAway],Table2[GameDate], "&lt;=" &amp; $A132, Table2[AwayTeam], S$1)+SUMIFS(Table2[NewPointsHome],Table2[GameDate], "&lt;=" &amp; $A132, Table2[HomeTeam], S$1)</f>
        <v>31</v>
      </c>
      <c r="T132" s="145">
        <f>SUMIFS(Table2[NewPointsAway],Table2[GameDate], "&lt;=" &amp; $A132, Table2[AwayTeam], T$1)+SUMIFS(Table2[NewPointsHome],Table2[GameDate], "&lt;=" &amp; $A132, Table2[HomeTeam], T$1)</f>
        <v>30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31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29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27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32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34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33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29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28</v>
      </c>
      <c r="I133" s="145">
        <f>SUMIFS(Table2[NewPointsAway],Table2[GameDate], "&lt;=" &amp; $A133, Table2[AwayTeam], I$1)+SUMIFS(Table2[NewPointsHome],Table2[GameDate], "&lt;=" &amp; $A133, Table2[HomeTeam], I$1)</f>
        <v>44</v>
      </c>
      <c r="J133" s="145">
        <f>SUMIFS(Table2[NewPointsAway],Table2[GameDate], "&lt;=" &amp; $A133, Table2[AwayTeam], J$1)+SUMIFS(Table2[NewPointsHome],Table2[GameDate], "&lt;=" &amp; $A133, Table2[HomeTeam], J$1)</f>
        <v>41</v>
      </c>
      <c r="K133" s="145">
        <f>SUMIFS(Table2[NewPointsAway],Table2[GameDate], "&lt;=" &amp; $A133, Table2[AwayTeam], K$1)+SUMIFS(Table2[NewPointsHome],Table2[GameDate], "&lt;=" &amp; $A133, Table2[HomeTeam], K$1)</f>
        <v>30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22</v>
      </c>
      <c r="S133" s="145">
        <f>SUMIFS(Table2[NewPointsAway],Table2[GameDate], "&lt;=" &amp; $A133, Table2[AwayTeam], S$1)+SUMIFS(Table2[NewPointsHome],Table2[GameDate], "&lt;=" &amp; $A133, Table2[HomeTeam], S$1)</f>
        <v>31</v>
      </c>
      <c r="T133" s="145">
        <f>SUMIFS(Table2[NewPointsAway],Table2[GameDate], "&lt;=" &amp; $A133, Table2[AwayTeam], T$1)+SUMIFS(Table2[NewPointsHome],Table2[GameDate], "&lt;=" &amp; $A133, Table2[HomeTeam], T$1)</f>
        <v>30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31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29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27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32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34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33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29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28</v>
      </c>
      <c r="I134" s="145">
        <f>SUMIFS(Table2[NewPointsAway],Table2[GameDate], "&lt;=" &amp; $A134, Table2[AwayTeam], I$1)+SUMIFS(Table2[NewPointsHome],Table2[GameDate], "&lt;=" &amp; $A134, Table2[HomeTeam], I$1)</f>
        <v>44</v>
      </c>
      <c r="J134" s="145">
        <f>SUMIFS(Table2[NewPointsAway],Table2[GameDate], "&lt;=" &amp; $A134, Table2[AwayTeam], J$1)+SUMIFS(Table2[NewPointsHome],Table2[GameDate], "&lt;=" &amp; $A134, Table2[HomeTeam], J$1)</f>
        <v>41</v>
      </c>
      <c r="K134" s="145">
        <f>SUMIFS(Table2[NewPointsAway],Table2[GameDate], "&lt;=" &amp; $A134, Table2[AwayTeam], K$1)+SUMIFS(Table2[NewPointsHome],Table2[GameDate], "&lt;=" &amp; $A134, Table2[HomeTeam], K$1)</f>
        <v>30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22</v>
      </c>
      <c r="S134" s="145">
        <f>SUMIFS(Table2[NewPointsAway],Table2[GameDate], "&lt;=" &amp; $A134, Table2[AwayTeam], S$1)+SUMIFS(Table2[NewPointsHome],Table2[GameDate], "&lt;=" &amp; $A134, Table2[HomeTeam], S$1)</f>
        <v>31</v>
      </c>
      <c r="T134" s="145">
        <f>SUMIFS(Table2[NewPointsAway],Table2[GameDate], "&lt;=" &amp; $A134, Table2[AwayTeam], T$1)+SUMIFS(Table2[NewPointsHome],Table2[GameDate], "&lt;=" &amp; $A134, Table2[HomeTeam], T$1)</f>
        <v>30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31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29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27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32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34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33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29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28</v>
      </c>
      <c r="I135" s="145">
        <f>SUMIFS(Table2[NewPointsAway],Table2[GameDate], "&lt;=" &amp; $A135, Table2[AwayTeam], I$1)+SUMIFS(Table2[NewPointsHome],Table2[GameDate], "&lt;=" &amp; $A135, Table2[HomeTeam], I$1)</f>
        <v>44</v>
      </c>
      <c r="J135" s="145">
        <f>SUMIFS(Table2[NewPointsAway],Table2[GameDate], "&lt;=" &amp; $A135, Table2[AwayTeam], J$1)+SUMIFS(Table2[NewPointsHome],Table2[GameDate], "&lt;=" &amp; $A135, Table2[HomeTeam], J$1)</f>
        <v>41</v>
      </c>
      <c r="K135" s="145">
        <f>SUMIFS(Table2[NewPointsAway],Table2[GameDate], "&lt;=" &amp; $A135, Table2[AwayTeam], K$1)+SUMIFS(Table2[NewPointsHome],Table2[GameDate], "&lt;=" &amp; $A135, Table2[HomeTeam], K$1)</f>
        <v>30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22</v>
      </c>
      <c r="S135" s="145">
        <f>SUMIFS(Table2[NewPointsAway],Table2[GameDate], "&lt;=" &amp; $A135, Table2[AwayTeam], S$1)+SUMIFS(Table2[NewPointsHome],Table2[GameDate], "&lt;=" &amp; $A135, Table2[HomeTeam], S$1)</f>
        <v>31</v>
      </c>
      <c r="T135" s="145">
        <f>SUMIFS(Table2[NewPointsAway],Table2[GameDate], "&lt;=" &amp; $A135, Table2[AwayTeam], T$1)+SUMIFS(Table2[NewPointsHome],Table2[GameDate], "&lt;=" &amp; $A135, Table2[HomeTeam], T$1)</f>
        <v>30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31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29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27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32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34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33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29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28</v>
      </c>
      <c r="I136" s="145">
        <f>SUMIFS(Table2[NewPointsAway],Table2[GameDate], "&lt;=" &amp; $A136, Table2[AwayTeam], I$1)+SUMIFS(Table2[NewPointsHome],Table2[GameDate], "&lt;=" &amp; $A136, Table2[HomeTeam], I$1)</f>
        <v>44</v>
      </c>
      <c r="J136" s="145">
        <f>SUMIFS(Table2[NewPointsAway],Table2[GameDate], "&lt;=" &amp; $A136, Table2[AwayTeam], J$1)+SUMIFS(Table2[NewPointsHome],Table2[GameDate], "&lt;=" &amp; $A136, Table2[HomeTeam], J$1)</f>
        <v>41</v>
      </c>
      <c r="K136" s="145">
        <f>SUMIFS(Table2[NewPointsAway],Table2[GameDate], "&lt;=" &amp; $A136, Table2[AwayTeam], K$1)+SUMIFS(Table2[NewPointsHome],Table2[GameDate], "&lt;=" &amp; $A136, Table2[HomeTeam], K$1)</f>
        <v>30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22</v>
      </c>
      <c r="S136" s="145">
        <f>SUMIFS(Table2[NewPointsAway],Table2[GameDate], "&lt;=" &amp; $A136, Table2[AwayTeam], S$1)+SUMIFS(Table2[NewPointsHome],Table2[GameDate], "&lt;=" &amp; $A136, Table2[HomeTeam], S$1)</f>
        <v>31</v>
      </c>
      <c r="T136" s="145">
        <f>SUMIFS(Table2[NewPointsAway],Table2[GameDate], "&lt;=" &amp; $A136, Table2[AwayTeam], T$1)+SUMIFS(Table2[NewPointsHome],Table2[GameDate], "&lt;=" &amp; $A136, Table2[HomeTeam], T$1)</f>
        <v>30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31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29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27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32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34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33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29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28</v>
      </c>
      <c r="I137" s="145">
        <f>SUMIFS(Table2[NewPointsAway],Table2[GameDate], "&lt;=" &amp; $A137, Table2[AwayTeam], I$1)+SUMIFS(Table2[NewPointsHome],Table2[GameDate], "&lt;=" &amp; $A137, Table2[HomeTeam], I$1)</f>
        <v>44</v>
      </c>
      <c r="J137" s="145">
        <f>SUMIFS(Table2[NewPointsAway],Table2[GameDate], "&lt;=" &amp; $A137, Table2[AwayTeam], J$1)+SUMIFS(Table2[NewPointsHome],Table2[GameDate], "&lt;=" &amp; $A137, Table2[HomeTeam], J$1)</f>
        <v>41</v>
      </c>
      <c r="K137" s="145">
        <f>SUMIFS(Table2[NewPointsAway],Table2[GameDate], "&lt;=" &amp; $A137, Table2[AwayTeam], K$1)+SUMIFS(Table2[NewPointsHome],Table2[GameDate], "&lt;=" &amp; $A137, Table2[HomeTeam], K$1)</f>
        <v>30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22</v>
      </c>
      <c r="S137" s="145">
        <f>SUMIFS(Table2[NewPointsAway],Table2[GameDate], "&lt;=" &amp; $A137, Table2[AwayTeam], S$1)+SUMIFS(Table2[NewPointsHome],Table2[GameDate], "&lt;=" &amp; $A137, Table2[HomeTeam], S$1)</f>
        <v>31</v>
      </c>
      <c r="T137" s="145">
        <f>SUMIFS(Table2[NewPointsAway],Table2[GameDate], "&lt;=" &amp; $A137, Table2[AwayTeam], T$1)+SUMIFS(Table2[NewPointsHome],Table2[GameDate], "&lt;=" &amp; $A137, Table2[HomeTeam], T$1)</f>
        <v>30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31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29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27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32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34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33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29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28</v>
      </c>
      <c r="I138" s="145">
        <f>SUMIFS(Table2[NewPointsAway],Table2[GameDate], "&lt;=" &amp; $A138, Table2[AwayTeam], I$1)+SUMIFS(Table2[NewPointsHome],Table2[GameDate], "&lt;=" &amp; $A138, Table2[HomeTeam], I$1)</f>
        <v>44</v>
      </c>
      <c r="J138" s="145">
        <f>SUMIFS(Table2[NewPointsAway],Table2[GameDate], "&lt;=" &amp; $A138, Table2[AwayTeam], J$1)+SUMIFS(Table2[NewPointsHome],Table2[GameDate], "&lt;=" &amp; $A138, Table2[HomeTeam], J$1)</f>
        <v>41</v>
      </c>
      <c r="K138" s="145">
        <f>SUMIFS(Table2[NewPointsAway],Table2[GameDate], "&lt;=" &amp; $A138, Table2[AwayTeam], K$1)+SUMIFS(Table2[NewPointsHome],Table2[GameDate], "&lt;=" &amp; $A138, Table2[HomeTeam], K$1)</f>
        <v>30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22</v>
      </c>
      <c r="S138" s="145">
        <f>SUMIFS(Table2[NewPointsAway],Table2[GameDate], "&lt;=" &amp; $A138, Table2[AwayTeam], S$1)+SUMIFS(Table2[NewPointsHome],Table2[GameDate], "&lt;=" &amp; $A138, Table2[HomeTeam], S$1)</f>
        <v>31</v>
      </c>
      <c r="T138" s="145">
        <f>SUMIFS(Table2[NewPointsAway],Table2[GameDate], "&lt;=" &amp; $A138, Table2[AwayTeam], T$1)+SUMIFS(Table2[NewPointsHome],Table2[GameDate], "&lt;=" &amp; $A138, Table2[HomeTeam], T$1)</f>
        <v>30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31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29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27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32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34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33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29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28</v>
      </c>
      <c r="I139" s="145">
        <f>SUMIFS(Table2[NewPointsAway],Table2[GameDate], "&lt;=" &amp; $A139, Table2[AwayTeam], I$1)+SUMIFS(Table2[NewPointsHome],Table2[GameDate], "&lt;=" &amp; $A139, Table2[HomeTeam], I$1)</f>
        <v>44</v>
      </c>
      <c r="J139" s="145">
        <f>SUMIFS(Table2[NewPointsAway],Table2[GameDate], "&lt;=" &amp; $A139, Table2[AwayTeam], J$1)+SUMIFS(Table2[NewPointsHome],Table2[GameDate], "&lt;=" &amp; $A139, Table2[HomeTeam], J$1)</f>
        <v>41</v>
      </c>
      <c r="K139" s="145">
        <f>SUMIFS(Table2[NewPointsAway],Table2[GameDate], "&lt;=" &amp; $A139, Table2[AwayTeam], K$1)+SUMIFS(Table2[NewPointsHome],Table2[GameDate], "&lt;=" &amp; $A139, Table2[HomeTeam], K$1)</f>
        <v>30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22</v>
      </c>
      <c r="S139" s="145">
        <f>SUMIFS(Table2[NewPointsAway],Table2[GameDate], "&lt;=" &amp; $A139, Table2[AwayTeam], S$1)+SUMIFS(Table2[NewPointsHome],Table2[GameDate], "&lt;=" &amp; $A139, Table2[HomeTeam], S$1)</f>
        <v>31</v>
      </c>
      <c r="T139" s="145">
        <f>SUMIFS(Table2[NewPointsAway],Table2[GameDate], "&lt;=" &amp; $A139, Table2[AwayTeam], T$1)+SUMIFS(Table2[NewPointsHome],Table2[GameDate], "&lt;=" &amp; $A139, Table2[HomeTeam], T$1)</f>
        <v>30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31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29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27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32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34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33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29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28</v>
      </c>
      <c r="I140" s="145">
        <f>SUMIFS(Table2[NewPointsAway],Table2[GameDate], "&lt;=" &amp; $A140, Table2[AwayTeam], I$1)+SUMIFS(Table2[NewPointsHome],Table2[GameDate], "&lt;=" &amp; $A140, Table2[HomeTeam], I$1)</f>
        <v>44</v>
      </c>
      <c r="J140" s="145">
        <f>SUMIFS(Table2[NewPointsAway],Table2[GameDate], "&lt;=" &amp; $A140, Table2[AwayTeam], J$1)+SUMIFS(Table2[NewPointsHome],Table2[GameDate], "&lt;=" &amp; $A140, Table2[HomeTeam], J$1)</f>
        <v>41</v>
      </c>
      <c r="K140" s="145">
        <f>SUMIFS(Table2[NewPointsAway],Table2[GameDate], "&lt;=" &amp; $A140, Table2[AwayTeam], K$1)+SUMIFS(Table2[NewPointsHome],Table2[GameDate], "&lt;=" &amp; $A140, Table2[HomeTeam], K$1)</f>
        <v>30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22</v>
      </c>
      <c r="S140" s="145">
        <f>SUMIFS(Table2[NewPointsAway],Table2[GameDate], "&lt;=" &amp; $A140, Table2[AwayTeam], S$1)+SUMIFS(Table2[NewPointsHome],Table2[GameDate], "&lt;=" &amp; $A140, Table2[HomeTeam], S$1)</f>
        <v>31</v>
      </c>
      <c r="T140" s="145">
        <f>SUMIFS(Table2[NewPointsAway],Table2[GameDate], "&lt;=" &amp; $A140, Table2[AwayTeam], T$1)+SUMIFS(Table2[NewPointsHome],Table2[GameDate], "&lt;=" &amp; $A140, Table2[HomeTeam], T$1)</f>
        <v>30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31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29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27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32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34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33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29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28</v>
      </c>
      <c r="I141" s="145">
        <f>SUMIFS(Table2[NewPointsAway],Table2[GameDate], "&lt;=" &amp; $A141, Table2[AwayTeam], I$1)+SUMIFS(Table2[NewPointsHome],Table2[GameDate], "&lt;=" &amp; $A141, Table2[HomeTeam], I$1)</f>
        <v>44</v>
      </c>
      <c r="J141" s="145">
        <f>SUMIFS(Table2[NewPointsAway],Table2[GameDate], "&lt;=" &amp; $A141, Table2[AwayTeam], J$1)+SUMIFS(Table2[NewPointsHome],Table2[GameDate], "&lt;=" &amp; $A141, Table2[HomeTeam], J$1)</f>
        <v>41</v>
      </c>
      <c r="K141" s="145">
        <f>SUMIFS(Table2[NewPointsAway],Table2[GameDate], "&lt;=" &amp; $A141, Table2[AwayTeam], K$1)+SUMIFS(Table2[NewPointsHome],Table2[GameDate], "&lt;=" &amp; $A141, Table2[HomeTeam], K$1)</f>
        <v>30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22</v>
      </c>
      <c r="S141" s="145">
        <f>SUMIFS(Table2[NewPointsAway],Table2[GameDate], "&lt;=" &amp; $A141, Table2[AwayTeam], S$1)+SUMIFS(Table2[NewPointsHome],Table2[GameDate], "&lt;=" &amp; $A141, Table2[HomeTeam], S$1)</f>
        <v>31</v>
      </c>
      <c r="T141" s="145">
        <f>SUMIFS(Table2[NewPointsAway],Table2[GameDate], "&lt;=" &amp; $A141, Table2[AwayTeam], T$1)+SUMIFS(Table2[NewPointsHome],Table2[GameDate], "&lt;=" &amp; $A141, Table2[HomeTeam], T$1)</f>
        <v>30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31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29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27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32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34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33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29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28</v>
      </c>
      <c r="I142" s="145">
        <f>SUMIFS(Table2[NewPointsAway],Table2[GameDate], "&lt;=" &amp; $A142, Table2[AwayTeam], I$1)+SUMIFS(Table2[NewPointsHome],Table2[GameDate], "&lt;=" &amp; $A142, Table2[HomeTeam], I$1)</f>
        <v>44</v>
      </c>
      <c r="J142" s="145">
        <f>SUMIFS(Table2[NewPointsAway],Table2[GameDate], "&lt;=" &amp; $A142, Table2[AwayTeam], J$1)+SUMIFS(Table2[NewPointsHome],Table2[GameDate], "&lt;=" &amp; $A142, Table2[HomeTeam], J$1)</f>
        <v>41</v>
      </c>
      <c r="K142" s="145">
        <f>SUMIFS(Table2[NewPointsAway],Table2[GameDate], "&lt;=" &amp; $A142, Table2[AwayTeam], K$1)+SUMIFS(Table2[NewPointsHome],Table2[GameDate], "&lt;=" &amp; $A142, Table2[HomeTeam], K$1)</f>
        <v>30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22</v>
      </c>
      <c r="S142" s="145">
        <f>SUMIFS(Table2[NewPointsAway],Table2[GameDate], "&lt;=" &amp; $A142, Table2[AwayTeam], S$1)+SUMIFS(Table2[NewPointsHome],Table2[GameDate], "&lt;=" &amp; $A142, Table2[HomeTeam], S$1)</f>
        <v>31</v>
      </c>
      <c r="T142" s="145">
        <f>SUMIFS(Table2[NewPointsAway],Table2[GameDate], "&lt;=" &amp; $A142, Table2[AwayTeam], T$1)+SUMIFS(Table2[NewPointsHome],Table2[GameDate], "&lt;=" &amp; $A142, Table2[HomeTeam], T$1)</f>
        <v>30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31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29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27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32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34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33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29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28</v>
      </c>
      <c r="I143" s="145">
        <f>SUMIFS(Table2[NewPointsAway],Table2[GameDate], "&lt;=" &amp; $A143, Table2[AwayTeam], I$1)+SUMIFS(Table2[NewPointsHome],Table2[GameDate], "&lt;=" &amp; $A143, Table2[HomeTeam], I$1)</f>
        <v>44</v>
      </c>
      <c r="J143" s="145">
        <f>SUMIFS(Table2[NewPointsAway],Table2[GameDate], "&lt;=" &amp; $A143, Table2[AwayTeam], J$1)+SUMIFS(Table2[NewPointsHome],Table2[GameDate], "&lt;=" &amp; $A143, Table2[HomeTeam], J$1)</f>
        <v>41</v>
      </c>
      <c r="K143" s="145">
        <f>SUMIFS(Table2[NewPointsAway],Table2[GameDate], "&lt;=" &amp; $A143, Table2[AwayTeam], K$1)+SUMIFS(Table2[NewPointsHome],Table2[GameDate], "&lt;=" &amp; $A143, Table2[HomeTeam], K$1)</f>
        <v>30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22</v>
      </c>
      <c r="S143" s="145">
        <f>SUMIFS(Table2[NewPointsAway],Table2[GameDate], "&lt;=" &amp; $A143, Table2[AwayTeam], S$1)+SUMIFS(Table2[NewPointsHome],Table2[GameDate], "&lt;=" &amp; $A143, Table2[HomeTeam], S$1)</f>
        <v>31</v>
      </c>
      <c r="T143" s="145">
        <f>SUMIFS(Table2[NewPointsAway],Table2[GameDate], "&lt;=" &amp; $A143, Table2[AwayTeam], T$1)+SUMIFS(Table2[NewPointsHome],Table2[GameDate], "&lt;=" &amp; $A143, Table2[HomeTeam], T$1)</f>
        <v>30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31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29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27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32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34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33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29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28</v>
      </c>
      <c r="I144" s="145">
        <f>SUMIFS(Table2[NewPointsAway],Table2[GameDate], "&lt;=" &amp; $A144, Table2[AwayTeam], I$1)+SUMIFS(Table2[NewPointsHome],Table2[GameDate], "&lt;=" &amp; $A144, Table2[HomeTeam], I$1)</f>
        <v>44</v>
      </c>
      <c r="J144" s="145">
        <f>SUMIFS(Table2[NewPointsAway],Table2[GameDate], "&lt;=" &amp; $A144, Table2[AwayTeam], J$1)+SUMIFS(Table2[NewPointsHome],Table2[GameDate], "&lt;=" &amp; $A144, Table2[HomeTeam], J$1)</f>
        <v>41</v>
      </c>
      <c r="K144" s="145">
        <f>SUMIFS(Table2[NewPointsAway],Table2[GameDate], "&lt;=" &amp; $A144, Table2[AwayTeam], K$1)+SUMIFS(Table2[NewPointsHome],Table2[GameDate], "&lt;=" &amp; $A144, Table2[HomeTeam], K$1)</f>
        <v>30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22</v>
      </c>
      <c r="S144" s="145">
        <f>SUMIFS(Table2[NewPointsAway],Table2[GameDate], "&lt;=" &amp; $A144, Table2[AwayTeam], S$1)+SUMIFS(Table2[NewPointsHome],Table2[GameDate], "&lt;=" &amp; $A144, Table2[HomeTeam], S$1)</f>
        <v>31</v>
      </c>
      <c r="T144" s="145">
        <f>SUMIFS(Table2[NewPointsAway],Table2[GameDate], "&lt;=" &amp; $A144, Table2[AwayTeam], T$1)+SUMIFS(Table2[NewPointsHome],Table2[GameDate], "&lt;=" &amp; $A144, Table2[HomeTeam], T$1)</f>
        <v>30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31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29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27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32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34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33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29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28</v>
      </c>
      <c r="I145" s="145">
        <f>SUMIFS(Table2[NewPointsAway],Table2[GameDate], "&lt;=" &amp; $A145, Table2[AwayTeam], I$1)+SUMIFS(Table2[NewPointsHome],Table2[GameDate], "&lt;=" &amp; $A145, Table2[HomeTeam], I$1)</f>
        <v>44</v>
      </c>
      <c r="J145" s="145">
        <f>SUMIFS(Table2[NewPointsAway],Table2[GameDate], "&lt;=" &amp; $A145, Table2[AwayTeam], J$1)+SUMIFS(Table2[NewPointsHome],Table2[GameDate], "&lt;=" &amp; $A145, Table2[HomeTeam], J$1)</f>
        <v>41</v>
      </c>
      <c r="K145" s="145">
        <f>SUMIFS(Table2[NewPointsAway],Table2[GameDate], "&lt;=" &amp; $A145, Table2[AwayTeam], K$1)+SUMIFS(Table2[NewPointsHome],Table2[GameDate], "&lt;=" &amp; $A145, Table2[HomeTeam], K$1)</f>
        <v>30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22</v>
      </c>
      <c r="S145" s="145">
        <f>SUMIFS(Table2[NewPointsAway],Table2[GameDate], "&lt;=" &amp; $A145, Table2[AwayTeam], S$1)+SUMIFS(Table2[NewPointsHome],Table2[GameDate], "&lt;=" &amp; $A145, Table2[HomeTeam], S$1)</f>
        <v>31</v>
      </c>
      <c r="T145" s="145">
        <f>SUMIFS(Table2[NewPointsAway],Table2[GameDate], "&lt;=" &amp; $A145, Table2[AwayTeam], T$1)+SUMIFS(Table2[NewPointsHome],Table2[GameDate], "&lt;=" &amp; $A145, Table2[HomeTeam], T$1)</f>
        <v>30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31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29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27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32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34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33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29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28</v>
      </c>
      <c r="I146" s="145">
        <f>SUMIFS(Table2[NewPointsAway],Table2[GameDate], "&lt;=" &amp; $A146, Table2[AwayTeam], I$1)+SUMIFS(Table2[NewPointsHome],Table2[GameDate], "&lt;=" &amp; $A146, Table2[HomeTeam], I$1)</f>
        <v>44</v>
      </c>
      <c r="J146" s="145">
        <f>SUMIFS(Table2[NewPointsAway],Table2[GameDate], "&lt;=" &amp; $A146, Table2[AwayTeam], J$1)+SUMIFS(Table2[NewPointsHome],Table2[GameDate], "&lt;=" &amp; $A146, Table2[HomeTeam], J$1)</f>
        <v>41</v>
      </c>
      <c r="K146" s="145">
        <f>SUMIFS(Table2[NewPointsAway],Table2[GameDate], "&lt;=" &amp; $A146, Table2[AwayTeam], K$1)+SUMIFS(Table2[NewPointsHome],Table2[GameDate], "&lt;=" &amp; $A146, Table2[HomeTeam], K$1)</f>
        <v>30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22</v>
      </c>
      <c r="S146" s="145">
        <f>SUMIFS(Table2[NewPointsAway],Table2[GameDate], "&lt;=" &amp; $A146, Table2[AwayTeam], S$1)+SUMIFS(Table2[NewPointsHome],Table2[GameDate], "&lt;=" &amp; $A146, Table2[HomeTeam], S$1)</f>
        <v>31</v>
      </c>
      <c r="T146" s="145">
        <f>SUMIFS(Table2[NewPointsAway],Table2[GameDate], "&lt;=" &amp; $A146, Table2[AwayTeam], T$1)+SUMIFS(Table2[NewPointsHome],Table2[GameDate], "&lt;=" &amp; $A146, Table2[HomeTeam], T$1)</f>
        <v>30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31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29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27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32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34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33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29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28</v>
      </c>
      <c r="I147" s="145">
        <f>SUMIFS(Table2[NewPointsAway],Table2[GameDate], "&lt;=" &amp; $A147, Table2[AwayTeam], I$1)+SUMIFS(Table2[NewPointsHome],Table2[GameDate], "&lt;=" &amp; $A147, Table2[HomeTeam], I$1)</f>
        <v>44</v>
      </c>
      <c r="J147" s="145">
        <f>SUMIFS(Table2[NewPointsAway],Table2[GameDate], "&lt;=" &amp; $A147, Table2[AwayTeam], J$1)+SUMIFS(Table2[NewPointsHome],Table2[GameDate], "&lt;=" &amp; $A147, Table2[HomeTeam], J$1)</f>
        <v>41</v>
      </c>
      <c r="K147" s="145">
        <f>SUMIFS(Table2[NewPointsAway],Table2[GameDate], "&lt;=" &amp; $A147, Table2[AwayTeam], K$1)+SUMIFS(Table2[NewPointsHome],Table2[GameDate], "&lt;=" &amp; $A147, Table2[HomeTeam], K$1)</f>
        <v>30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22</v>
      </c>
      <c r="S147" s="145">
        <f>SUMIFS(Table2[NewPointsAway],Table2[GameDate], "&lt;=" &amp; $A147, Table2[AwayTeam], S$1)+SUMIFS(Table2[NewPointsHome],Table2[GameDate], "&lt;=" &amp; $A147, Table2[HomeTeam], S$1)</f>
        <v>31</v>
      </c>
      <c r="T147" s="145">
        <f>SUMIFS(Table2[NewPointsAway],Table2[GameDate], "&lt;=" &amp; $A147, Table2[AwayTeam], T$1)+SUMIFS(Table2[NewPointsHome],Table2[GameDate], "&lt;=" &amp; $A147, Table2[HomeTeam], T$1)</f>
        <v>30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31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29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27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32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34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33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29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28</v>
      </c>
      <c r="I148" s="145">
        <f>SUMIFS(Table2[NewPointsAway],Table2[GameDate], "&lt;=" &amp; $A148, Table2[AwayTeam], I$1)+SUMIFS(Table2[NewPointsHome],Table2[GameDate], "&lt;=" &amp; $A148, Table2[HomeTeam], I$1)</f>
        <v>44</v>
      </c>
      <c r="J148" s="145">
        <f>SUMIFS(Table2[NewPointsAway],Table2[GameDate], "&lt;=" &amp; $A148, Table2[AwayTeam], J$1)+SUMIFS(Table2[NewPointsHome],Table2[GameDate], "&lt;=" &amp; $A148, Table2[HomeTeam], J$1)</f>
        <v>41</v>
      </c>
      <c r="K148" s="145">
        <f>SUMIFS(Table2[NewPointsAway],Table2[GameDate], "&lt;=" &amp; $A148, Table2[AwayTeam], K$1)+SUMIFS(Table2[NewPointsHome],Table2[GameDate], "&lt;=" &amp; $A148, Table2[HomeTeam], K$1)</f>
        <v>30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22</v>
      </c>
      <c r="S148" s="145">
        <f>SUMIFS(Table2[NewPointsAway],Table2[GameDate], "&lt;=" &amp; $A148, Table2[AwayTeam], S$1)+SUMIFS(Table2[NewPointsHome],Table2[GameDate], "&lt;=" &amp; $A148, Table2[HomeTeam], S$1)</f>
        <v>31</v>
      </c>
      <c r="T148" s="145">
        <f>SUMIFS(Table2[NewPointsAway],Table2[GameDate], "&lt;=" &amp; $A148, Table2[AwayTeam], T$1)+SUMIFS(Table2[NewPointsHome],Table2[GameDate], "&lt;=" &amp; $A148, Table2[HomeTeam], T$1)</f>
        <v>30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31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29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27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32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34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33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29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28</v>
      </c>
      <c r="I149" s="145">
        <f>SUMIFS(Table2[NewPointsAway],Table2[GameDate], "&lt;=" &amp; $A149, Table2[AwayTeam], I$1)+SUMIFS(Table2[NewPointsHome],Table2[GameDate], "&lt;=" &amp; $A149, Table2[HomeTeam], I$1)</f>
        <v>44</v>
      </c>
      <c r="J149" s="145">
        <f>SUMIFS(Table2[NewPointsAway],Table2[GameDate], "&lt;=" &amp; $A149, Table2[AwayTeam], J$1)+SUMIFS(Table2[NewPointsHome],Table2[GameDate], "&lt;=" &amp; $A149, Table2[HomeTeam], J$1)</f>
        <v>41</v>
      </c>
      <c r="K149" s="145">
        <f>SUMIFS(Table2[NewPointsAway],Table2[GameDate], "&lt;=" &amp; $A149, Table2[AwayTeam], K$1)+SUMIFS(Table2[NewPointsHome],Table2[GameDate], "&lt;=" &amp; $A149, Table2[HomeTeam], K$1)</f>
        <v>30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22</v>
      </c>
      <c r="S149" s="145">
        <f>SUMIFS(Table2[NewPointsAway],Table2[GameDate], "&lt;=" &amp; $A149, Table2[AwayTeam], S$1)+SUMIFS(Table2[NewPointsHome],Table2[GameDate], "&lt;=" &amp; $A149, Table2[HomeTeam], S$1)</f>
        <v>31</v>
      </c>
      <c r="T149" s="145">
        <f>SUMIFS(Table2[NewPointsAway],Table2[GameDate], "&lt;=" &amp; $A149, Table2[AwayTeam], T$1)+SUMIFS(Table2[NewPointsHome],Table2[GameDate], "&lt;=" &amp; $A149, Table2[HomeTeam], T$1)</f>
        <v>30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31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29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27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32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34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33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29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28</v>
      </c>
      <c r="I150" s="145">
        <f>SUMIFS(Table2[NewPointsAway],Table2[GameDate], "&lt;=" &amp; $A150, Table2[AwayTeam], I$1)+SUMIFS(Table2[NewPointsHome],Table2[GameDate], "&lt;=" &amp; $A150, Table2[HomeTeam], I$1)</f>
        <v>44</v>
      </c>
      <c r="J150" s="145">
        <f>SUMIFS(Table2[NewPointsAway],Table2[GameDate], "&lt;=" &amp; $A150, Table2[AwayTeam], J$1)+SUMIFS(Table2[NewPointsHome],Table2[GameDate], "&lt;=" &amp; $A150, Table2[HomeTeam], J$1)</f>
        <v>41</v>
      </c>
      <c r="K150" s="145">
        <f>SUMIFS(Table2[NewPointsAway],Table2[GameDate], "&lt;=" &amp; $A150, Table2[AwayTeam], K$1)+SUMIFS(Table2[NewPointsHome],Table2[GameDate], "&lt;=" &amp; $A150, Table2[HomeTeam], K$1)</f>
        <v>30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22</v>
      </c>
      <c r="S150" s="145">
        <f>SUMIFS(Table2[NewPointsAway],Table2[GameDate], "&lt;=" &amp; $A150, Table2[AwayTeam], S$1)+SUMIFS(Table2[NewPointsHome],Table2[GameDate], "&lt;=" &amp; $A150, Table2[HomeTeam], S$1)</f>
        <v>31</v>
      </c>
      <c r="T150" s="145">
        <f>SUMIFS(Table2[NewPointsAway],Table2[GameDate], "&lt;=" &amp; $A150, Table2[AwayTeam], T$1)+SUMIFS(Table2[NewPointsHome],Table2[GameDate], "&lt;=" &amp; $A150, Table2[HomeTeam], T$1)</f>
        <v>30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31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29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27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32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34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33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29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28</v>
      </c>
      <c r="I151" s="145">
        <f>SUMIFS(Table2[NewPointsAway],Table2[GameDate], "&lt;=" &amp; $A151, Table2[AwayTeam], I$1)+SUMIFS(Table2[NewPointsHome],Table2[GameDate], "&lt;=" &amp; $A151, Table2[HomeTeam], I$1)</f>
        <v>44</v>
      </c>
      <c r="J151" s="145">
        <f>SUMIFS(Table2[NewPointsAway],Table2[GameDate], "&lt;=" &amp; $A151, Table2[AwayTeam], J$1)+SUMIFS(Table2[NewPointsHome],Table2[GameDate], "&lt;=" &amp; $A151, Table2[HomeTeam], J$1)</f>
        <v>41</v>
      </c>
      <c r="K151" s="145">
        <f>SUMIFS(Table2[NewPointsAway],Table2[GameDate], "&lt;=" &amp; $A151, Table2[AwayTeam], K$1)+SUMIFS(Table2[NewPointsHome],Table2[GameDate], "&lt;=" &amp; $A151, Table2[HomeTeam], K$1)</f>
        <v>30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22</v>
      </c>
      <c r="S151" s="145">
        <f>SUMIFS(Table2[NewPointsAway],Table2[GameDate], "&lt;=" &amp; $A151, Table2[AwayTeam], S$1)+SUMIFS(Table2[NewPointsHome],Table2[GameDate], "&lt;=" &amp; $A151, Table2[HomeTeam], S$1)</f>
        <v>31</v>
      </c>
      <c r="T151" s="145">
        <f>SUMIFS(Table2[NewPointsAway],Table2[GameDate], "&lt;=" &amp; $A151, Table2[AwayTeam], T$1)+SUMIFS(Table2[NewPointsHome],Table2[GameDate], "&lt;=" &amp; $A151, Table2[HomeTeam], T$1)</f>
        <v>30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31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29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27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32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34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33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29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28</v>
      </c>
      <c r="I152" s="145">
        <f>SUMIFS(Table2[NewPointsAway],Table2[GameDate], "&lt;=" &amp; $A152, Table2[AwayTeam], I$1)+SUMIFS(Table2[NewPointsHome],Table2[GameDate], "&lt;=" &amp; $A152, Table2[HomeTeam], I$1)</f>
        <v>44</v>
      </c>
      <c r="J152" s="145">
        <f>SUMIFS(Table2[NewPointsAway],Table2[GameDate], "&lt;=" &amp; $A152, Table2[AwayTeam], J$1)+SUMIFS(Table2[NewPointsHome],Table2[GameDate], "&lt;=" &amp; $A152, Table2[HomeTeam], J$1)</f>
        <v>41</v>
      </c>
      <c r="K152" s="145">
        <f>SUMIFS(Table2[NewPointsAway],Table2[GameDate], "&lt;=" &amp; $A152, Table2[AwayTeam], K$1)+SUMIFS(Table2[NewPointsHome],Table2[GameDate], "&lt;=" &amp; $A152, Table2[HomeTeam], K$1)</f>
        <v>30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22</v>
      </c>
      <c r="S152" s="145">
        <f>SUMIFS(Table2[NewPointsAway],Table2[GameDate], "&lt;=" &amp; $A152, Table2[AwayTeam], S$1)+SUMIFS(Table2[NewPointsHome],Table2[GameDate], "&lt;=" &amp; $A152, Table2[HomeTeam], S$1)</f>
        <v>31</v>
      </c>
      <c r="T152" s="145">
        <f>SUMIFS(Table2[NewPointsAway],Table2[GameDate], "&lt;=" &amp; $A152, Table2[AwayTeam], T$1)+SUMIFS(Table2[NewPointsHome],Table2[GameDate], "&lt;=" &amp; $A152, Table2[HomeTeam], T$1)</f>
        <v>30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31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29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27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32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34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33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29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28</v>
      </c>
      <c r="I153" s="145">
        <f>SUMIFS(Table2[NewPointsAway],Table2[GameDate], "&lt;=" &amp; $A153, Table2[AwayTeam], I$1)+SUMIFS(Table2[NewPointsHome],Table2[GameDate], "&lt;=" &amp; $A153, Table2[HomeTeam], I$1)</f>
        <v>44</v>
      </c>
      <c r="J153" s="145">
        <f>SUMIFS(Table2[NewPointsAway],Table2[GameDate], "&lt;=" &amp; $A153, Table2[AwayTeam], J$1)+SUMIFS(Table2[NewPointsHome],Table2[GameDate], "&lt;=" &amp; $A153, Table2[HomeTeam], J$1)</f>
        <v>41</v>
      </c>
      <c r="K153" s="145">
        <f>SUMIFS(Table2[NewPointsAway],Table2[GameDate], "&lt;=" &amp; $A153, Table2[AwayTeam], K$1)+SUMIFS(Table2[NewPointsHome],Table2[GameDate], "&lt;=" &amp; $A153, Table2[HomeTeam], K$1)</f>
        <v>30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22</v>
      </c>
      <c r="S153" s="145">
        <f>SUMIFS(Table2[NewPointsAway],Table2[GameDate], "&lt;=" &amp; $A153, Table2[AwayTeam], S$1)+SUMIFS(Table2[NewPointsHome],Table2[GameDate], "&lt;=" &amp; $A153, Table2[HomeTeam], S$1)</f>
        <v>31</v>
      </c>
      <c r="T153" s="145">
        <f>SUMIFS(Table2[NewPointsAway],Table2[GameDate], "&lt;=" &amp; $A153, Table2[AwayTeam], T$1)+SUMIFS(Table2[NewPointsHome],Table2[GameDate], "&lt;=" &amp; $A153, Table2[HomeTeam], T$1)</f>
        <v>30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31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29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27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32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34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33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29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28</v>
      </c>
      <c r="I154" s="145">
        <f>SUMIFS(Table2[NewPointsAway],Table2[GameDate], "&lt;=" &amp; $A154, Table2[AwayTeam], I$1)+SUMIFS(Table2[NewPointsHome],Table2[GameDate], "&lt;=" &amp; $A154, Table2[HomeTeam], I$1)</f>
        <v>44</v>
      </c>
      <c r="J154" s="145">
        <f>SUMIFS(Table2[NewPointsAway],Table2[GameDate], "&lt;=" &amp; $A154, Table2[AwayTeam], J$1)+SUMIFS(Table2[NewPointsHome],Table2[GameDate], "&lt;=" &amp; $A154, Table2[HomeTeam], J$1)</f>
        <v>41</v>
      </c>
      <c r="K154" s="145">
        <f>SUMIFS(Table2[NewPointsAway],Table2[GameDate], "&lt;=" &amp; $A154, Table2[AwayTeam], K$1)+SUMIFS(Table2[NewPointsHome],Table2[GameDate], "&lt;=" &amp; $A154, Table2[HomeTeam], K$1)</f>
        <v>30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22</v>
      </c>
      <c r="S154" s="145">
        <f>SUMIFS(Table2[NewPointsAway],Table2[GameDate], "&lt;=" &amp; $A154, Table2[AwayTeam], S$1)+SUMIFS(Table2[NewPointsHome],Table2[GameDate], "&lt;=" &amp; $A154, Table2[HomeTeam], S$1)</f>
        <v>31</v>
      </c>
      <c r="T154" s="145">
        <f>SUMIFS(Table2[NewPointsAway],Table2[GameDate], "&lt;=" &amp; $A154, Table2[AwayTeam], T$1)+SUMIFS(Table2[NewPointsHome],Table2[GameDate], "&lt;=" &amp; $A154, Table2[HomeTeam], T$1)</f>
        <v>30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31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29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27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32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34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33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29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28</v>
      </c>
      <c r="I155" s="145">
        <f>SUMIFS(Table2[NewPointsAway],Table2[GameDate], "&lt;=" &amp; $A155, Table2[AwayTeam], I$1)+SUMIFS(Table2[NewPointsHome],Table2[GameDate], "&lt;=" &amp; $A155, Table2[HomeTeam], I$1)</f>
        <v>44</v>
      </c>
      <c r="J155" s="145">
        <f>SUMIFS(Table2[NewPointsAway],Table2[GameDate], "&lt;=" &amp; $A155, Table2[AwayTeam], J$1)+SUMIFS(Table2[NewPointsHome],Table2[GameDate], "&lt;=" &amp; $A155, Table2[HomeTeam], J$1)</f>
        <v>41</v>
      </c>
      <c r="K155" s="145">
        <f>SUMIFS(Table2[NewPointsAway],Table2[GameDate], "&lt;=" &amp; $A155, Table2[AwayTeam], K$1)+SUMIFS(Table2[NewPointsHome],Table2[GameDate], "&lt;=" &amp; $A155, Table2[HomeTeam], K$1)</f>
        <v>30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22</v>
      </c>
      <c r="S155" s="145">
        <f>SUMIFS(Table2[NewPointsAway],Table2[GameDate], "&lt;=" &amp; $A155, Table2[AwayTeam], S$1)+SUMIFS(Table2[NewPointsHome],Table2[GameDate], "&lt;=" &amp; $A155, Table2[HomeTeam], S$1)</f>
        <v>31</v>
      </c>
      <c r="T155" s="145">
        <f>SUMIFS(Table2[NewPointsAway],Table2[GameDate], "&lt;=" &amp; $A155, Table2[AwayTeam], T$1)+SUMIFS(Table2[NewPointsHome],Table2[GameDate], "&lt;=" &amp; $A155, Table2[HomeTeam], T$1)</f>
        <v>30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31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29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27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32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34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33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29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28</v>
      </c>
      <c r="I156" s="145">
        <f>SUMIFS(Table2[NewPointsAway],Table2[GameDate], "&lt;=" &amp; $A156, Table2[AwayTeam], I$1)+SUMIFS(Table2[NewPointsHome],Table2[GameDate], "&lt;=" &amp; $A156, Table2[HomeTeam], I$1)</f>
        <v>44</v>
      </c>
      <c r="J156" s="145">
        <f>SUMIFS(Table2[NewPointsAway],Table2[GameDate], "&lt;=" &amp; $A156, Table2[AwayTeam], J$1)+SUMIFS(Table2[NewPointsHome],Table2[GameDate], "&lt;=" &amp; $A156, Table2[HomeTeam], J$1)</f>
        <v>41</v>
      </c>
      <c r="K156" s="145">
        <f>SUMIFS(Table2[NewPointsAway],Table2[GameDate], "&lt;=" &amp; $A156, Table2[AwayTeam], K$1)+SUMIFS(Table2[NewPointsHome],Table2[GameDate], "&lt;=" &amp; $A156, Table2[HomeTeam], K$1)</f>
        <v>30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22</v>
      </c>
      <c r="S156" s="145">
        <f>SUMIFS(Table2[NewPointsAway],Table2[GameDate], "&lt;=" &amp; $A156, Table2[AwayTeam], S$1)+SUMIFS(Table2[NewPointsHome],Table2[GameDate], "&lt;=" &amp; $A156, Table2[HomeTeam], S$1)</f>
        <v>31</v>
      </c>
      <c r="T156" s="145">
        <f>SUMIFS(Table2[NewPointsAway],Table2[GameDate], "&lt;=" &amp; $A156, Table2[AwayTeam], T$1)+SUMIFS(Table2[NewPointsHome],Table2[GameDate], "&lt;=" &amp; $A156, Table2[HomeTeam], T$1)</f>
        <v>30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31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29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27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32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34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33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29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28</v>
      </c>
      <c r="I157" s="145">
        <f>SUMIFS(Table2[NewPointsAway],Table2[GameDate], "&lt;=" &amp; $A157, Table2[AwayTeam], I$1)+SUMIFS(Table2[NewPointsHome],Table2[GameDate], "&lt;=" &amp; $A157, Table2[HomeTeam], I$1)</f>
        <v>44</v>
      </c>
      <c r="J157" s="145">
        <f>SUMIFS(Table2[NewPointsAway],Table2[GameDate], "&lt;=" &amp; $A157, Table2[AwayTeam], J$1)+SUMIFS(Table2[NewPointsHome],Table2[GameDate], "&lt;=" &amp; $A157, Table2[HomeTeam], J$1)</f>
        <v>41</v>
      </c>
      <c r="K157" s="145">
        <f>SUMIFS(Table2[NewPointsAway],Table2[GameDate], "&lt;=" &amp; $A157, Table2[AwayTeam], K$1)+SUMIFS(Table2[NewPointsHome],Table2[GameDate], "&lt;=" &amp; $A157, Table2[HomeTeam], K$1)</f>
        <v>30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22</v>
      </c>
      <c r="S157" s="145">
        <f>SUMIFS(Table2[NewPointsAway],Table2[GameDate], "&lt;=" &amp; $A157, Table2[AwayTeam], S$1)+SUMIFS(Table2[NewPointsHome],Table2[GameDate], "&lt;=" &amp; $A157, Table2[HomeTeam], S$1)</f>
        <v>31</v>
      </c>
      <c r="T157" s="145">
        <f>SUMIFS(Table2[NewPointsAway],Table2[GameDate], "&lt;=" &amp; $A157, Table2[AwayTeam], T$1)+SUMIFS(Table2[NewPointsHome],Table2[GameDate], "&lt;=" &amp; $A157, Table2[HomeTeam], T$1)</f>
        <v>30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31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29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27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32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34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33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29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28</v>
      </c>
      <c r="I158" s="145">
        <f>SUMIFS(Table2[NewPointsAway],Table2[GameDate], "&lt;=" &amp; $A158, Table2[AwayTeam], I$1)+SUMIFS(Table2[NewPointsHome],Table2[GameDate], "&lt;=" &amp; $A158, Table2[HomeTeam], I$1)</f>
        <v>44</v>
      </c>
      <c r="J158" s="145">
        <f>SUMIFS(Table2[NewPointsAway],Table2[GameDate], "&lt;=" &amp; $A158, Table2[AwayTeam], J$1)+SUMIFS(Table2[NewPointsHome],Table2[GameDate], "&lt;=" &amp; $A158, Table2[HomeTeam], J$1)</f>
        <v>41</v>
      </c>
      <c r="K158" s="145">
        <f>SUMIFS(Table2[NewPointsAway],Table2[GameDate], "&lt;=" &amp; $A158, Table2[AwayTeam], K$1)+SUMIFS(Table2[NewPointsHome],Table2[GameDate], "&lt;=" &amp; $A158, Table2[HomeTeam], K$1)</f>
        <v>30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22</v>
      </c>
      <c r="S158" s="145">
        <f>SUMIFS(Table2[NewPointsAway],Table2[GameDate], "&lt;=" &amp; $A158, Table2[AwayTeam], S$1)+SUMIFS(Table2[NewPointsHome],Table2[GameDate], "&lt;=" &amp; $A158, Table2[HomeTeam], S$1)</f>
        <v>31</v>
      </c>
      <c r="T158" s="145">
        <f>SUMIFS(Table2[NewPointsAway],Table2[GameDate], "&lt;=" &amp; $A158, Table2[AwayTeam], T$1)+SUMIFS(Table2[NewPointsHome],Table2[GameDate], "&lt;=" &amp; $A158, Table2[HomeTeam], T$1)</f>
        <v>30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31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29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27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32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34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33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29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28</v>
      </c>
      <c r="I159" s="145">
        <f>SUMIFS(Table2[NewPointsAway],Table2[GameDate], "&lt;=" &amp; $A159, Table2[AwayTeam], I$1)+SUMIFS(Table2[NewPointsHome],Table2[GameDate], "&lt;=" &amp; $A159, Table2[HomeTeam], I$1)</f>
        <v>44</v>
      </c>
      <c r="J159" s="145">
        <f>SUMIFS(Table2[NewPointsAway],Table2[GameDate], "&lt;=" &amp; $A159, Table2[AwayTeam], J$1)+SUMIFS(Table2[NewPointsHome],Table2[GameDate], "&lt;=" &amp; $A159, Table2[HomeTeam], J$1)</f>
        <v>41</v>
      </c>
      <c r="K159" s="145">
        <f>SUMIFS(Table2[NewPointsAway],Table2[GameDate], "&lt;=" &amp; $A159, Table2[AwayTeam], K$1)+SUMIFS(Table2[NewPointsHome],Table2[GameDate], "&lt;=" &amp; $A159, Table2[HomeTeam], K$1)</f>
        <v>30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22</v>
      </c>
      <c r="S159" s="145">
        <f>SUMIFS(Table2[NewPointsAway],Table2[GameDate], "&lt;=" &amp; $A159, Table2[AwayTeam], S$1)+SUMIFS(Table2[NewPointsHome],Table2[GameDate], "&lt;=" &amp; $A159, Table2[HomeTeam], S$1)</f>
        <v>31</v>
      </c>
      <c r="T159" s="145">
        <f>SUMIFS(Table2[NewPointsAway],Table2[GameDate], "&lt;=" &amp; $A159, Table2[AwayTeam], T$1)+SUMIFS(Table2[NewPointsHome],Table2[GameDate], "&lt;=" &amp; $A159, Table2[HomeTeam], T$1)</f>
        <v>30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31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29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27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32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34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33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29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28</v>
      </c>
      <c r="I160" s="145">
        <f>SUMIFS(Table2[NewPointsAway],Table2[GameDate], "&lt;=" &amp; $A160, Table2[AwayTeam], I$1)+SUMIFS(Table2[NewPointsHome],Table2[GameDate], "&lt;=" &amp; $A160, Table2[HomeTeam], I$1)</f>
        <v>44</v>
      </c>
      <c r="J160" s="145">
        <f>SUMIFS(Table2[NewPointsAway],Table2[GameDate], "&lt;=" &amp; $A160, Table2[AwayTeam], J$1)+SUMIFS(Table2[NewPointsHome],Table2[GameDate], "&lt;=" &amp; $A160, Table2[HomeTeam], J$1)</f>
        <v>41</v>
      </c>
      <c r="K160" s="145">
        <f>SUMIFS(Table2[NewPointsAway],Table2[GameDate], "&lt;=" &amp; $A160, Table2[AwayTeam], K$1)+SUMIFS(Table2[NewPointsHome],Table2[GameDate], "&lt;=" &amp; $A160, Table2[HomeTeam], K$1)</f>
        <v>30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22</v>
      </c>
      <c r="S160" s="145">
        <f>SUMIFS(Table2[NewPointsAway],Table2[GameDate], "&lt;=" &amp; $A160, Table2[AwayTeam], S$1)+SUMIFS(Table2[NewPointsHome],Table2[GameDate], "&lt;=" &amp; $A160, Table2[HomeTeam], S$1)</f>
        <v>31</v>
      </c>
      <c r="T160" s="145">
        <f>SUMIFS(Table2[NewPointsAway],Table2[GameDate], "&lt;=" &amp; $A160, Table2[AwayTeam], T$1)+SUMIFS(Table2[NewPointsHome],Table2[GameDate], "&lt;=" &amp; $A160, Table2[HomeTeam], T$1)</f>
        <v>30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31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29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27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32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34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33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29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28</v>
      </c>
      <c r="I161" s="145">
        <f>SUMIFS(Table2[NewPointsAway],Table2[GameDate], "&lt;=" &amp; $A161, Table2[AwayTeam], I$1)+SUMIFS(Table2[NewPointsHome],Table2[GameDate], "&lt;=" &amp; $A161, Table2[HomeTeam], I$1)</f>
        <v>44</v>
      </c>
      <c r="J161" s="145">
        <f>SUMIFS(Table2[NewPointsAway],Table2[GameDate], "&lt;=" &amp; $A161, Table2[AwayTeam], J$1)+SUMIFS(Table2[NewPointsHome],Table2[GameDate], "&lt;=" &amp; $A161, Table2[HomeTeam], J$1)</f>
        <v>41</v>
      </c>
      <c r="K161" s="145">
        <f>SUMIFS(Table2[NewPointsAway],Table2[GameDate], "&lt;=" &amp; $A161, Table2[AwayTeam], K$1)+SUMIFS(Table2[NewPointsHome],Table2[GameDate], "&lt;=" &amp; $A161, Table2[HomeTeam], K$1)</f>
        <v>30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22</v>
      </c>
      <c r="S161" s="145">
        <f>SUMIFS(Table2[NewPointsAway],Table2[GameDate], "&lt;=" &amp; $A161, Table2[AwayTeam], S$1)+SUMIFS(Table2[NewPointsHome],Table2[GameDate], "&lt;=" &amp; $A161, Table2[HomeTeam], S$1)</f>
        <v>31</v>
      </c>
      <c r="T161" s="145">
        <f>SUMIFS(Table2[NewPointsAway],Table2[GameDate], "&lt;=" &amp; $A161, Table2[AwayTeam], T$1)+SUMIFS(Table2[NewPointsHome],Table2[GameDate], "&lt;=" &amp; $A161, Table2[HomeTeam], T$1)</f>
        <v>30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31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29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27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32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34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33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29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28</v>
      </c>
      <c r="I162" s="145">
        <f>SUMIFS(Table2[NewPointsAway],Table2[GameDate], "&lt;=" &amp; $A162, Table2[AwayTeam], I$1)+SUMIFS(Table2[NewPointsHome],Table2[GameDate], "&lt;=" &amp; $A162, Table2[HomeTeam], I$1)</f>
        <v>44</v>
      </c>
      <c r="J162" s="145">
        <f>SUMIFS(Table2[NewPointsAway],Table2[GameDate], "&lt;=" &amp; $A162, Table2[AwayTeam], J$1)+SUMIFS(Table2[NewPointsHome],Table2[GameDate], "&lt;=" &amp; $A162, Table2[HomeTeam], J$1)</f>
        <v>41</v>
      </c>
      <c r="K162" s="145">
        <f>SUMIFS(Table2[NewPointsAway],Table2[GameDate], "&lt;=" &amp; $A162, Table2[AwayTeam], K$1)+SUMIFS(Table2[NewPointsHome],Table2[GameDate], "&lt;=" &amp; $A162, Table2[HomeTeam], K$1)</f>
        <v>30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22</v>
      </c>
      <c r="S162" s="145">
        <f>SUMIFS(Table2[NewPointsAway],Table2[GameDate], "&lt;=" &amp; $A162, Table2[AwayTeam], S$1)+SUMIFS(Table2[NewPointsHome],Table2[GameDate], "&lt;=" &amp; $A162, Table2[HomeTeam], S$1)</f>
        <v>31</v>
      </c>
      <c r="T162" s="145">
        <f>SUMIFS(Table2[NewPointsAway],Table2[GameDate], "&lt;=" &amp; $A162, Table2[AwayTeam], T$1)+SUMIFS(Table2[NewPointsHome],Table2[GameDate], "&lt;=" &amp; $A162, Table2[HomeTeam], T$1)</f>
        <v>30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31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29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27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32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34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33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29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28</v>
      </c>
      <c r="I163" s="145">
        <f>SUMIFS(Table2[NewPointsAway],Table2[GameDate], "&lt;=" &amp; $A163, Table2[AwayTeam], I$1)+SUMIFS(Table2[NewPointsHome],Table2[GameDate], "&lt;=" &amp; $A163, Table2[HomeTeam], I$1)</f>
        <v>44</v>
      </c>
      <c r="J163" s="145">
        <f>SUMIFS(Table2[NewPointsAway],Table2[GameDate], "&lt;=" &amp; $A163, Table2[AwayTeam], J$1)+SUMIFS(Table2[NewPointsHome],Table2[GameDate], "&lt;=" &amp; $A163, Table2[HomeTeam], J$1)</f>
        <v>41</v>
      </c>
      <c r="K163" s="145">
        <f>SUMIFS(Table2[NewPointsAway],Table2[GameDate], "&lt;=" &amp; $A163, Table2[AwayTeam], K$1)+SUMIFS(Table2[NewPointsHome],Table2[GameDate], "&lt;=" &amp; $A163, Table2[HomeTeam], K$1)</f>
        <v>30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22</v>
      </c>
      <c r="S163" s="145">
        <f>SUMIFS(Table2[NewPointsAway],Table2[GameDate], "&lt;=" &amp; $A163, Table2[AwayTeam], S$1)+SUMIFS(Table2[NewPointsHome],Table2[GameDate], "&lt;=" &amp; $A163, Table2[HomeTeam], S$1)</f>
        <v>31</v>
      </c>
      <c r="T163" s="145">
        <f>SUMIFS(Table2[NewPointsAway],Table2[GameDate], "&lt;=" &amp; $A163, Table2[AwayTeam], T$1)+SUMIFS(Table2[NewPointsHome],Table2[GameDate], "&lt;=" &amp; $A163, Table2[HomeTeam], T$1)</f>
        <v>30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31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29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27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32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34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33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29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28</v>
      </c>
      <c r="I164" s="145">
        <f>SUMIFS(Table2[NewPointsAway],Table2[GameDate], "&lt;=" &amp; $A164, Table2[AwayTeam], I$1)+SUMIFS(Table2[NewPointsHome],Table2[GameDate], "&lt;=" &amp; $A164, Table2[HomeTeam], I$1)</f>
        <v>44</v>
      </c>
      <c r="J164" s="145">
        <f>SUMIFS(Table2[NewPointsAway],Table2[GameDate], "&lt;=" &amp; $A164, Table2[AwayTeam], J$1)+SUMIFS(Table2[NewPointsHome],Table2[GameDate], "&lt;=" &amp; $A164, Table2[HomeTeam], J$1)</f>
        <v>41</v>
      </c>
      <c r="K164" s="145">
        <f>SUMIFS(Table2[NewPointsAway],Table2[GameDate], "&lt;=" &amp; $A164, Table2[AwayTeam], K$1)+SUMIFS(Table2[NewPointsHome],Table2[GameDate], "&lt;=" &amp; $A164, Table2[HomeTeam], K$1)</f>
        <v>30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22</v>
      </c>
      <c r="S164" s="145">
        <f>SUMIFS(Table2[NewPointsAway],Table2[GameDate], "&lt;=" &amp; $A164, Table2[AwayTeam], S$1)+SUMIFS(Table2[NewPointsHome],Table2[GameDate], "&lt;=" &amp; $A164, Table2[HomeTeam], S$1)</f>
        <v>31</v>
      </c>
      <c r="T164" s="145">
        <f>SUMIFS(Table2[NewPointsAway],Table2[GameDate], "&lt;=" &amp; $A164, Table2[AwayTeam], T$1)+SUMIFS(Table2[NewPointsHome],Table2[GameDate], "&lt;=" &amp; $A164, Table2[HomeTeam], T$1)</f>
        <v>30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31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29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27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32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34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33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29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28</v>
      </c>
      <c r="I165" s="145">
        <f>SUMIFS(Table2[NewPointsAway],Table2[GameDate], "&lt;=" &amp; $A165, Table2[AwayTeam], I$1)+SUMIFS(Table2[NewPointsHome],Table2[GameDate], "&lt;=" &amp; $A165, Table2[HomeTeam], I$1)</f>
        <v>44</v>
      </c>
      <c r="J165" s="145">
        <f>SUMIFS(Table2[NewPointsAway],Table2[GameDate], "&lt;=" &amp; $A165, Table2[AwayTeam], J$1)+SUMIFS(Table2[NewPointsHome],Table2[GameDate], "&lt;=" &amp; $A165, Table2[HomeTeam], J$1)</f>
        <v>41</v>
      </c>
      <c r="K165" s="145">
        <f>SUMIFS(Table2[NewPointsAway],Table2[GameDate], "&lt;=" &amp; $A165, Table2[AwayTeam], K$1)+SUMIFS(Table2[NewPointsHome],Table2[GameDate], "&lt;=" &amp; $A165, Table2[HomeTeam], K$1)</f>
        <v>30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22</v>
      </c>
      <c r="S165" s="145">
        <f>SUMIFS(Table2[NewPointsAway],Table2[GameDate], "&lt;=" &amp; $A165, Table2[AwayTeam], S$1)+SUMIFS(Table2[NewPointsHome],Table2[GameDate], "&lt;=" &amp; $A165, Table2[HomeTeam], S$1)</f>
        <v>31</v>
      </c>
      <c r="T165" s="145">
        <f>SUMIFS(Table2[NewPointsAway],Table2[GameDate], "&lt;=" &amp; $A165, Table2[AwayTeam], T$1)+SUMIFS(Table2[NewPointsHome],Table2[GameDate], "&lt;=" &amp; $A165, Table2[HomeTeam], T$1)</f>
        <v>30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31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29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27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32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34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33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29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28</v>
      </c>
      <c r="I166" s="145">
        <f>SUMIFS(Table2[NewPointsAway],Table2[GameDate], "&lt;=" &amp; $A166, Table2[AwayTeam], I$1)+SUMIFS(Table2[NewPointsHome],Table2[GameDate], "&lt;=" &amp; $A166, Table2[HomeTeam], I$1)</f>
        <v>44</v>
      </c>
      <c r="J166" s="145">
        <f>SUMIFS(Table2[NewPointsAway],Table2[GameDate], "&lt;=" &amp; $A166, Table2[AwayTeam], J$1)+SUMIFS(Table2[NewPointsHome],Table2[GameDate], "&lt;=" &amp; $A166, Table2[HomeTeam], J$1)</f>
        <v>41</v>
      </c>
      <c r="K166" s="145">
        <f>SUMIFS(Table2[NewPointsAway],Table2[GameDate], "&lt;=" &amp; $A166, Table2[AwayTeam], K$1)+SUMIFS(Table2[NewPointsHome],Table2[GameDate], "&lt;=" &amp; $A166, Table2[HomeTeam], K$1)</f>
        <v>30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22</v>
      </c>
      <c r="S166" s="145">
        <f>SUMIFS(Table2[NewPointsAway],Table2[GameDate], "&lt;=" &amp; $A166, Table2[AwayTeam], S$1)+SUMIFS(Table2[NewPointsHome],Table2[GameDate], "&lt;=" &amp; $A166, Table2[HomeTeam], S$1)</f>
        <v>31</v>
      </c>
      <c r="T166" s="145">
        <f>SUMIFS(Table2[NewPointsAway],Table2[GameDate], "&lt;=" &amp; $A166, Table2[AwayTeam], T$1)+SUMIFS(Table2[NewPointsHome],Table2[GameDate], "&lt;=" &amp; $A166, Table2[HomeTeam], T$1)</f>
        <v>30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31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29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27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32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34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33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29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28</v>
      </c>
      <c r="I167" s="145">
        <f>SUMIFS(Table2[NewPointsAway],Table2[GameDate], "&lt;=" &amp; $A167, Table2[AwayTeam], I$1)+SUMIFS(Table2[NewPointsHome],Table2[GameDate], "&lt;=" &amp; $A167, Table2[HomeTeam], I$1)</f>
        <v>44</v>
      </c>
      <c r="J167" s="145">
        <f>SUMIFS(Table2[NewPointsAway],Table2[GameDate], "&lt;=" &amp; $A167, Table2[AwayTeam], J$1)+SUMIFS(Table2[NewPointsHome],Table2[GameDate], "&lt;=" &amp; $A167, Table2[HomeTeam], J$1)</f>
        <v>41</v>
      </c>
      <c r="K167" s="145">
        <f>SUMIFS(Table2[NewPointsAway],Table2[GameDate], "&lt;=" &amp; $A167, Table2[AwayTeam], K$1)+SUMIFS(Table2[NewPointsHome],Table2[GameDate], "&lt;=" &amp; $A167, Table2[HomeTeam], K$1)</f>
        <v>30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22</v>
      </c>
      <c r="S167" s="145">
        <f>SUMIFS(Table2[NewPointsAway],Table2[GameDate], "&lt;=" &amp; $A167, Table2[AwayTeam], S$1)+SUMIFS(Table2[NewPointsHome],Table2[GameDate], "&lt;=" &amp; $A167, Table2[HomeTeam], S$1)</f>
        <v>31</v>
      </c>
      <c r="T167" s="145">
        <f>SUMIFS(Table2[NewPointsAway],Table2[GameDate], "&lt;=" &amp; $A167, Table2[AwayTeam], T$1)+SUMIFS(Table2[NewPointsHome],Table2[GameDate], "&lt;=" &amp; $A167, Table2[HomeTeam], T$1)</f>
        <v>30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31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29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27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32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34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33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29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28</v>
      </c>
      <c r="I168" s="145">
        <f>SUMIFS(Table2[NewPointsAway],Table2[GameDate], "&lt;=" &amp; $A168, Table2[AwayTeam], I$1)+SUMIFS(Table2[NewPointsHome],Table2[GameDate], "&lt;=" &amp; $A168, Table2[HomeTeam], I$1)</f>
        <v>44</v>
      </c>
      <c r="J168" s="145">
        <f>SUMIFS(Table2[NewPointsAway],Table2[GameDate], "&lt;=" &amp; $A168, Table2[AwayTeam], J$1)+SUMIFS(Table2[NewPointsHome],Table2[GameDate], "&lt;=" &amp; $A168, Table2[HomeTeam], J$1)</f>
        <v>41</v>
      </c>
      <c r="K168" s="145">
        <f>SUMIFS(Table2[NewPointsAway],Table2[GameDate], "&lt;=" &amp; $A168, Table2[AwayTeam], K$1)+SUMIFS(Table2[NewPointsHome],Table2[GameDate], "&lt;=" &amp; $A168, Table2[HomeTeam], K$1)</f>
        <v>30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22</v>
      </c>
      <c r="S168" s="145">
        <f>SUMIFS(Table2[NewPointsAway],Table2[GameDate], "&lt;=" &amp; $A168, Table2[AwayTeam], S$1)+SUMIFS(Table2[NewPointsHome],Table2[GameDate], "&lt;=" &amp; $A168, Table2[HomeTeam], S$1)</f>
        <v>31</v>
      </c>
      <c r="T168" s="145">
        <f>SUMIFS(Table2[NewPointsAway],Table2[GameDate], "&lt;=" &amp; $A168, Table2[AwayTeam], T$1)+SUMIFS(Table2[NewPointsHome],Table2[GameDate], "&lt;=" &amp; $A168, Table2[HomeTeam], T$1)</f>
        <v>30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31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29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27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32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34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33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29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28</v>
      </c>
      <c r="I169" s="145">
        <f>SUMIFS(Table2[NewPointsAway],Table2[GameDate], "&lt;=" &amp; $A169, Table2[AwayTeam], I$1)+SUMIFS(Table2[NewPointsHome],Table2[GameDate], "&lt;=" &amp; $A169, Table2[HomeTeam], I$1)</f>
        <v>44</v>
      </c>
      <c r="J169" s="145">
        <f>SUMIFS(Table2[NewPointsAway],Table2[GameDate], "&lt;=" &amp; $A169, Table2[AwayTeam], J$1)+SUMIFS(Table2[NewPointsHome],Table2[GameDate], "&lt;=" &amp; $A169, Table2[HomeTeam], J$1)</f>
        <v>41</v>
      </c>
      <c r="K169" s="145">
        <f>SUMIFS(Table2[NewPointsAway],Table2[GameDate], "&lt;=" &amp; $A169, Table2[AwayTeam], K$1)+SUMIFS(Table2[NewPointsHome],Table2[GameDate], "&lt;=" &amp; $A169, Table2[HomeTeam], K$1)</f>
        <v>30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22</v>
      </c>
      <c r="S169" s="145">
        <f>SUMIFS(Table2[NewPointsAway],Table2[GameDate], "&lt;=" &amp; $A169, Table2[AwayTeam], S$1)+SUMIFS(Table2[NewPointsHome],Table2[GameDate], "&lt;=" &amp; $A169, Table2[HomeTeam], S$1)</f>
        <v>31</v>
      </c>
      <c r="T169" s="145">
        <f>SUMIFS(Table2[NewPointsAway],Table2[GameDate], "&lt;=" &amp; $A169, Table2[AwayTeam], T$1)+SUMIFS(Table2[NewPointsHome],Table2[GameDate], "&lt;=" &amp; $A169, Table2[HomeTeam], T$1)</f>
        <v>30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31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29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27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32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34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33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29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28</v>
      </c>
      <c r="I170" s="145">
        <f>SUMIFS(Table2[NewPointsAway],Table2[GameDate], "&lt;=" &amp; $A170, Table2[AwayTeam], I$1)+SUMIFS(Table2[NewPointsHome],Table2[GameDate], "&lt;=" &amp; $A170, Table2[HomeTeam], I$1)</f>
        <v>44</v>
      </c>
      <c r="J170" s="145">
        <f>SUMIFS(Table2[NewPointsAway],Table2[GameDate], "&lt;=" &amp; $A170, Table2[AwayTeam], J$1)+SUMIFS(Table2[NewPointsHome],Table2[GameDate], "&lt;=" &amp; $A170, Table2[HomeTeam], J$1)</f>
        <v>41</v>
      </c>
      <c r="K170" s="145">
        <f>SUMIFS(Table2[NewPointsAway],Table2[GameDate], "&lt;=" &amp; $A170, Table2[AwayTeam], K$1)+SUMIFS(Table2[NewPointsHome],Table2[GameDate], "&lt;=" &amp; $A170, Table2[HomeTeam], K$1)</f>
        <v>30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22</v>
      </c>
      <c r="S170" s="145">
        <f>SUMIFS(Table2[NewPointsAway],Table2[GameDate], "&lt;=" &amp; $A170, Table2[AwayTeam], S$1)+SUMIFS(Table2[NewPointsHome],Table2[GameDate], "&lt;=" &amp; $A170, Table2[HomeTeam], S$1)</f>
        <v>31</v>
      </c>
      <c r="T170" s="145">
        <f>SUMIFS(Table2[NewPointsAway],Table2[GameDate], "&lt;=" &amp; $A170, Table2[AwayTeam], T$1)+SUMIFS(Table2[NewPointsHome],Table2[GameDate], "&lt;=" &amp; $A170, Table2[HomeTeam], T$1)</f>
        <v>30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31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29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27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32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34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33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29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28</v>
      </c>
      <c r="I171" s="145">
        <f>SUMIFS(Table2[NewPointsAway],Table2[GameDate], "&lt;=" &amp; $A171, Table2[AwayTeam], I$1)+SUMIFS(Table2[NewPointsHome],Table2[GameDate], "&lt;=" &amp; $A171, Table2[HomeTeam], I$1)</f>
        <v>44</v>
      </c>
      <c r="J171" s="145">
        <f>SUMIFS(Table2[NewPointsAway],Table2[GameDate], "&lt;=" &amp; $A171, Table2[AwayTeam], J$1)+SUMIFS(Table2[NewPointsHome],Table2[GameDate], "&lt;=" &amp; $A171, Table2[HomeTeam], J$1)</f>
        <v>41</v>
      </c>
      <c r="K171" s="145">
        <f>SUMIFS(Table2[NewPointsAway],Table2[GameDate], "&lt;=" &amp; $A171, Table2[AwayTeam], K$1)+SUMIFS(Table2[NewPointsHome],Table2[GameDate], "&lt;=" &amp; $A171, Table2[HomeTeam], K$1)</f>
        <v>30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22</v>
      </c>
      <c r="S171" s="145">
        <f>SUMIFS(Table2[NewPointsAway],Table2[GameDate], "&lt;=" &amp; $A171, Table2[AwayTeam], S$1)+SUMIFS(Table2[NewPointsHome],Table2[GameDate], "&lt;=" &amp; $A171, Table2[HomeTeam], S$1)</f>
        <v>31</v>
      </c>
      <c r="T171" s="145">
        <f>SUMIFS(Table2[NewPointsAway],Table2[GameDate], "&lt;=" &amp; $A171, Table2[AwayTeam], T$1)+SUMIFS(Table2[NewPointsHome],Table2[GameDate], "&lt;=" &amp; $A171, Table2[HomeTeam], T$1)</f>
        <v>30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31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29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27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32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34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33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29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28</v>
      </c>
      <c r="I172" s="145">
        <f>SUMIFS(Table2[NewPointsAway],Table2[GameDate], "&lt;=" &amp; $A172, Table2[AwayTeam], I$1)+SUMIFS(Table2[NewPointsHome],Table2[GameDate], "&lt;=" &amp; $A172, Table2[HomeTeam], I$1)</f>
        <v>44</v>
      </c>
      <c r="J172" s="145">
        <f>SUMIFS(Table2[NewPointsAway],Table2[GameDate], "&lt;=" &amp; $A172, Table2[AwayTeam], J$1)+SUMIFS(Table2[NewPointsHome],Table2[GameDate], "&lt;=" &amp; $A172, Table2[HomeTeam], J$1)</f>
        <v>41</v>
      </c>
      <c r="K172" s="145">
        <f>SUMIFS(Table2[NewPointsAway],Table2[GameDate], "&lt;=" &amp; $A172, Table2[AwayTeam], K$1)+SUMIFS(Table2[NewPointsHome],Table2[GameDate], "&lt;=" &amp; $A172, Table2[HomeTeam], K$1)</f>
        <v>30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22</v>
      </c>
      <c r="S172" s="145">
        <f>SUMIFS(Table2[NewPointsAway],Table2[GameDate], "&lt;=" &amp; $A172, Table2[AwayTeam], S$1)+SUMIFS(Table2[NewPointsHome],Table2[GameDate], "&lt;=" &amp; $A172, Table2[HomeTeam], S$1)</f>
        <v>31</v>
      </c>
      <c r="T172" s="145">
        <f>SUMIFS(Table2[NewPointsAway],Table2[GameDate], "&lt;=" &amp; $A172, Table2[AwayTeam], T$1)+SUMIFS(Table2[NewPointsHome],Table2[GameDate], "&lt;=" &amp; $A172, Table2[HomeTeam], T$1)</f>
        <v>30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31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29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27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32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34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33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29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28</v>
      </c>
      <c r="I173" s="145">
        <f>SUMIFS(Table2[NewPointsAway],Table2[GameDate], "&lt;=" &amp; $A173, Table2[AwayTeam], I$1)+SUMIFS(Table2[NewPointsHome],Table2[GameDate], "&lt;=" &amp; $A173, Table2[HomeTeam], I$1)</f>
        <v>44</v>
      </c>
      <c r="J173" s="145">
        <f>SUMIFS(Table2[NewPointsAway],Table2[GameDate], "&lt;=" &amp; $A173, Table2[AwayTeam], J$1)+SUMIFS(Table2[NewPointsHome],Table2[GameDate], "&lt;=" &amp; $A173, Table2[HomeTeam], J$1)</f>
        <v>41</v>
      </c>
      <c r="K173" s="145">
        <f>SUMIFS(Table2[NewPointsAway],Table2[GameDate], "&lt;=" &amp; $A173, Table2[AwayTeam], K$1)+SUMIFS(Table2[NewPointsHome],Table2[GameDate], "&lt;=" &amp; $A173, Table2[HomeTeam], K$1)</f>
        <v>30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22</v>
      </c>
      <c r="S173" s="145">
        <f>SUMIFS(Table2[NewPointsAway],Table2[GameDate], "&lt;=" &amp; $A173, Table2[AwayTeam], S$1)+SUMIFS(Table2[NewPointsHome],Table2[GameDate], "&lt;=" &amp; $A173, Table2[HomeTeam], S$1)</f>
        <v>31</v>
      </c>
      <c r="T173" s="145">
        <f>SUMIFS(Table2[NewPointsAway],Table2[GameDate], "&lt;=" &amp; $A173, Table2[AwayTeam], T$1)+SUMIFS(Table2[NewPointsHome],Table2[GameDate], "&lt;=" &amp; $A173, Table2[HomeTeam], T$1)</f>
        <v>30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31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29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27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32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34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33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29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28</v>
      </c>
      <c r="I174" s="145">
        <f>SUMIFS(Table2[NewPointsAway],Table2[GameDate], "&lt;=" &amp; $A174, Table2[AwayTeam], I$1)+SUMIFS(Table2[NewPointsHome],Table2[GameDate], "&lt;=" &amp; $A174, Table2[HomeTeam], I$1)</f>
        <v>44</v>
      </c>
      <c r="J174" s="145">
        <f>SUMIFS(Table2[NewPointsAway],Table2[GameDate], "&lt;=" &amp; $A174, Table2[AwayTeam], J$1)+SUMIFS(Table2[NewPointsHome],Table2[GameDate], "&lt;=" &amp; $A174, Table2[HomeTeam], J$1)</f>
        <v>41</v>
      </c>
      <c r="K174" s="145">
        <f>SUMIFS(Table2[NewPointsAway],Table2[GameDate], "&lt;=" &amp; $A174, Table2[AwayTeam], K$1)+SUMIFS(Table2[NewPointsHome],Table2[GameDate], "&lt;=" &amp; $A174, Table2[HomeTeam], K$1)</f>
        <v>30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22</v>
      </c>
      <c r="S174" s="145">
        <f>SUMIFS(Table2[NewPointsAway],Table2[GameDate], "&lt;=" &amp; $A174, Table2[AwayTeam], S$1)+SUMIFS(Table2[NewPointsHome],Table2[GameDate], "&lt;=" &amp; $A174, Table2[HomeTeam], S$1)</f>
        <v>31</v>
      </c>
      <c r="T174" s="145">
        <f>SUMIFS(Table2[NewPointsAway],Table2[GameDate], "&lt;=" &amp; $A174, Table2[AwayTeam], T$1)+SUMIFS(Table2[NewPointsHome],Table2[GameDate], "&lt;=" &amp; $A174, Table2[HomeTeam], T$1)</f>
        <v>30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31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29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27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32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34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33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29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28</v>
      </c>
      <c r="I175" s="145">
        <f>SUMIFS(Table2[NewPointsAway],Table2[GameDate], "&lt;=" &amp; $A175, Table2[AwayTeam], I$1)+SUMIFS(Table2[NewPointsHome],Table2[GameDate], "&lt;=" &amp; $A175, Table2[HomeTeam], I$1)</f>
        <v>44</v>
      </c>
      <c r="J175" s="145">
        <f>SUMIFS(Table2[NewPointsAway],Table2[GameDate], "&lt;=" &amp; $A175, Table2[AwayTeam], J$1)+SUMIFS(Table2[NewPointsHome],Table2[GameDate], "&lt;=" &amp; $A175, Table2[HomeTeam], J$1)</f>
        <v>41</v>
      </c>
      <c r="K175" s="145">
        <f>SUMIFS(Table2[NewPointsAway],Table2[GameDate], "&lt;=" &amp; $A175, Table2[AwayTeam], K$1)+SUMIFS(Table2[NewPointsHome],Table2[GameDate], "&lt;=" &amp; $A175, Table2[HomeTeam], K$1)</f>
        <v>30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22</v>
      </c>
      <c r="S175" s="145">
        <f>SUMIFS(Table2[NewPointsAway],Table2[GameDate], "&lt;=" &amp; $A175, Table2[AwayTeam], S$1)+SUMIFS(Table2[NewPointsHome],Table2[GameDate], "&lt;=" &amp; $A175, Table2[HomeTeam], S$1)</f>
        <v>31</v>
      </c>
      <c r="T175" s="145">
        <f>SUMIFS(Table2[NewPointsAway],Table2[GameDate], "&lt;=" &amp; $A175, Table2[AwayTeam], T$1)+SUMIFS(Table2[NewPointsHome],Table2[GameDate], "&lt;=" &amp; $A175, Table2[HomeTeam], T$1)</f>
        <v>30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31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29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27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32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34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33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29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28</v>
      </c>
      <c r="I176" s="145">
        <f>SUMIFS(Table2[NewPointsAway],Table2[GameDate], "&lt;=" &amp; $A176, Table2[AwayTeam], I$1)+SUMIFS(Table2[NewPointsHome],Table2[GameDate], "&lt;=" &amp; $A176, Table2[HomeTeam], I$1)</f>
        <v>44</v>
      </c>
      <c r="J176" s="145">
        <f>SUMIFS(Table2[NewPointsAway],Table2[GameDate], "&lt;=" &amp; $A176, Table2[AwayTeam], J$1)+SUMIFS(Table2[NewPointsHome],Table2[GameDate], "&lt;=" &amp; $A176, Table2[HomeTeam], J$1)</f>
        <v>41</v>
      </c>
      <c r="K176" s="145">
        <f>SUMIFS(Table2[NewPointsAway],Table2[GameDate], "&lt;=" &amp; $A176, Table2[AwayTeam], K$1)+SUMIFS(Table2[NewPointsHome],Table2[GameDate], "&lt;=" &amp; $A176, Table2[HomeTeam], K$1)</f>
        <v>30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22</v>
      </c>
      <c r="S176" s="145">
        <f>SUMIFS(Table2[NewPointsAway],Table2[GameDate], "&lt;=" &amp; $A176, Table2[AwayTeam], S$1)+SUMIFS(Table2[NewPointsHome],Table2[GameDate], "&lt;=" &amp; $A176, Table2[HomeTeam], S$1)</f>
        <v>31</v>
      </c>
      <c r="T176" s="145">
        <f>SUMIFS(Table2[NewPointsAway],Table2[GameDate], "&lt;=" &amp; $A176, Table2[AwayTeam], T$1)+SUMIFS(Table2[NewPointsHome],Table2[GameDate], "&lt;=" &amp; $A176, Table2[HomeTeam], T$1)</f>
        <v>30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31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29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27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32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34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33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29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28</v>
      </c>
      <c r="I177" s="145">
        <f>SUMIFS(Table2[NewPointsAway],Table2[GameDate], "&lt;=" &amp; $A177, Table2[AwayTeam], I$1)+SUMIFS(Table2[NewPointsHome],Table2[GameDate], "&lt;=" &amp; $A177, Table2[HomeTeam], I$1)</f>
        <v>44</v>
      </c>
      <c r="J177" s="145">
        <f>SUMIFS(Table2[NewPointsAway],Table2[GameDate], "&lt;=" &amp; $A177, Table2[AwayTeam], J$1)+SUMIFS(Table2[NewPointsHome],Table2[GameDate], "&lt;=" &amp; $A177, Table2[HomeTeam], J$1)</f>
        <v>41</v>
      </c>
      <c r="K177" s="145">
        <f>SUMIFS(Table2[NewPointsAway],Table2[GameDate], "&lt;=" &amp; $A177, Table2[AwayTeam], K$1)+SUMIFS(Table2[NewPointsHome],Table2[GameDate], "&lt;=" &amp; $A177, Table2[HomeTeam], K$1)</f>
        <v>30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22</v>
      </c>
      <c r="S177" s="145">
        <f>SUMIFS(Table2[NewPointsAway],Table2[GameDate], "&lt;=" &amp; $A177, Table2[AwayTeam], S$1)+SUMIFS(Table2[NewPointsHome],Table2[GameDate], "&lt;=" &amp; $A177, Table2[HomeTeam], S$1)</f>
        <v>31</v>
      </c>
      <c r="T177" s="145">
        <f>SUMIFS(Table2[NewPointsAway],Table2[GameDate], "&lt;=" &amp; $A177, Table2[AwayTeam], T$1)+SUMIFS(Table2[NewPointsHome],Table2[GameDate], "&lt;=" &amp; $A177, Table2[HomeTeam], T$1)</f>
        <v>30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31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29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27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32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34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33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29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28</v>
      </c>
      <c r="I178" s="145">
        <f>SUMIFS(Table2[NewPointsAway],Table2[GameDate], "&lt;=" &amp; $A178, Table2[AwayTeam], I$1)+SUMIFS(Table2[NewPointsHome],Table2[GameDate], "&lt;=" &amp; $A178, Table2[HomeTeam], I$1)</f>
        <v>44</v>
      </c>
      <c r="J178" s="145">
        <f>SUMIFS(Table2[NewPointsAway],Table2[GameDate], "&lt;=" &amp; $A178, Table2[AwayTeam], J$1)+SUMIFS(Table2[NewPointsHome],Table2[GameDate], "&lt;=" &amp; $A178, Table2[HomeTeam], J$1)</f>
        <v>41</v>
      </c>
      <c r="K178" s="145">
        <f>SUMIFS(Table2[NewPointsAway],Table2[GameDate], "&lt;=" &amp; $A178, Table2[AwayTeam], K$1)+SUMIFS(Table2[NewPointsHome],Table2[GameDate], "&lt;=" &amp; $A178, Table2[HomeTeam], K$1)</f>
        <v>30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22</v>
      </c>
      <c r="S178" s="145">
        <f>SUMIFS(Table2[NewPointsAway],Table2[GameDate], "&lt;=" &amp; $A178, Table2[AwayTeam], S$1)+SUMIFS(Table2[NewPointsHome],Table2[GameDate], "&lt;=" &amp; $A178, Table2[HomeTeam], S$1)</f>
        <v>31</v>
      </c>
      <c r="T178" s="145">
        <f>SUMIFS(Table2[NewPointsAway],Table2[GameDate], "&lt;=" &amp; $A178, Table2[AwayTeam], T$1)+SUMIFS(Table2[NewPointsHome],Table2[GameDate], "&lt;=" &amp; $A178, Table2[HomeTeam], T$1)</f>
        <v>30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31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29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27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32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34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33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29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28</v>
      </c>
      <c r="I179" s="145">
        <f>SUMIFS(Table2[NewPointsAway],Table2[GameDate], "&lt;=" &amp; $A179, Table2[AwayTeam], I$1)+SUMIFS(Table2[NewPointsHome],Table2[GameDate], "&lt;=" &amp; $A179, Table2[HomeTeam], I$1)</f>
        <v>44</v>
      </c>
      <c r="J179" s="145">
        <f>SUMIFS(Table2[NewPointsAway],Table2[GameDate], "&lt;=" &amp; $A179, Table2[AwayTeam], J$1)+SUMIFS(Table2[NewPointsHome],Table2[GameDate], "&lt;=" &amp; $A179, Table2[HomeTeam], J$1)</f>
        <v>41</v>
      </c>
      <c r="K179" s="145">
        <f>SUMIFS(Table2[NewPointsAway],Table2[GameDate], "&lt;=" &amp; $A179, Table2[AwayTeam], K$1)+SUMIFS(Table2[NewPointsHome],Table2[GameDate], "&lt;=" &amp; $A179, Table2[HomeTeam], K$1)</f>
        <v>30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22</v>
      </c>
      <c r="S179" s="145">
        <f>SUMIFS(Table2[NewPointsAway],Table2[GameDate], "&lt;=" &amp; $A179, Table2[AwayTeam], S$1)+SUMIFS(Table2[NewPointsHome],Table2[GameDate], "&lt;=" &amp; $A179, Table2[HomeTeam], S$1)</f>
        <v>31</v>
      </c>
      <c r="T179" s="145">
        <f>SUMIFS(Table2[NewPointsAway],Table2[GameDate], "&lt;=" &amp; $A179, Table2[AwayTeam], T$1)+SUMIFS(Table2[NewPointsHome],Table2[GameDate], "&lt;=" &amp; $A179, Table2[HomeTeam], T$1)</f>
        <v>30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31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29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27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32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34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33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29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28</v>
      </c>
      <c r="I180" s="145">
        <f>SUMIFS(Table2[NewPointsAway],Table2[GameDate], "&lt;=" &amp; $A180, Table2[AwayTeam], I$1)+SUMIFS(Table2[NewPointsHome],Table2[GameDate], "&lt;=" &amp; $A180, Table2[HomeTeam], I$1)</f>
        <v>44</v>
      </c>
      <c r="J180" s="145">
        <f>SUMIFS(Table2[NewPointsAway],Table2[GameDate], "&lt;=" &amp; $A180, Table2[AwayTeam], J$1)+SUMIFS(Table2[NewPointsHome],Table2[GameDate], "&lt;=" &amp; $A180, Table2[HomeTeam], J$1)</f>
        <v>41</v>
      </c>
      <c r="K180" s="145">
        <f>SUMIFS(Table2[NewPointsAway],Table2[GameDate], "&lt;=" &amp; $A180, Table2[AwayTeam], K$1)+SUMIFS(Table2[NewPointsHome],Table2[GameDate], "&lt;=" &amp; $A180, Table2[HomeTeam], K$1)</f>
        <v>30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22</v>
      </c>
      <c r="S180" s="145">
        <f>SUMIFS(Table2[NewPointsAway],Table2[GameDate], "&lt;=" &amp; $A180, Table2[AwayTeam], S$1)+SUMIFS(Table2[NewPointsHome],Table2[GameDate], "&lt;=" &amp; $A180, Table2[HomeTeam], S$1)</f>
        <v>31</v>
      </c>
      <c r="T180" s="145">
        <f>SUMIFS(Table2[NewPointsAway],Table2[GameDate], "&lt;=" &amp; $A180, Table2[AwayTeam], T$1)+SUMIFS(Table2[NewPointsHome],Table2[GameDate], "&lt;=" &amp; $A180, Table2[HomeTeam], T$1)</f>
        <v>30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31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29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27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32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34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33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29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28</v>
      </c>
      <c r="I181" s="145">
        <f>SUMIFS(Table2[NewPointsAway],Table2[GameDate], "&lt;=" &amp; $A181, Table2[AwayTeam], I$1)+SUMIFS(Table2[NewPointsHome],Table2[GameDate], "&lt;=" &amp; $A181, Table2[HomeTeam], I$1)</f>
        <v>44</v>
      </c>
      <c r="J181" s="145">
        <f>SUMIFS(Table2[NewPointsAway],Table2[GameDate], "&lt;=" &amp; $A181, Table2[AwayTeam], J$1)+SUMIFS(Table2[NewPointsHome],Table2[GameDate], "&lt;=" &amp; $A181, Table2[HomeTeam], J$1)</f>
        <v>41</v>
      </c>
      <c r="K181" s="145">
        <f>SUMIFS(Table2[NewPointsAway],Table2[GameDate], "&lt;=" &amp; $A181, Table2[AwayTeam], K$1)+SUMIFS(Table2[NewPointsHome],Table2[GameDate], "&lt;=" &amp; $A181, Table2[HomeTeam], K$1)</f>
        <v>30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22</v>
      </c>
      <c r="S181" s="145">
        <f>SUMIFS(Table2[NewPointsAway],Table2[GameDate], "&lt;=" &amp; $A181, Table2[AwayTeam], S$1)+SUMIFS(Table2[NewPointsHome],Table2[GameDate], "&lt;=" &amp; $A181, Table2[HomeTeam], S$1)</f>
        <v>31</v>
      </c>
      <c r="T181" s="145">
        <f>SUMIFS(Table2[NewPointsAway],Table2[GameDate], "&lt;=" &amp; $A181, Table2[AwayTeam], T$1)+SUMIFS(Table2[NewPointsHome],Table2[GameDate], "&lt;=" &amp; $A181, Table2[HomeTeam], T$1)</f>
        <v>30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31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29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27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32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34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33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29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28</v>
      </c>
      <c r="I182" s="145">
        <f>SUMIFS(Table2[NewPointsAway],Table2[GameDate], "&lt;=" &amp; $A182, Table2[AwayTeam], I$1)+SUMIFS(Table2[NewPointsHome],Table2[GameDate], "&lt;=" &amp; $A182, Table2[HomeTeam], I$1)</f>
        <v>44</v>
      </c>
      <c r="J182" s="145">
        <f>SUMIFS(Table2[NewPointsAway],Table2[GameDate], "&lt;=" &amp; $A182, Table2[AwayTeam], J$1)+SUMIFS(Table2[NewPointsHome],Table2[GameDate], "&lt;=" &amp; $A182, Table2[HomeTeam], J$1)</f>
        <v>41</v>
      </c>
      <c r="K182" s="145">
        <f>SUMIFS(Table2[NewPointsAway],Table2[GameDate], "&lt;=" &amp; $A182, Table2[AwayTeam], K$1)+SUMIFS(Table2[NewPointsHome],Table2[GameDate], "&lt;=" &amp; $A182, Table2[HomeTeam], K$1)</f>
        <v>30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22</v>
      </c>
      <c r="S182" s="145">
        <f>SUMIFS(Table2[NewPointsAway],Table2[GameDate], "&lt;=" &amp; $A182, Table2[AwayTeam], S$1)+SUMIFS(Table2[NewPointsHome],Table2[GameDate], "&lt;=" &amp; $A182, Table2[HomeTeam], S$1)</f>
        <v>31</v>
      </c>
      <c r="T182" s="145">
        <f>SUMIFS(Table2[NewPointsAway],Table2[GameDate], "&lt;=" &amp; $A182, Table2[AwayTeam], T$1)+SUMIFS(Table2[NewPointsHome],Table2[GameDate], "&lt;=" &amp; $A182, Table2[HomeTeam], T$1)</f>
        <v>30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31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29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27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32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34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33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29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28</v>
      </c>
      <c r="I183" s="145">
        <f>SUMIFS(Table2[NewPointsAway],Table2[GameDate], "&lt;=" &amp; $A183, Table2[AwayTeam], I$1)+SUMIFS(Table2[NewPointsHome],Table2[GameDate], "&lt;=" &amp; $A183, Table2[HomeTeam], I$1)</f>
        <v>44</v>
      </c>
      <c r="J183" s="145">
        <f>SUMIFS(Table2[NewPointsAway],Table2[GameDate], "&lt;=" &amp; $A183, Table2[AwayTeam], J$1)+SUMIFS(Table2[NewPointsHome],Table2[GameDate], "&lt;=" &amp; $A183, Table2[HomeTeam], J$1)</f>
        <v>41</v>
      </c>
      <c r="K183" s="145">
        <f>SUMIFS(Table2[NewPointsAway],Table2[GameDate], "&lt;=" &amp; $A183, Table2[AwayTeam], K$1)+SUMIFS(Table2[NewPointsHome],Table2[GameDate], "&lt;=" &amp; $A183, Table2[HomeTeam], K$1)</f>
        <v>30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22</v>
      </c>
      <c r="S183" s="145">
        <f>SUMIFS(Table2[NewPointsAway],Table2[GameDate], "&lt;=" &amp; $A183, Table2[AwayTeam], S$1)+SUMIFS(Table2[NewPointsHome],Table2[GameDate], "&lt;=" &amp; $A183, Table2[HomeTeam], S$1)</f>
        <v>31</v>
      </c>
      <c r="T183" s="145">
        <f>SUMIFS(Table2[NewPointsAway],Table2[GameDate], "&lt;=" &amp; $A183, Table2[AwayTeam], T$1)+SUMIFS(Table2[NewPointsHome],Table2[GameDate], "&lt;=" &amp; $A183, Table2[HomeTeam], T$1)</f>
        <v>30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31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29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27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32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34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33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29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28</v>
      </c>
      <c r="I184" s="145">
        <f>SUMIFS(Table2[NewPointsAway],Table2[GameDate], "&lt;=" &amp; $A184, Table2[AwayTeam], I$1)+SUMIFS(Table2[NewPointsHome],Table2[GameDate], "&lt;=" &amp; $A184, Table2[HomeTeam], I$1)</f>
        <v>44</v>
      </c>
      <c r="J184" s="145">
        <f>SUMIFS(Table2[NewPointsAway],Table2[GameDate], "&lt;=" &amp; $A184, Table2[AwayTeam], J$1)+SUMIFS(Table2[NewPointsHome],Table2[GameDate], "&lt;=" &amp; $A184, Table2[HomeTeam], J$1)</f>
        <v>41</v>
      </c>
      <c r="K184" s="145">
        <f>SUMIFS(Table2[NewPointsAway],Table2[GameDate], "&lt;=" &amp; $A184, Table2[AwayTeam], K$1)+SUMIFS(Table2[NewPointsHome],Table2[GameDate], "&lt;=" &amp; $A184, Table2[HomeTeam], K$1)</f>
        <v>30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22</v>
      </c>
      <c r="S184" s="145">
        <f>SUMIFS(Table2[NewPointsAway],Table2[GameDate], "&lt;=" &amp; $A184, Table2[AwayTeam], S$1)+SUMIFS(Table2[NewPointsHome],Table2[GameDate], "&lt;=" &amp; $A184, Table2[HomeTeam], S$1)</f>
        <v>31</v>
      </c>
      <c r="T184" s="145">
        <f>SUMIFS(Table2[NewPointsAway],Table2[GameDate], "&lt;=" &amp; $A184, Table2[AwayTeam], T$1)+SUMIFS(Table2[NewPointsHome],Table2[GameDate], "&lt;=" &amp; $A184, Table2[HomeTeam], T$1)</f>
        <v>30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31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29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27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32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34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33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29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28</v>
      </c>
      <c r="I185" s="145">
        <f>SUMIFS(Table2[NewPointsAway],Table2[GameDate], "&lt;=" &amp; $A185, Table2[AwayTeam], I$1)+SUMIFS(Table2[NewPointsHome],Table2[GameDate], "&lt;=" &amp; $A185, Table2[HomeTeam], I$1)</f>
        <v>44</v>
      </c>
      <c r="J185" s="145">
        <f>SUMIFS(Table2[NewPointsAway],Table2[GameDate], "&lt;=" &amp; $A185, Table2[AwayTeam], J$1)+SUMIFS(Table2[NewPointsHome],Table2[GameDate], "&lt;=" &amp; $A185, Table2[HomeTeam], J$1)</f>
        <v>41</v>
      </c>
      <c r="K185" s="145">
        <f>SUMIFS(Table2[NewPointsAway],Table2[GameDate], "&lt;=" &amp; $A185, Table2[AwayTeam], K$1)+SUMIFS(Table2[NewPointsHome],Table2[GameDate], "&lt;=" &amp; $A185, Table2[HomeTeam], K$1)</f>
        <v>30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22</v>
      </c>
      <c r="S185" s="145">
        <f>SUMIFS(Table2[NewPointsAway],Table2[GameDate], "&lt;=" &amp; $A185, Table2[AwayTeam], S$1)+SUMIFS(Table2[NewPointsHome],Table2[GameDate], "&lt;=" &amp; $A185, Table2[HomeTeam], S$1)</f>
        <v>31</v>
      </c>
      <c r="T185" s="145">
        <f>SUMIFS(Table2[NewPointsAway],Table2[GameDate], "&lt;=" &amp; $A185, Table2[AwayTeam], T$1)+SUMIFS(Table2[NewPointsHome],Table2[GameDate], "&lt;=" &amp; $A185, Table2[HomeTeam], T$1)</f>
        <v>30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31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29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27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32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34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33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29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28</v>
      </c>
      <c r="I186" s="145">
        <f>SUMIFS(Table2[NewPointsAway],Table2[GameDate], "&lt;=" &amp; $A186, Table2[AwayTeam], I$1)+SUMIFS(Table2[NewPointsHome],Table2[GameDate], "&lt;=" &amp; $A186, Table2[HomeTeam], I$1)</f>
        <v>44</v>
      </c>
      <c r="J186" s="145">
        <f>SUMIFS(Table2[NewPointsAway],Table2[GameDate], "&lt;=" &amp; $A186, Table2[AwayTeam], J$1)+SUMIFS(Table2[NewPointsHome],Table2[GameDate], "&lt;=" &amp; $A186, Table2[HomeTeam], J$1)</f>
        <v>41</v>
      </c>
      <c r="K186" s="145">
        <f>SUMIFS(Table2[NewPointsAway],Table2[GameDate], "&lt;=" &amp; $A186, Table2[AwayTeam], K$1)+SUMIFS(Table2[NewPointsHome],Table2[GameDate], "&lt;=" &amp; $A186, Table2[HomeTeam], K$1)</f>
        <v>30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22</v>
      </c>
      <c r="S186" s="145">
        <f>SUMIFS(Table2[NewPointsAway],Table2[GameDate], "&lt;=" &amp; $A186, Table2[AwayTeam], S$1)+SUMIFS(Table2[NewPointsHome],Table2[GameDate], "&lt;=" &amp; $A186, Table2[HomeTeam], S$1)</f>
        <v>31</v>
      </c>
      <c r="T186" s="145">
        <f>SUMIFS(Table2[NewPointsAway],Table2[GameDate], "&lt;=" &amp; $A186, Table2[AwayTeam], T$1)+SUMIFS(Table2[NewPointsHome],Table2[GameDate], "&lt;=" &amp; $A186, Table2[HomeTeam], T$1)</f>
        <v>30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31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29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27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32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34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33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29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28</v>
      </c>
      <c r="I187" s="145">
        <f>SUMIFS(Table2[NewPointsAway],Table2[GameDate], "&lt;=" &amp; $A187, Table2[AwayTeam], I$1)+SUMIFS(Table2[NewPointsHome],Table2[GameDate], "&lt;=" &amp; $A187, Table2[HomeTeam], I$1)</f>
        <v>44</v>
      </c>
      <c r="J187" s="145">
        <f>SUMIFS(Table2[NewPointsAway],Table2[GameDate], "&lt;=" &amp; $A187, Table2[AwayTeam], J$1)+SUMIFS(Table2[NewPointsHome],Table2[GameDate], "&lt;=" &amp; $A187, Table2[HomeTeam], J$1)</f>
        <v>41</v>
      </c>
      <c r="K187" s="145">
        <f>SUMIFS(Table2[NewPointsAway],Table2[GameDate], "&lt;=" &amp; $A187, Table2[AwayTeam], K$1)+SUMIFS(Table2[NewPointsHome],Table2[GameDate], "&lt;=" &amp; $A187, Table2[HomeTeam], K$1)</f>
        <v>30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22</v>
      </c>
      <c r="S187" s="145">
        <f>SUMIFS(Table2[NewPointsAway],Table2[GameDate], "&lt;=" &amp; $A187, Table2[AwayTeam], S$1)+SUMIFS(Table2[NewPointsHome],Table2[GameDate], "&lt;=" &amp; $A187, Table2[HomeTeam], S$1)</f>
        <v>31</v>
      </c>
      <c r="T187" s="145">
        <f>SUMIFS(Table2[NewPointsAway],Table2[GameDate], "&lt;=" &amp; $A187, Table2[AwayTeam], T$1)+SUMIFS(Table2[NewPointsHome],Table2[GameDate], "&lt;=" &amp; $A187, Table2[HomeTeam], T$1)</f>
        <v>30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31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29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27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32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34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33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29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28</v>
      </c>
      <c r="I188" s="145">
        <f>SUMIFS(Table2[NewPointsAway],Table2[GameDate], "&lt;=" &amp; $A188, Table2[AwayTeam], I$1)+SUMIFS(Table2[NewPointsHome],Table2[GameDate], "&lt;=" &amp; $A188, Table2[HomeTeam], I$1)</f>
        <v>44</v>
      </c>
      <c r="J188" s="145">
        <f>SUMIFS(Table2[NewPointsAway],Table2[GameDate], "&lt;=" &amp; $A188, Table2[AwayTeam], J$1)+SUMIFS(Table2[NewPointsHome],Table2[GameDate], "&lt;=" &amp; $A188, Table2[HomeTeam], J$1)</f>
        <v>41</v>
      </c>
      <c r="K188" s="145">
        <f>SUMIFS(Table2[NewPointsAway],Table2[GameDate], "&lt;=" &amp; $A188, Table2[AwayTeam], K$1)+SUMIFS(Table2[NewPointsHome],Table2[GameDate], "&lt;=" &amp; $A188, Table2[HomeTeam], K$1)</f>
        <v>30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22</v>
      </c>
      <c r="S188" s="145">
        <f>SUMIFS(Table2[NewPointsAway],Table2[GameDate], "&lt;=" &amp; $A188, Table2[AwayTeam], S$1)+SUMIFS(Table2[NewPointsHome],Table2[GameDate], "&lt;=" &amp; $A188, Table2[HomeTeam], S$1)</f>
        <v>31</v>
      </c>
      <c r="T188" s="145">
        <f>SUMIFS(Table2[NewPointsAway],Table2[GameDate], "&lt;=" &amp; $A188, Table2[AwayTeam], T$1)+SUMIFS(Table2[NewPointsHome],Table2[GameDate], "&lt;=" &amp; $A188, Table2[HomeTeam], T$1)</f>
        <v>30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31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29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27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32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34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33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29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28</v>
      </c>
      <c r="I189" s="145">
        <f>SUMIFS(Table2[NewPointsAway],Table2[GameDate], "&lt;=" &amp; $A189, Table2[AwayTeam], I$1)+SUMIFS(Table2[NewPointsHome],Table2[GameDate], "&lt;=" &amp; $A189, Table2[HomeTeam], I$1)</f>
        <v>44</v>
      </c>
      <c r="J189" s="145">
        <f>SUMIFS(Table2[NewPointsAway],Table2[GameDate], "&lt;=" &amp; $A189, Table2[AwayTeam], J$1)+SUMIFS(Table2[NewPointsHome],Table2[GameDate], "&lt;=" &amp; $A189, Table2[HomeTeam], J$1)</f>
        <v>41</v>
      </c>
      <c r="K189" s="145">
        <f>SUMIFS(Table2[NewPointsAway],Table2[GameDate], "&lt;=" &amp; $A189, Table2[AwayTeam], K$1)+SUMIFS(Table2[NewPointsHome],Table2[GameDate], "&lt;=" &amp; $A189, Table2[HomeTeam], K$1)</f>
        <v>30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22</v>
      </c>
      <c r="S189" s="145">
        <f>SUMIFS(Table2[NewPointsAway],Table2[GameDate], "&lt;=" &amp; $A189, Table2[AwayTeam], S$1)+SUMIFS(Table2[NewPointsHome],Table2[GameDate], "&lt;=" &amp; $A189, Table2[HomeTeam], S$1)</f>
        <v>31</v>
      </c>
      <c r="T189" s="145">
        <f>SUMIFS(Table2[NewPointsAway],Table2[GameDate], "&lt;=" &amp; $A189, Table2[AwayTeam], T$1)+SUMIFS(Table2[NewPointsHome],Table2[GameDate], "&lt;=" &amp; $A189, Table2[HomeTeam], T$1)</f>
        <v>30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31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29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27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32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34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33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29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28</v>
      </c>
      <c r="I190" s="145">
        <f>SUMIFS(Table2[NewPointsAway],Table2[GameDate], "&lt;=" &amp; $A190, Table2[AwayTeam], I$1)+SUMIFS(Table2[NewPointsHome],Table2[GameDate], "&lt;=" &amp; $A190, Table2[HomeTeam], I$1)</f>
        <v>44</v>
      </c>
      <c r="J190" s="145">
        <f>SUMIFS(Table2[NewPointsAway],Table2[GameDate], "&lt;=" &amp; $A190, Table2[AwayTeam], J$1)+SUMIFS(Table2[NewPointsHome],Table2[GameDate], "&lt;=" &amp; $A190, Table2[HomeTeam], J$1)</f>
        <v>41</v>
      </c>
      <c r="K190" s="145">
        <f>SUMIFS(Table2[NewPointsAway],Table2[GameDate], "&lt;=" &amp; $A190, Table2[AwayTeam], K$1)+SUMIFS(Table2[NewPointsHome],Table2[GameDate], "&lt;=" &amp; $A190, Table2[HomeTeam], K$1)</f>
        <v>30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22</v>
      </c>
      <c r="S190" s="145">
        <f>SUMIFS(Table2[NewPointsAway],Table2[GameDate], "&lt;=" &amp; $A190, Table2[AwayTeam], S$1)+SUMIFS(Table2[NewPointsHome],Table2[GameDate], "&lt;=" &amp; $A190, Table2[HomeTeam], S$1)</f>
        <v>31</v>
      </c>
      <c r="T190" s="145">
        <f>SUMIFS(Table2[NewPointsAway],Table2[GameDate], "&lt;=" &amp; $A190, Table2[AwayTeam], T$1)+SUMIFS(Table2[NewPointsHome],Table2[GameDate], "&lt;=" &amp; $A190, Table2[HomeTeam], T$1)</f>
        <v>30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31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29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27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32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34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33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29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28</v>
      </c>
      <c r="I191" s="145">
        <f>SUMIFS(Table2[NewPointsAway],Table2[GameDate], "&lt;=" &amp; $A191, Table2[AwayTeam], I$1)+SUMIFS(Table2[NewPointsHome],Table2[GameDate], "&lt;=" &amp; $A191, Table2[HomeTeam], I$1)</f>
        <v>44</v>
      </c>
      <c r="J191" s="145">
        <f>SUMIFS(Table2[NewPointsAway],Table2[GameDate], "&lt;=" &amp; $A191, Table2[AwayTeam], J$1)+SUMIFS(Table2[NewPointsHome],Table2[GameDate], "&lt;=" &amp; $A191, Table2[HomeTeam], J$1)</f>
        <v>41</v>
      </c>
      <c r="K191" s="145">
        <f>SUMIFS(Table2[NewPointsAway],Table2[GameDate], "&lt;=" &amp; $A191, Table2[AwayTeam], K$1)+SUMIFS(Table2[NewPointsHome],Table2[GameDate], "&lt;=" &amp; $A191, Table2[HomeTeam], K$1)</f>
        <v>30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22</v>
      </c>
      <c r="S191" s="145">
        <f>SUMIFS(Table2[NewPointsAway],Table2[GameDate], "&lt;=" &amp; $A191, Table2[AwayTeam], S$1)+SUMIFS(Table2[NewPointsHome],Table2[GameDate], "&lt;=" &amp; $A191, Table2[HomeTeam], S$1)</f>
        <v>31</v>
      </c>
      <c r="T191" s="145">
        <f>SUMIFS(Table2[NewPointsAway],Table2[GameDate], "&lt;=" &amp; $A191, Table2[AwayTeam], T$1)+SUMIFS(Table2[NewPointsHome],Table2[GameDate], "&lt;=" &amp; $A191, Table2[HomeTeam], T$1)</f>
        <v>30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31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29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27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32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34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33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29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28</v>
      </c>
      <c r="I192" s="145">
        <f>SUMIFS(Table2[NewPointsAway],Table2[GameDate], "&lt;=" &amp; $A192, Table2[AwayTeam], I$1)+SUMIFS(Table2[NewPointsHome],Table2[GameDate], "&lt;=" &amp; $A192, Table2[HomeTeam], I$1)</f>
        <v>44</v>
      </c>
      <c r="J192" s="145">
        <f>SUMIFS(Table2[NewPointsAway],Table2[GameDate], "&lt;=" &amp; $A192, Table2[AwayTeam], J$1)+SUMIFS(Table2[NewPointsHome],Table2[GameDate], "&lt;=" &amp; $A192, Table2[HomeTeam], J$1)</f>
        <v>41</v>
      </c>
      <c r="K192" s="145">
        <f>SUMIFS(Table2[NewPointsAway],Table2[GameDate], "&lt;=" &amp; $A192, Table2[AwayTeam], K$1)+SUMIFS(Table2[NewPointsHome],Table2[GameDate], "&lt;=" &amp; $A192, Table2[HomeTeam], K$1)</f>
        <v>30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22</v>
      </c>
      <c r="S192" s="145">
        <f>SUMIFS(Table2[NewPointsAway],Table2[GameDate], "&lt;=" &amp; $A192, Table2[AwayTeam], S$1)+SUMIFS(Table2[NewPointsHome],Table2[GameDate], "&lt;=" &amp; $A192, Table2[HomeTeam], S$1)</f>
        <v>31</v>
      </c>
      <c r="T192" s="145">
        <f>SUMIFS(Table2[NewPointsAway],Table2[GameDate], "&lt;=" &amp; $A192, Table2[AwayTeam], T$1)+SUMIFS(Table2[NewPointsHome],Table2[GameDate], "&lt;=" &amp; $A192, Table2[HomeTeam], T$1)</f>
        <v>30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31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29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27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32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34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33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29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28</v>
      </c>
      <c r="I193" s="145">
        <f>SUMIFS(Table2[NewPointsAway],Table2[GameDate], "&lt;=" &amp; $A193, Table2[AwayTeam], I$1)+SUMIFS(Table2[NewPointsHome],Table2[GameDate], "&lt;=" &amp; $A193, Table2[HomeTeam], I$1)</f>
        <v>44</v>
      </c>
      <c r="J193" s="145">
        <f>SUMIFS(Table2[NewPointsAway],Table2[GameDate], "&lt;=" &amp; $A193, Table2[AwayTeam], J$1)+SUMIFS(Table2[NewPointsHome],Table2[GameDate], "&lt;=" &amp; $A193, Table2[HomeTeam], J$1)</f>
        <v>41</v>
      </c>
      <c r="K193" s="145">
        <f>SUMIFS(Table2[NewPointsAway],Table2[GameDate], "&lt;=" &amp; $A193, Table2[AwayTeam], K$1)+SUMIFS(Table2[NewPointsHome],Table2[GameDate], "&lt;=" &amp; $A193, Table2[HomeTeam], K$1)</f>
        <v>30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22</v>
      </c>
      <c r="S193" s="145">
        <f>SUMIFS(Table2[NewPointsAway],Table2[GameDate], "&lt;=" &amp; $A193, Table2[AwayTeam], S$1)+SUMIFS(Table2[NewPointsHome],Table2[GameDate], "&lt;=" &amp; $A193, Table2[HomeTeam], S$1)</f>
        <v>31</v>
      </c>
      <c r="T193" s="145">
        <f>SUMIFS(Table2[NewPointsAway],Table2[GameDate], "&lt;=" &amp; $A193, Table2[AwayTeam], T$1)+SUMIFS(Table2[NewPointsHome],Table2[GameDate], "&lt;=" &amp; $A193, Table2[HomeTeam], T$1)</f>
        <v>30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31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29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27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32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34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33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29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28</v>
      </c>
      <c r="I194" s="145">
        <f>SUMIFS(Table2[NewPointsAway],Table2[GameDate], "&lt;=" &amp; $A194, Table2[AwayTeam], I$1)+SUMIFS(Table2[NewPointsHome],Table2[GameDate], "&lt;=" &amp; $A194, Table2[HomeTeam], I$1)</f>
        <v>44</v>
      </c>
      <c r="J194" s="145">
        <f>SUMIFS(Table2[NewPointsAway],Table2[GameDate], "&lt;=" &amp; $A194, Table2[AwayTeam], J$1)+SUMIFS(Table2[NewPointsHome],Table2[GameDate], "&lt;=" &amp; $A194, Table2[HomeTeam], J$1)</f>
        <v>41</v>
      </c>
      <c r="K194" s="145">
        <f>SUMIFS(Table2[NewPointsAway],Table2[GameDate], "&lt;=" &amp; $A194, Table2[AwayTeam], K$1)+SUMIFS(Table2[NewPointsHome],Table2[GameDate], "&lt;=" &amp; $A194, Table2[HomeTeam], K$1)</f>
        <v>30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22</v>
      </c>
      <c r="S194" s="145">
        <f>SUMIFS(Table2[NewPointsAway],Table2[GameDate], "&lt;=" &amp; $A194, Table2[AwayTeam], S$1)+SUMIFS(Table2[NewPointsHome],Table2[GameDate], "&lt;=" &amp; $A194, Table2[HomeTeam], S$1)</f>
        <v>31</v>
      </c>
      <c r="T194" s="145">
        <f>SUMIFS(Table2[NewPointsAway],Table2[GameDate], "&lt;=" &amp; $A194, Table2[AwayTeam], T$1)+SUMIFS(Table2[NewPointsHome],Table2[GameDate], "&lt;=" &amp; $A194, Table2[HomeTeam], T$1)</f>
        <v>30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31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29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27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32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34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33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29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28</v>
      </c>
      <c r="I195" s="145">
        <f>SUMIFS(Table2[NewPointsAway],Table2[GameDate], "&lt;=" &amp; $A195, Table2[AwayTeam], I$1)+SUMIFS(Table2[NewPointsHome],Table2[GameDate], "&lt;=" &amp; $A195, Table2[HomeTeam], I$1)</f>
        <v>44</v>
      </c>
      <c r="J195" s="145">
        <f>SUMIFS(Table2[NewPointsAway],Table2[GameDate], "&lt;=" &amp; $A195, Table2[AwayTeam], J$1)+SUMIFS(Table2[NewPointsHome],Table2[GameDate], "&lt;=" &amp; $A195, Table2[HomeTeam], J$1)</f>
        <v>41</v>
      </c>
      <c r="K195" s="145">
        <f>SUMIFS(Table2[NewPointsAway],Table2[GameDate], "&lt;=" &amp; $A195, Table2[AwayTeam], K$1)+SUMIFS(Table2[NewPointsHome],Table2[GameDate], "&lt;=" &amp; $A195, Table2[HomeTeam], K$1)</f>
        <v>30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22</v>
      </c>
      <c r="S195" s="145">
        <f>SUMIFS(Table2[NewPointsAway],Table2[GameDate], "&lt;=" &amp; $A195, Table2[AwayTeam], S$1)+SUMIFS(Table2[NewPointsHome],Table2[GameDate], "&lt;=" &amp; $A195, Table2[HomeTeam], S$1)</f>
        <v>31</v>
      </c>
      <c r="T195" s="145">
        <f>SUMIFS(Table2[NewPointsAway],Table2[GameDate], "&lt;=" &amp; $A195, Table2[AwayTeam], T$1)+SUMIFS(Table2[NewPointsHome],Table2[GameDate], "&lt;=" &amp; $A195, Table2[HomeTeam], T$1)</f>
        <v>30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31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29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27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32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34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33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29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28</v>
      </c>
      <c r="I196" s="145">
        <f>SUMIFS(Table2[NewPointsAway],Table2[GameDate], "&lt;=" &amp; $A196, Table2[AwayTeam], I$1)+SUMIFS(Table2[NewPointsHome],Table2[GameDate], "&lt;=" &amp; $A196, Table2[HomeTeam], I$1)</f>
        <v>44</v>
      </c>
      <c r="J196" s="145">
        <f>SUMIFS(Table2[NewPointsAway],Table2[GameDate], "&lt;=" &amp; $A196, Table2[AwayTeam], J$1)+SUMIFS(Table2[NewPointsHome],Table2[GameDate], "&lt;=" &amp; $A196, Table2[HomeTeam], J$1)</f>
        <v>41</v>
      </c>
      <c r="K196" s="145">
        <f>SUMIFS(Table2[NewPointsAway],Table2[GameDate], "&lt;=" &amp; $A196, Table2[AwayTeam], K$1)+SUMIFS(Table2[NewPointsHome],Table2[GameDate], "&lt;=" &amp; $A196, Table2[HomeTeam], K$1)</f>
        <v>30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22</v>
      </c>
      <c r="S196" s="145">
        <f>SUMIFS(Table2[NewPointsAway],Table2[GameDate], "&lt;=" &amp; $A196, Table2[AwayTeam], S$1)+SUMIFS(Table2[NewPointsHome],Table2[GameDate], "&lt;=" &amp; $A196, Table2[HomeTeam], S$1)</f>
        <v>31</v>
      </c>
      <c r="T196" s="145">
        <f>SUMIFS(Table2[NewPointsAway],Table2[GameDate], "&lt;=" &amp; $A196, Table2[AwayTeam], T$1)+SUMIFS(Table2[NewPointsHome],Table2[GameDate], "&lt;=" &amp; $A196, Table2[HomeTeam], T$1)</f>
        <v>30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31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29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27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32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34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33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29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28</v>
      </c>
      <c r="I197" s="145">
        <f>SUMIFS(Table2[NewPointsAway],Table2[GameDate], "&lt;=" &amp; $A197, Table2[AwayTeam], I$1)+SUMIFS(Table2[NewPointsHome],Table2[GameDate], "&lt;=" &amp; $A197, Table2[HomeTeam], I$1)</f>
        <v>44</v>
      </c>
      <c r="J197" s="145">
        <f>SUMIFS(Table2[NewPointsAway],Table2[GameDate], "&lt;=" &amp; $A197, Table2[AwayTeam], J$1)+SUMIFS(Table2[NewPointsHome],Table2[GameDate], "&lt;=" &amp; $A197, Table2[HomeTeam], J$1)</f>
        <v>41</v>
      </c>
      <c r="K197" s="145">
        <f>SUMIFS(Table2[NewPointsAway],Table2[GameDate], "&lt;=" &amp; $A197, Table2[AwayTeam], K$1)+SUMIFS(Table2[NewPointsHome],Table2[GameDate], "&lt;=" &amp; $A197, Table2[HomeTeam], K$1)</f>
        <v>30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22</v>
      </c>
      <c r="S197" s="145">
        <f>SUMIFS(Table2[NewPointsAway],Table2[GameDate], "&lt;=" &amp; $A197, Table2[AwayTeam], S$1)+SUMIFS(Table2[NewPointsHome],Table2[GameDate], "&lt;=" &amp; $A197, Table2[HomeTeam], S$1)</f>
        <v>31</v>
      </c>
      <c r="T197" s="145">
        <f>SUMIFS(Table2[NewPointsAway],Table2[GameDate], "&lt;=" &amp; $A197, Table2[AwayTeam], T$1)+SUMIFS(Table2[NewPointsHome],Table2[GameDate], "&lt;=" &amp; $A197, Table2[HomeTeam], T$1)</f>
        <v>30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31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29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27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32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34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33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29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28</v>
      </c>
      <c r="I198" s="145">
        <f>SUMIFS(Table2[NewPointsAway],Table2[GameDate], "&lt;=" &amp; $A198, Table2[AwayTeam], I$1)+SUMIFS(Table2[NewPointsHome],Table2[GameDate], "&lt;=" &amp; $A198, Table2[HomeTeam], I$1)</f>
        <v>44</v>
      </c>
      <c r="J198" s="145">
        <f>SUMIFS(Table2[NewPointsAway],Table2[GameDate], "&lt;=" &amp; $A198, Table2[AwayTeam], J$1)+SUMIFS(Table2[NewPointsHome],Table2[GameDate], "&lt;=" &amp; $A198, Table2[HomeTeam], J$1)</f>
        <v>41</v>
      </c>
      <c r="K198" s="145">
        <f>SUMIFS(Table2[NewPointsAway],Table2[GameDate], "&lt;=" &amp; $A198, Table2[AwayTeam], K$1)+SUMIFS(Table2[NewPointsHome],Table2[GameDate], "&lt;=" &amp; $A198, Table2[HomeTeam], K$1)</f>
        <v>30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22</v>
      </c>
      <c r="S198" s="145">
        <f>SUMIFS(Table2[NewPointsAway],Table2[GameDate], "&lt;=" &amp; $A198, Table2[AwayTeam], S$1)+SUMIFS(Table2[NewPointsHome],Table2[GameDate], "&lt;=" &amp; $A198, Table2[HomeTeam], S$1)</f>
        <v>31</v>
      </c>
      <c r="T198" s="145">
        <f>SUMIFS(Table2[NewPointsAway],Table2[GameDate], "&lt;=" &amp; $A198, Table2[AwayTeam], T$1)+SUMIFS(Table2[NewPointsHome],Table2[GameDate], "&lt;=" &amp; $A198, Table2[HomeTeam], T$1)</f>
        <v>30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31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29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27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32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34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33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29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28</v>
      </c>
      <c r="I199" s="145">
        <f>SUMIFS(Table2[NewPointsAway],Table2[GameDate], "&lt;=" &amp; $A199, Table2[AwayTeam], I$1)+SUMIFS(Table2[NewPointsHome],Table2[GameDate], "&lt;=" &amp; $A199, Table2[HomeTeam], I$1)</f>
        <v>44</v>
      </c>
      <c r="J199" s="145">
        <f>SUMIFS(Table2[NewPointsAway],Table2[GameDate], "&lt;=" &amp; $A199, Table2[AwayTeam], J$1)+SUMIFS(Table2[NewPointsHome],Table2[GameDate], "&lt;=" &amp; $A199, Table2[HomeTeam], J$1)</f>
        <v>41</v>
      </c>
      <c r="K199" s="145">
        <f>SUMIFS(Table2[NewPointsAway],Table2[GameDate], "&lt;=" &amp; $A199, Table2[AwayTeam], K$1)+SUMIFS(Table2[NewPointsHome],Table2[GameDate], "&lt;=" &amp; $A199, Table2[HomeTeam], K$1)</f>
        <v>30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22</v>
      </c>
      <c r="S199" s="145">
        <f>SUMIFS(Table2[NewPointsAway],Table2[GameDate], "&lt;=" &amp; $A199, Table2[AwayTeam], S$1)+SUMIFS(Table2[NewPointsHome],Table2[GameDate], "&lt;=" &amp; $A199, Table2[HomeTeam], S$1)</f>
        <v>31</v>
      </c>
      <c r="T199" s="145">
        <f>SUMIFS(Table2[NewPointsAway],Table2[GameDate], "&lt;=" &amp; $A199, Table2[AwayTeam], T$1)+SUMIFS(Table2[NewPointsHome],Table2[GameDate], "&lt;=" &amp; $A199, Table2[HomeTeam], T$1)</f>
        <v>30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31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29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27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32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34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33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29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28</v>
      </c>
      <c r="I200" s="145">
        <f>SUMIFS(Table2[NewPointsAway],Table2[GameDate], "&lt;=" &amp; $A200, Table2[AwayTeam], I$1)+SUMIFS(Table2[NewPointsHome],Table2[GameDate], "&lt;=" &amp; $A200, Table2[HomeTeam], I$1)</f>
        <v>44</v>
      </c>
      <c r="J200" s="145">
        <f>SUMIFS(Table2[NewPointsAway],Table2[GameDate], "&lt;=" &amp; $A200, Table2[AwayTeam], J$1)+SUMIFS(Table2[NewPointsHome],Table2[GameDate], "&lt;=" &amp; $A200, Table2[HomeTeam], J$1)</f>
        <v>41</v>
      </c>
      <c r="K200" s="145">
        <f>SUMIFS(Table2[NewPointsAway],Table2[GameDate], "&lt;=" &amp; $A200, Table2[AwayTeam], K$1)+SUMIFS(Table2[NewPointsHome],Table2[GameDate], "&lt;=" &amp; $A200, Table2[HomeTeam], K$1)</f>
        <v>30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22</v>
      </c>
      <c r="S200" s="145">
        <f>SUMIFS(Table2[NewPointsAway],Table2[GameDate], "&lt;=" &amp; $A200, Table2[AwayTeam], S$1)+SUMIFS(Table2[NewPointsHome],Table2[GameDate], "&lt;=" &amp; $A200, Table2[HomeTeam], S$1)</f>
        <v>31</v>
      </c>
      <c r="T200" s="145">
        <f>SUMIFS(Table2[NewPointsAway],Table2[GameDate], "&lt;=" &amp; $A200, Table2[AwayTeam], T$1)+SUMIFS(Table2[NewPointsHome],Table2[GameDate], "&lt;=" &amp; $A200, Table2[HomeTeam], T$1)</f>
        <v>30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31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29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27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32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34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33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29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28</v>
      </c>
      <c r="I201" s="145">
        <f>SUMIFS(Table2[NewPointsAway],Table2[GameDate], "&lt;=" &amp; $A201, Table2[AwayTeam], I$1)+SUMIFS(Table2[NewPointsHome],Table2[GameDate], "&lt;=" &amp; $A201, Table2[HomeTeam], I$1)</f>
        <v>44</v>
      </c>
      <c r="J201" s="145">
        <f>SUMIFS(Table2[NewPointsAway],Table2[GameDate], "&lt;=" &amp; $A201, Table2[AwayTeam], J$1)+SUMIFS(Table2[NewPointsHome],Table2[GameDate], "&lt;=" &amp; $A201, Table2[HomeTeam], J$1)</f>
        <v>41</v>
      </c>
      <c r="K201" s="145">
        <f>SUMIFS(Table2[NewPointsAway],Table2[GameDate], "&lt;=" &amp; $A201, Table2[AwayTeam], K$1)+SUMIFS(Table2[NewPointsHome],Table2[GameDate], "&lt;=" &amp; $A201, Table2[HomeTeam], K$1)</f>
        <v>30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22</v>
      </c>
      <c r="S201" s="145">
        <f>SUMIFS(Table2[NewPointsAway],Table2[GameDate], "&lt;=" &amp; $A201, Table2[AwayTeam], S$1)+SUMIFS(Table2[NewPointsHome],Table2[GameDate], "&lt;=" &amp; $A201, Table2[HomeTeam], S$1)</f>
        <v>31</v>
      </c>
      <c r="T201" s="145">
        <f>SUMIFS(Table2[NewPointsAway],Table2[GameDate], "&lt;=" &amp; $A201, Table2[AwayTeam], T$1)+SUMIFS(Table2[NewPointsHome],Table2[GameDate], "&lt;=" &amp; $A201, Table2[HomeTeam], T$1)</f>
        <v>30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31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29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27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32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34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G9" sqref="BG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22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22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30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30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30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30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30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30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30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30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30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29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29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29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29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29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29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29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29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29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29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29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29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29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29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27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24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24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26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26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26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26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26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26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26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26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26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26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26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26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26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26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26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26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26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26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26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26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26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26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26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26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26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26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26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26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26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26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26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26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26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26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26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26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26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26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26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26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26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26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26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26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26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26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26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26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26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26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26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26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26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26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26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26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26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26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26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26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26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26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26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26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26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26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26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26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26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26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26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26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26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26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26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26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26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26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26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26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26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26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26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26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26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26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26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26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26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26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26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26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26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26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26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26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26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26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26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26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26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26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26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26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26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26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26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26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26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26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26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26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26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26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26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26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26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26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26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26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26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26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26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26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26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26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26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26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26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26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26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26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26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26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26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26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26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26</v>
      </c>
    </row>
    <row r="9" spans="1:275" x14ac:dyDescent="0.25">
      <c r="A9" t="s">
        <v>13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2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4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4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6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6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6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6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6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6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8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8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8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10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10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10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15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15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15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15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19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19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19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19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21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21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21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25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25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25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25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25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25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25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25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25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25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25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25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25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25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25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25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25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25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25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25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25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25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25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25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25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25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25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25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25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25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25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25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25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25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25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25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25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25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25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25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25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25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25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25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25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25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25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25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25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25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25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25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25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25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25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25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25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25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25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25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25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25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25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25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25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25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25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25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25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25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25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25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25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25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25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25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25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25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25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25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25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25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25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25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25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25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25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25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25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25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25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25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25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25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25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25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25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25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25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25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25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25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25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25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25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25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25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25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25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25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25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25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25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25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25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25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25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25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25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25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25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25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25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25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25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25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25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25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25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25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25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25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25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25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25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25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25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25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25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25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25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25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43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10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12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12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13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13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13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13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15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15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15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15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15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15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17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17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17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17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18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18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20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20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22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24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24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24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24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26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26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28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28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30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30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32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32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34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34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34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34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34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34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34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34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34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34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34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34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34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34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34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34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34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34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34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34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34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34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34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34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34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34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34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34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34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34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34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34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34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34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34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34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34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34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34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34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34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34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34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34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34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34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34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34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34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34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34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34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34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34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34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34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34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34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34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34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34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34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34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34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34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34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34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34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34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34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34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34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34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34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34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34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34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34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34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34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34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34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34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34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34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34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34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34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34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34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34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34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34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34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34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34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34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34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34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34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34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34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34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34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34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34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34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34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34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34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34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34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34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34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34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34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34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34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34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34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34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34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34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34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34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34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34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34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34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34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34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34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34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34</v>
      </c>
    </row>
    <row r="12" spans="1:275" x14ac:dyDescent="0.25">
      <c r="A12" t="s">
        <v>31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2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12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14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14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16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16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16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16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22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22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23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23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25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25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25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27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27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27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27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27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27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27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27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27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29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29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31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31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33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33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33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33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33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33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33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33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33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33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33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33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33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33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33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33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33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33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33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33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33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33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33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33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33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33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33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33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33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33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33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33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33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33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33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33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33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33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33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33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33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33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33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33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33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33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33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33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33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33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33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33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33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33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33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33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33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33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33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33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33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33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33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33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33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33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33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33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33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33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33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33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33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33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33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33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33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33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33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33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33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33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33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33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33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33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33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33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33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33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33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33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33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33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33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33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33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33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33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33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33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33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33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33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33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33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33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33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33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33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33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33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33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33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33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33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33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33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33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33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33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33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33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33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33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33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33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33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33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33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33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33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33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33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33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33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33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33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33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33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33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31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31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31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31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31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31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31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31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31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31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31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31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31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31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31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31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31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31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31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31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31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31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31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31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31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31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31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31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31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31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31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31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31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31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31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31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31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31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31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31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31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31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31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31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31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31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31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31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31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31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31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31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31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31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31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31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31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31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31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31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31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31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31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31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31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31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31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31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31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31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31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31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31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31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31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31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31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31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31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31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31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31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31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31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31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31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31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31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31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31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31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31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31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31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31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31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31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31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31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31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31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31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31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31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31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31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31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31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31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31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31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31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31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31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31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31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31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31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31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31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31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31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31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31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31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31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31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31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31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31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31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31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31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31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31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31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31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31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31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31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31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31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31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31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31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31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31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31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31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31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31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31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31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31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31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31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31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31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31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31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31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31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31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31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31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31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31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31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31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31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31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31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31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31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31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31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31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31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31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31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31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31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31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31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31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31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31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31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31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31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31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31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31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31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31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31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31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31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31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31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31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31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31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31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31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31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31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31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31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31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31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31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31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31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31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31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31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31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31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31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31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31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31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31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31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31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31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31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31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31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31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31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31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31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31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31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31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31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31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31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31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31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31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31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31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31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31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31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31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31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31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31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31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31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31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31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31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31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31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31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31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31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31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31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31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31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31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31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31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31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31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31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31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31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31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31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31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31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30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30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29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29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29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29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29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29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29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29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29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29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29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29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29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29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29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29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29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29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29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29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29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29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29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29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29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29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29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29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29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29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29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29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29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29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29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29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29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29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29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29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29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29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29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29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29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29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29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29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29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29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29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29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29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29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29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29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29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29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29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29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29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29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29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29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29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29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29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29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29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29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29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29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29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29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29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29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29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29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29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29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29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29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29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29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29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29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29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29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29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29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29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29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29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29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29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29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29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29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29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29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29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29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29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29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29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29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29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29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29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29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29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29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29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29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29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29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29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29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29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29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29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29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29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29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29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29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29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29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29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29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29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29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29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29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29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29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29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29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44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44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44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44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44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44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44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44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44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44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44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44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44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44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44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44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44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44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44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44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44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44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44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44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44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44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44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44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44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44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44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44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44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44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44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44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44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44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44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44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44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44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44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44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44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44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44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44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44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44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44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44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44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44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44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44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44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44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44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44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44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44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44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44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44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44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44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44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44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44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44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44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44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44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44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44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44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44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44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44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44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44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44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44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44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44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44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44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44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44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44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44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44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44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44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44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44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44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44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44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44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44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44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44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44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44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44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44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44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44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44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44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44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44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44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44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44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44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44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44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44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44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44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44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44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44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44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44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44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44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44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44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44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44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44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44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41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41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41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41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41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41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41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41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41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41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41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41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41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41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41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41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41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41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41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41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41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41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41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41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41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41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41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41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41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41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41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41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41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41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41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41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41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41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41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41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41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41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41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41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41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41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41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41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41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41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41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41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41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41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41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41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41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41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41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41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41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41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41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41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41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41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41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41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41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41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41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41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41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41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41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41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41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41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41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41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41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41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41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41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41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41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41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41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41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41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41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41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41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41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41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41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41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41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41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41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41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41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41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41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41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41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41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41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41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41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41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41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41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41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41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41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41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41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41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41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41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41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41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41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41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41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41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41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41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41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41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41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41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41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41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41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41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16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1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1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1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1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3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3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5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5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8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8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10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10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10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10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10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12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12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12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12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13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13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13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15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15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17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17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19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19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19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20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22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22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24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24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24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24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24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24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24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24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25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25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25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25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28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28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28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28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28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28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28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28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28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28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28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28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28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28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28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28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28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28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28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28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28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28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28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28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28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28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28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28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28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28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28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28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28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28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28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28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28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28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28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28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28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28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28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28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28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28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28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28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28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28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28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28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28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28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28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28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28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28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28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28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28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28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28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28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28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28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28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28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28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28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28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28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28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28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28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28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28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28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28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28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28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28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28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28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28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28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28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28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28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28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28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28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28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28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28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28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28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28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28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28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28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28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28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28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28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28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28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28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28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28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28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28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28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28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28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28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28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28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28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28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28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28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28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28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28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28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28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28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28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28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28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28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28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28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28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28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28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28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28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28</v>
      </c>
    </row>
    <row r="22" spans="1:203" x14ac:dyDescent="0.25">
      <c r="A22" t="s">
        <v>14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0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0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2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2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2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2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4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4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10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10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14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16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16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16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16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16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16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16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16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16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18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18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18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18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21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21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23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23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23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23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25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25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27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27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27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27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27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27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27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27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27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27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27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27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27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27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27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27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27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27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27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27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27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27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27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27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27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27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27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27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27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27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27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27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27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27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27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27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27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27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27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27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27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27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27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27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27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27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27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27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27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27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27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27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27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27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27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27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27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27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27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27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27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27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27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27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27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27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27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27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27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27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27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27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27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27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27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27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27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27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27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27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27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27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27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27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27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27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27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27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27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27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27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27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27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27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27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27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27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27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27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27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27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27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27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27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27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27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27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27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27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27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27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27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27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27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27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27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27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27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27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27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27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27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27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27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27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27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27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27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27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27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27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27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27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27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27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27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27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27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27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27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27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27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27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27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22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22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22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22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22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22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22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22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22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22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22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22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22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22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22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22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22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22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22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22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22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22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22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22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22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22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22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22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22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22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22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22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22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22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22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22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22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22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22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22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22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22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22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22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22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22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22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22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22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22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22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22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22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22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22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22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22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22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22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22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22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22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22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22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22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22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22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22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22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22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22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22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22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22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22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22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22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22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22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22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22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22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22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22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22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22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22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22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22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22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22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22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22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22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22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22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22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22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22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22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22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22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22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22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22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22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22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22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22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22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22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22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22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22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22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22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22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22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22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22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22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22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22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22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22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22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22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22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22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22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22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22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22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22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22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22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22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22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33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32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32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32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32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32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31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31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31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31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31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31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31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31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31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31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31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31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31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31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31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31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31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31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31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31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31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31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31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31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31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31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31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31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31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31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31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31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31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31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31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31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31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31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31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31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31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31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31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31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31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31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31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31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31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31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31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31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31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31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31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31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31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31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31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31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31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31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31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31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31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31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31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31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31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31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31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31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31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31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31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31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31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31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31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31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31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31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31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31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31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31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31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31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31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31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31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31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31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31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31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31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31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31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31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31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31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31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31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31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31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31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31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31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31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31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31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31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31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31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31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31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31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31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31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31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31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31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31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31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31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31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31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31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31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31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31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31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31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31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31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31</v>
      </c>
    </row>
    <row r="29" spans="1:203" x14ac:dyDescent="0.25">
      <c r="A29" t="s">
        <v>37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2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2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2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2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2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2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4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4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4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6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6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6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6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8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8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10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11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11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11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13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13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17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17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17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21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21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23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29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29.90625</v>
      </c>
      <c r="BN34">
        <f>SUBTOTAL(101,Table4[2025-12-04])</f>
        <v>29.90625</v>
      </c>
      <c r="BO34">
        <f>SUBTOTAL(101,Table4[2025-12-05])</f>
        <v>29.90625</v>
      </c>
      <c r="BP34">
        <f>SUBTOTAL(101,Table4[2025-12-06])</f>
        <v>29.90625</v>
      </c>
      <c r="BQ34">
        <f>SUBTOTAL(101,Table4[2025-12-07])</f>
        <v>29.90625</v>
      </c>
      <c r="BR34">
        <f>SUBTOTAL(101,Table4[2025-12-08])</f>
        <v>29.90625</v>
      </c>
      <c r="BS34">
        <f>SUBTOTAL(101,Table4[2025-12-09])</f>
        <v>29.90625</v>
      </c>
      <c r="BT34">
        <f>SUBTOTAL(101,Table4[2025-12-10])</f>
        <v>29.90625</v>
      </c>
      <c r="BU34">
        <f>SUBTOTAL(101,Table4[2025-12-11])</f>
        <v>29.90625</v>
      </c>
      <c r="BV34">
        <f>SUBTOTAL(101,Table4[2025-12-12])</f>
        <v>29.90625</v>
      </c>
      <c r="BW34">
        <f>SUBTOTAL(101,Table4[2025-12-13])</f>
        <v>29.90625</v>
      </c>
      <c r="BX34">
        <f>SUBTOTAL(101,Table4[2025-12-14])</f>
        <v>29.90625</v>
      </c>
      <c r="BY34">
        <f>SUBTOTAL(101,Table4[2025-12-15])</f>
        <v>29.90625</v>
      </c>
      <c r="BZ34">
        <f>SUBTOTAL(101,Table4[2025-12-16])</f>
        <v>29.90625</v>
      </c>
      <c r="CA34">
        <f>SUBTOTAL(101,Table4[2025-12-17])</f>
        <v>29.90625</v>
      </c>
      <c r="CB34">
        <f>SUBTOTAL(101,Table4[2025-12-18])</f>
        <v>29.90625</v>
      </c>
      <c r="CC34">
        <f>SUBTOTAL(101,Table4[2025-12-19])</f>
        <v>29.90625</v>
      </c>
      <c r="CD34">
        <f>SUBTOTAL(101,Table4[2025-12-20])</f>
        <v>29.90625</v>
      </c>
      <c r="CE34">
        <f>SUBTOTAL(101,Table4[2025-12-21])</f>
        <v>29.90625</v>
      </c>
      <c r="CF34">
        <f>SUBTOTAL(101,Table4[2025-12-22])</f>
        <v>29.90625</v>
      </c>
      <c r="CG34">
        <f>SUBTOTAL(101,Table4[2025-12-23])</f>
        <v>29.90625</v>
      </c>
      <c r="CH34">
        <f>SUBTOTAL(101,Table4[2025-12-24])</f>
        <v>29.90625</v>
      </c>
      <c r="CI34">
        <f>SUBTOTAL(101,Table4[2025-12-25])</f>
        <v>29.90625</v>
      </c>
      <c r="CJ34">
        <f>SUBTOTAL(101,Table4[2025-12-26])</f>
        <v>29.90625</v>
      </c>
      <c r="CK34">
        <f>SUBTOTAL(101,Table4[2025-12-27])</f>
        <v>29.90625</v>
      </c>
      <c r="CL34">
        <f>SUBTOTAL(101,Table4[2025-12-28])</f>
        <v>29.90625</v>
      </c>
      <c r="CM34">
        <f>SUBTOTAL(101,Table4[2025-12-29])</f>
        <v>29.90625</v>
      </c>
      <c r="CN34">
        <f>SUBTOTAL(101,Table4[2025-12-30])</f>
        <v>29.90625</v>
      </c>
      <c r="CO34">
        <f>SUBTOTAL(101,Table4[2025-12-31])</f>
        <v>29.90625</v>
      </c>
      <c r="CP34">
        <f>SUBTOTAL(101,Table4[2026-01-01])</f>
        <v>29.90625</v>
      </c>
      <c r="CQ34">
        <f>SUBTOTAL(101,Table4[2026-01-02])</f>
        <v>29.90625</v>
      </c>
      <c r="CR34">
        <f>SUBTOTAL(101,Table4[2026-01-03])</f>
        <v>29.90625</v>
      </c>
      <c r="CS34">
        <f>SUBTOTAL(101,Table4[2026-01-04])</f>
        <v>29.90625</v>
      </c>
      <c r="CT34">
        <f>SUBTOTAL(101,Table4[2026-01-05])</f>
        <v>29.90625</v>
      </c>
      <c r="CU34">
        <f>SUBTOTAL(101,Table4[2026-01-06])</f>
        <v>29.90625</v>
      </c>
      <c r="CV34">
        <f>SUBTOTAL(101,Table4[2026-01-07])</f>
        <v>29.90625</v>
      </c>
      <c r="CW34">
        <f>SUBTOTAL(101,Table4[2026-01-08])</f>
        <v>29.90625</v>
      </c>
      <c r="CX34">
        <f>SUBTOTAL(101,Table4[2026-01-09])</f>
        <v>29.90625</v>
      </c>
      <c r="CY34">
        <f>SUBTOTAL(101,Table4[2026-01-10])</f>
        <v>29.90625</v>
      </c>
      <c r="CZ34">
        <f>SUBTOTAL(101,Table4[2026-01-11])</f>
        <v>29.90625</v>
      </c>
      <c r="DA34">
        <f>SUBTOTAL(101,Table4[2026-01-12])</f>
        <v>29.90625</v>
      </c>
      <c r="DB34">
        <f>SUBTOTAL(101,Table4[2026-01-13])</f>
        <v>29.90625</v>
      </c>
      <c r="DC34">
        <f>SUBTOTAL(101,Table4[2026-01-14])</f>
        <v>29.90625</v>
      </c>
      <c r="DD34">
        <f>SUBTOTAL(101,Table4[2026-01-15])</f>
        <v>29.90625</v>
      </c>
      <c r="DE34">
        <f>SUBTOTAL(101,Table4[2026-01-16])</f>
        <v>29.90625</v>
      </c>
      <c r="DF34">
        <f>SUBTOTAL(101,Table4[2026-01-17])</f>
        <v>29.90625</v>
      </c>
      <c r="DG34">
        <f>SUBTOTAL(101,Table4[2026-01-18])</f>
        <v>29.90625</v>
      </c>
      <c r="DH34">
        <f>SUBTOTAL(101,Table4[2026-01-19])</f>
        <v>29.90625</v>
      </c>
      <c r="DI34">
        <f>SUBTOTAL(101,Table4[2026-01-20])</f>
        <v>29.90625</v>
      </c>
      <c r="DJ34">
        <f>SUBTOTAL(101,Table4[2026-01-21])</f>
        <v>29.90625</v>
      </c>
      <c r="DK34">
        <f>SUBTOTAL(101,Table4[2026-01-22])</f>
        <v>29.90625</v>
      </c>
      <c r="DL34">
        <f>SUBTOTAL(101,Table4[2026-01-23])</f>
        <v>29.90625</v>
      </c>
      <c r="DM34">
        <f>SUBTOTAL(101,Table4[2026-01-24])</f>
        <v>29.90625</v>
      </c>
      <c r="DN34">
        <f>SUBTOTAL(101,Table4[2026-01-25])</f>
        <v>29.90625</v>
      </c>
      <c r="DO34">
        <f>SUBTOTAL(101,Table4[2026-01-26])</f>
        <v>29.90625</v>
      </c>
      <c r="DP34">
        <f>SUBTOTAL(101,Table4[2026-01-27])</f>
        <v>29.90625</v>
      </c>
      <c r="DQ34">
        <f>SUBTOTAL(101,Table4[2026-01-28])</f>
        <v>29.90625</v>
      </c>
      <c r="DR34">
        <f>SUBTOTAL(101,Table4[2026-01-29])</f>
        <v>29.90625</v>
      </c>
      <c r="DS34">
        <f>SUBTOTAL(101,Table4[2026-01-30])</f>
        <v>29.90625</v>
      </c>
      <c r="DT34">
        <f>SUBTOTAL(101,Table4[2026-01-31])</f>
        <v>29.90625</v>
      </c>
      <c r="DU34">
        <f>SUBTOTAL(101,Table4[2026-02-01])</f>
        <v>29.90625</v>
      </c>
      <c r="DV34">
        <f>SUBTOTAL(101,Table4[2026-02-02])</f>
        <v>29.90625</v>
      </c>
      <c r="DW34">
        <f>SUBTOTAL(101,Table4[2026-02-03])</f>
        <v>29.90625</v>
      </c>
      <c r="DX34">
        <f>SUBTOTAL(101,Table4[2026-02-04])</f>
        <v>29.90625</v>
      </c>
      <c r="DY34">
        <f>SUBTOTAL(101,Table4[2026-02-05])</f>
        <v>29.90625</v>
      </c>
      <c r="DZ34">
        <f>SUBTOTAL(101,Table4[2026-02-06])</f>
        <v>29.90625</v>
      </c>
      <c r="EA34">
        <f>SUBTOTAL(101,Table4[2026-02-07])</f>
        <v>29.90625</v>
      </c>
      <c r="EB34">
        <f>SUBTOTAL(101,Table4[2026-02-08])</f>
        <v>29.90625</v>
      </c>
      <c r="EC34">
        <f>SUBTOTAL(101,Table4[2026-02-09])</f>
        <v>29.90625</v>
      </c>
      <c r="ED34">
        <f>SUBTOTAL(101,Table4[2026-02-10])</f>
        <v>29.90625</v>
      </c>
      <c r="EE34">
        <f>SUBTOTAL(101,Table4[2026-02-11])</f>
        <v>29.90625</v>
      </c>
      <c r="EF34">
        <f>SUBTOTAL(101,Table4[2026-02-12])</f>
        <v>29.90625</v>
      </c>
      <c r="EG34">
        <f>SUBTOTAL(101,Table4[2026-02-13])</f>
        <v>29.90625</v>
      </c>
      <c r="EH34">
        <f>SUBTOTAL(101,Table4[2026-02-14])</f>
        <v>29.90625</v>
      </c>
      <c r="EI34">
        <f>SUBTOTAL(101,Table4[2026-02-15])</f>
        <v>29.90625</v>
      </c>
      <c r="EJ34">
        <f>SUBTOTAL(101,Table4[2026-02-16])</f>
        <v>29.90625</v>
      </c>
      <c r="EK34">
        <f>SUBTOTAL(101,Table4[2026-02-17])</f>
        <v>29.90625</v>
      </c>
      <c r="EL34">
        <f>SUBTOTAL(101,Table4[2026-02-18])</f>
        <v>29.90625</v>
      </c>
      <c r="EM34">
        <f>SUBTOTAL(101,Table4[2026-02-19])</f>
        <v>29.90625</v>
      </c>
      <c r="EN34">
        <f>SUBTOTAL(101,Table4[2026-02-20])</f>
        <v>29.90625</v>
      </c>
      <c r="EO34">
        <f>SUBTOTAL(101,Table4[2026-02-21])</f>
        <v>29.90625</v>
      </c>
      <c r="EP34">
        <f>SUBTOTAL(101,Table4[2026-02-22])</f>
        <v>29.90625</v>
      </c>
      <c r="EQ34">
        <f>SUBTOTAL(101,Table4[2026-02-23])</f>
        <v>29.90625</v>
      </c>
      <c r="ER34">
        <f>SUBTOTAL(101,Table4[2026-02-24])</f>
        <v>29.90625</v>
      </c>
      <c r="ES34">
        <f>SUBTOTAL(101,Table4[2026-02-25])</f>
        <v>29.90625</v>
      </c>
      <c r="ET34">
        <f>SUBTOTAL(101,Table4[2026-02-26])</f>
        <v>29.90625</v>
      </c>
      <c r="EU34">
        <f>SUBTOTAL(101,Table4[2026-02-27])</f>
        <v>29.90625</v>
      </c>
      <c r="EV34">
        <f>SUBTOTAL(101,Table4[2026-02-28])</f>
        <v>29.90625</v>
      </c>
      <c r="EW34">
        <f>SUBTOTAL(101,Table4[2026-03-01])</f>
        <v>29.90625</v>
      </c>
      <c r="EX34">
        <f>SUBTOTAL(101,Table4[2026-03-02])</f>
        <v>29.90625</v>
      </c>
      <c r="EY34">
        <f>SUBTOTAL(101,Table4[2026-03-03])</f>
        <v>29.90625</v>
      </c>
      <c r="EZ34">
        <f>SUBTOTAL(101,Table4[2026-03-04])</f>
        <v>29.90625</v>
      </c>
      <c r="FA34">
        <f>SUBTOTAL(101,Table4[2026-03-05])</f>
        <v>29.90625</v>
      </c>
      <c r="FB34">
        <f>SUBTOTAL(101,Table4[2026-03-06])</f>
        <v>29.90625</v>
      </c>
      <c r="FC34">
        <f>SUBTOTAL(101,Table4[2026-03-07])</f>
        <v>29.90625</v>
      </c>
      <c r="FD34">
        <f>SUBTOTAL(101,Table4[2026-03-08])</f>
        <v>29.90625</v>
      </c>
      <c r="FE34">
        <f>SUBTOTAL(101,Table4[2026-03-09])</f>
        <v>29.90625</v>
      </c>
      <c r="FF34">
        <f>SUBTOTAL(101,Table4[2026-03-10])</f>
        <v>29.90625</v>
      </c>
      <c r="FG34">
        <f>SUBTOTAL(101,Table4[2026-03-11])</f>
        <v>29.90625</v>
      </c>
      <c r="FH34">
        <f>SUBTOTAL(101,Table4[2026-03-12])</f>
        <v>29.90625</v>
      </c>
      <c r="FI34">
        <f>SUBTOTAL(101,Table4[2026-03-13])</f>
        <v>29.90625</v>
      </c>
      <c r="FJ34">
        <f>SUBTOTAL(101,Table4[2026-03-14])</f>
        <v>29.90625</v>
      </c>
      <c r="FK34">
        <f>SUBTOTAL(101,Table4[2026-03-15])</f>
        <v>29.90625</v>
      </c>
      <c r="FL34">
        <f>SUBTOTAL(101,Table4[2026-03-16])</f>
        <v>29.90625</v>
      </c>
      <c r="FM34">
        <f>SUBTOTAL(101,Table4[2026-03-17])</f>
        <v>29.90625</v>
      </c>
      <c r="FN34">
        <f>SUBTOTAL(101,Table4[2026-03-18])</f>
        <v>29.90625</v>
      </c>
      <c r="FO34">
        <f>SUBTOTAL(101,Table4[2026-03-19])</f>
        <v>29.90625</v>
      </c>
      <c r="FP34">
        <f>SUBTOTAL(101,Table4[2026-03-20])</f>
        <v>29.90625</v>
      </c>
      <c r="FQ34">
        <f>SUBTOTAL(101,Table4[2026-03-21])</f>
        <v>29.90625</v>
      </c>
      <c r="FR34">
        <f>SUBTOTAL(101,Table4[2026-03-22])</f>
        <v>29.90625</v>
      </c>
      <c r="FS34">
        <f>SUBTOTAL(101,Table4[2026-03-23])</f>
        <v>29.90625</v>
      </c>
      <c r="FT34">
        <f>SUBTOTAL(101,Table4[2026-03-24])</f>
        <v>29.90625</v>
      </c>
      <c r="FU34">
        <f>SUBTOTAL(101,Table4[2026-03-25])</f>
        <v>29.90625</v>
      </c>
      <c r="FV34">
        <f>SUBTOTAL(101,Table4[2026-03-26])</f>
        <v>29.90625</v>
      </c>
      <c r="FW34">
        <f>SUBTOTAL(101,Table4[2026-03-27])</f>
        <v>29.90625</v>
      </c>
      <c r="FX34">
        <f>SUBTOTAL(101,Table4[2026-03-28])</f>
        <v>29.90625</v>
      </c>
      <c r="FY34">
        <f>SUBTOTAL(101,Table4[2026-03-29])</f>
        <v>29.90625</v>
      </c>
      <c r="FZ34">
        <f>SUBTOTAL(101,Table4[2026-03-30])</f>
        <v>29.90625</v>
      </c>
      <c r="GA34">
        <f>SUBTOTAL(101,Table4[2026-03-31])</f>
        <v>29.90625</v>
      </c>
      <c r="GB34">
        <f>SUBTOTAL(101,Table4[2026-04-01])</f>
        <v>29.90625</v>
      </c>
      <c r="GC34">
        <f>SUBTOTAL(101,Table4[2026-04-02])</f>
        <v>29.90625</v>
      </c>
      <c r="GD34">
        <f>SUBTOTAL(101,Table4[2026-04-03])</f>
        <v>29.90625</v>
      </c>
      <c r="GE34">
        <f>SUBTOTAL(101,Table4[2026-04-04])</f>
        <v>29.90625</v>
      </c>
      <c r="GF34">
        <f>SUBTOTAL(101,Table4[2026-04-05])</f>
        <v>29.90625</v>
      </c>
      <c r="GG34">
        <f>SUBTOTAL(101,Table4[2026-04-06])</f>
        <v>29.90625</v>
      </c>
      <c r="GH34">
        <f>SUBTOTAL(101,Table4[2026-04-07])</f>
        <v>29.90625</v>
      </c>
      <c r="GI34">
        <f>SUBTOTAL(101,Table4[2026-04-08])</f>
        <v>29.90625</v>
      </c>
      <c r="GJ34">
        <f>SUBTOTAL(101,Table4[2026-04-09])</f>
        <v>29.90625</v>
      </c>
      <c r="GK34">
        <f>SUBTOTAL(101,Table4[2026-04-10])</f>
        <v>29.90625</v>
      </c>
      <c r="GL34">
        <f>SUBTOTAL(101,Table4[2026-04-11])</f>
        <v>29.90625</v>
      </c>
      <c r="GM34">
        <f>SUBTOTAL(101,Table4[2026-04-12])</f>
        <v>29.90625</v>
      </c>
      <c r="GN34">
        <f>SUBTOTAL(101,Table4[2026-04-13])</f>
        <v>29.90625</v>
      </c>
      <c r="GO34">
        <f>SUBTOTAL(101,Table4[2026-04-14])</f>
        <v>29.90625</v>
      </c>
      <c r="GP34">
        <f>SUBTOTAL(101,Table4[2026-04-15])</f>
        <v>29.90625</v>
      </c>
      <c r="GQ34">
        <f>SUBTOTAL(101,Table4[2026-04-16])</f>
        <v>29.90625</v>
      </c>
      <c r="GR34">
        <f>SUBTOTAL(101,Table4[2026-04-17])</f>
        <v>29.90625</v>
      </c>
      <c r="GS34">
        <f>SUBTOTAL(101,Table4[2026-04-18])</f>
        <v>29.90625</v>
      </c>
      <c r="GT34">
        <f>SUBTOTAL(101,Table4[2026-04-19])</f>
        <v>29.90625</v>
      </c>
      <c r="GU34">
        <f>SUBTOTAL(101,Table4[2026-04-20])</f>
        <v>29.90625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30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30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30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30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30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30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30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30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30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30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30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30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30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30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30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30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30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30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30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30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30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30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30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30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30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30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30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30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30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30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30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30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30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30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30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30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30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30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30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30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30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30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30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30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30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30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30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30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30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30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30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30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30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30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30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30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30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30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30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30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30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30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30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30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30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30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30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30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30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30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30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30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30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30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30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30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30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30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30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30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30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30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30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30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30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30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30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30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30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30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30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30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30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30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30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30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30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30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30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30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30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30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30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30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30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30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30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30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30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30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30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30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30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30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30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30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30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30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30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30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30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30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30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30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30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30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30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30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30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30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30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30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30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30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30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30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30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30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34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34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34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34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34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34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34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34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34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34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34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34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34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34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34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34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34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34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34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34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34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34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34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34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34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34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34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34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34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34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34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34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34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34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34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34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34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34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34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34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34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34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34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34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34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34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34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34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34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34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34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34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34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34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34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34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34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34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34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34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34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34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34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34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34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34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34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34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34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34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34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34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34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34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34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34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34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34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34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34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34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34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34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34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34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34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34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34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34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34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34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34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34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34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34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34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34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34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34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34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34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34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34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34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34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34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34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34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34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34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34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34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34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34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34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34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34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34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34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34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34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34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34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34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34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34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34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34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34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34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34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34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34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34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34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34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34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34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34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30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30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30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30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30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30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30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30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30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30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30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30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30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30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30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30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30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30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30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30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30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30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30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30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30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30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30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30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30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30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30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30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30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30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30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30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30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30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30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30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30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30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30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30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30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30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30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30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30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30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30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30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30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30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30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30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30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30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30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30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30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30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30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30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30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30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30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30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30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30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30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30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30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30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30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30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30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30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30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30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30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30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30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30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30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30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30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30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30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30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30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30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30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30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30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30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30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30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30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30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30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30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30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30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30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30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30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30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30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30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30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30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30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30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30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30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30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30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30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30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30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30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30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30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30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30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30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30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30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30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30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30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30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30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30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30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30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30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31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31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31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31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31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31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31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31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31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29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29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29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29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29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29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29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29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29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29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29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29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29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29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29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29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29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29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29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29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29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29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29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29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29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29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29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29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29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29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29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29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29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29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29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29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29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29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29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29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29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29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29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29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29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29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29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29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29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29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29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29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29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29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29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29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29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29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29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29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29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29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29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29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29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29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29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29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29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29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29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29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29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29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29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29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29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29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29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29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29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29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29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29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29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29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29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29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29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29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29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29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29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29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29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29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29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29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29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29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29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29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29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29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29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29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29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29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29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29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29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29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29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29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29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29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29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29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29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29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29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29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29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29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29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29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29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29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29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29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29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29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29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29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29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29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29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29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44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44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44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44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44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44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44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44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44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44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44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44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44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44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44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44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44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44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44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44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44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44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44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44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44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44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44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44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44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44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44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44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44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44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44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44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44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44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44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44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44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44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44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44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44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44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44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44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44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44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44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44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44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44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44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44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44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44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44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44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44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44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44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44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44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44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44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44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44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44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44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44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44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44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44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44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44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44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44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44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44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44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44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44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44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44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44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44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44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44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44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44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44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44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44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44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44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44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44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44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44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44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44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44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44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44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44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44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44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44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44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44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44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44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44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44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44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44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44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44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44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44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44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44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44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44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44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44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44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44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44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44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44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44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44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44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41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41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41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41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41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41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41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41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41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41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41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41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41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41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41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41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41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41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41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41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41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41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41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41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41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41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41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41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41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41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41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41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41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41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41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41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41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41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41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41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41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41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41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41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41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41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41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41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41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41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41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41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41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41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41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41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41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41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41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41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41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41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41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41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41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41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41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41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41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41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41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41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41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41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41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41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41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41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41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41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41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41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41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41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41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41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41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41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41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41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41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41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41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41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41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41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41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41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41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41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41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41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41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41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41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41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41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41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41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41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41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41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41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41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41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41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41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41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41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41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41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41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41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41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41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41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41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41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41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41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41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41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41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41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41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41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41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28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28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28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28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28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28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28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28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28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28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28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28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28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28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28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28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28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28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28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28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28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28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28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28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28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28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28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28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28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28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28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28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28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28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28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28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28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28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28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28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28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28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28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28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28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28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28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28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28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28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28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28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28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28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28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28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28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28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28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28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28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28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28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28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28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28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28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28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28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28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28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28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28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28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28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28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28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28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28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28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28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28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28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28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28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28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28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28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28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28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28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28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28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28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28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28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28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28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28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28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28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28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28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28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28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28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28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28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28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28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28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28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28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28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28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28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28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28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28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28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28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28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28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28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28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28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28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28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28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28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28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28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28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28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28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28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28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28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29.90625</v>
      </c>
      <c r="BN70">
        <f>SUBTOTAL(101,Table46[2024-12-04])</f>
        <v>29.90625</v>
      </c>
      <c r="BO70">
        <f>SUBTOTAL(101,Table46[2024-12-05])</f>
        <v>29.90625</v>
      </c>
      <c r="BP70">
        <f>SUBTOTAL(101,Table46[2024-12-06])</f>
        <v>29.90625</v>
      </c>
      <c r="BQ70">
        <f>SUBTOTAL(101,Table46[2024-12-07])</f>
        <v>29.90625</v>
      </c>
      <c r="BR70">
        <f>SUBTOTAL(101,Table46[2024-12-08])</f>
        <v>29.90625</v>
      </c>
      <c r="BS70">
        <f>SUBTOTAL(101,Table46[2024-12-09])</f>
        <v>29.90625</v>
      </c>
      <c r="BT70">
        <f>SUBTOTAL(101,Table46[2024-12-10])</f>
        <v>29.90625</v>
      </c>
      <c r="BU70">
        <f>SUBTOTAL(101,Table46[2024-12-11])</f>
        <v>29.90625</v>
      </c>
      <c r="BV70">
        <f>SUBTOTAL(101,Table46[2024-12-12])</f>
        <v>29.90625</v>
      </c>
      <c r="BW70">
        <f>SUBTOTAL(101,Table46[2024-12-13])</f>
        <v>29.90625</v>
      </c>
      <c r="BX70">
        <f>SUBTOTAL(101,Table46[2024-12-14])</f>
        <v>29.90625</v>
      </c>
      <c r="BY70">
        <f>SUBTOTAL(101,Table46[2024-12-15])</f>
        <v>29.90625</v>
      </c>
      <c r="BZ70">
        <f>SUBTOTAL(101,Table46[2024-12-16])</f>
        <v>29.90625</v>
      </c>
      <c r="CA70">
        <f>SUBTOTAL(101,Table46[2024-12-17])</f>
        <v>29.90625</v>
      </c>
      <c r="CB70">
        <f>SUBTOTAL(101,Table46[2024-12-18])</f>
        <v>29.90625</v>
      </c>
      <c r="CC70">
        <f>SUBTOTAL(101,Table46[2024-12-19])</f>
        <v>29.90625</v>
      </c>
      <c r="CD70">
        <f>SUBTOTAL(101,Table46[2024-12-20])</f>
        <v>29.90625</v>
      </c>
      <c r="CE70">
        <f>SUBTOTAL(101,Table46[2024-12-21])</f>
        <v>29.90625</v>
      </c>
      <c r="CF70">
        <f>SUBTOTAL(101,Table46[2024-12-22])</f>
        <v>29.90625</v>
      </c>
      <c r="CG70">
        <f>SUBTOTAL(101,Table46[2024-12-23])</f>
        <v>29.90625</v>
      </c>
      <c r="CH70">
        <f>SUBTOTAL(101,Table46[2024-12-24])</f>
        <v>29.90625</v>
      </c>
      <c r="CI70">
        <f>SUBTOTAL(101,Table46[2024-12-25])</f>
        <v>29.90625</v>
      </c>
      <c r="CJ70">
        <f>SUBTOTAL(101,Table46[2024-12-26])</f>
        <v>29.90625</v>
      </c>
      <c r="CK70">
        <f>SUBTOTAL(101,Table46[2024-12-27])</f>
        <v>29.90625</v>
      </c>
      <c r="CL70">
        <f>SUBTOTAL(101,Table46[2024-12-28])</f>
        <v>29.90625</v>
      </c>
      <c r="CM70">
        <f>SUBTOTAL(101,Table46[2024-12-29])</f>
        <v>29.90625</v>
      </c>
      <c r="CN70">
        <f>SUBTOTAL(101,Table46[2024-12-30])</f>
        <v>29.90625</v>
      </c>
      <c r="CO70">
        <f>SUBTOTAL(101,Table46[2024-12-31])</f>
        <v>29.90625</v>
      </c>
      <c r="CP70">
        <f>SUBTOTAL(101,Table46[2025-01-01])</f>
        <v>29.90625</v>
      </c>
      <c r="CQ70">
        <f>SUBTOTAL(101,Table46[2025-01-02])</f>
        <v>29.90625</v>
      </c>
      <c r="CR70">
        <f>SUBTOTAL(101,Table46[2025-01-03])</f>
        <v>29.90625</v>
      </c>
      <c r="CS70">
        <f>SUBTOTAL(101,Table46[2025-01-04])</f>
        <v>29.90625</v>
      </c>
      <c r="CT70">
        <f>SUBTOTAL(101,Table46[2025-01-05])</f>
        <v>29.90625</v>
      </c>
      <c r="CU70">
        <f>SUBTOTAL(101,Table46[2025-01-06])</f>
        <v>29.90625</v>
      </c>
      <c r="CV70">
        <f>SUBTOTAL(101,Table46[2025-01-07])</f>
        <v>29.90625</v>
      </c>
      <c r="CW70">
        <f>SUBTOTAL(101,Table46[2025-01-08])</f>
        <v>29.90625</v>
      </c>
      <c r="CX70">
        <f>SUBTOTAL(101,Table46[2025-01-09])</f>
        <v>29.90625</v>
      </c>
      <c r="CY70">
        <f>SUBTOTAL(101,Table46[2025-01-10])</f>
        <v>29.90625</v>
      </c>
      <c r="CZ70">
        <f>SUBTOTAL(101,Table46[2025-01-11])</f>
        <v>29.90625</v>
      </c>
      <c r="DA70">
        <f>SUBTOTAL(101,Table46[2025-01-12])</f>
        <v>29.90625</v>
      </c>
      <c r="DB70">
        <f>SUBTOTAL(101,Table46[2025-01-13])</f>
        <v>29.90625</v>
      </c>
      <c r="DC70">
        <f>SUBTOTAL(101,Table46[2025-01-14])</f>
        <v>29.90625</v>
      </c>
      <c r="DD70">
        <f>SUBTOTAL(101,Table46[2025-01-15])</f>
        <v>29.90625</v>
      </c>
      <c r="DE70">
        <f>SUBTOTAL(101,Table46[2025-01-16])</f>
        <v>29.90625</v>
      </c>
      <c r="DF70">
        <f>SUBTOTAL(101,Table46[2025-01-17])</f>
        <v>29.90625</v>
      </c>
      <c r="DG70">
        <f>SUBTOTAL(101,Table46[2025-01-18])</f>
        <v>29.90625</v>
      </c>
      <c r="DH70">
        <f>SUBTOTAL(101,Table46[2025-01-19])</f>
        <v>29.90625</v>
      </c>
      <c r="DI70">
        <f>SUBTOTAL(101,Table46[2025-01-20])</f>
        <v>29.90625</v>
      </c>
      <c r="DJ70">
        <f>SUBTOTAL(101,Table46[2025-01-21])</f>
        <v>29.90625</v>
      </c>
      <c r="DK70">
        <f>SUBTOTAL(101,Table46[2025-01-22])</f>
        <v>29.90625</v>
      </c>
      <c r="DL70">
        <f>SUBTOTAL(101,Table46[2025-01-23])</f>
        <v>29.90625</v>
      </c>
      <c r="DM70">
        <f>SUBTOTAL(101,Table46[2025-01-24])</f>
        <v>29.90625</v>
      </c>
      <c r="DN70">
        <f>SUBTOTAL(101,Table46[2025-01-25])</f>
        <v>29.90625</v>
      </c>
      <c r="DO70">
        <f>SUBTOTAL(101,Table46[2025-01-26])</f>
        <v>29.90625</v>
      </c>
      <c r="DP70">
        <f>SUBTOTAL(101,Table46[2025-01-27])</f>
        <v>29.90625</v>
      </c>
      <c r="DQ70">
        <f>SUBTOTAL(101,Table46[2025-01-28])</f>
        <v>29.90625</v>
      </c>
      <c r="DR70">
        <f>SUBTOTAL(101,Table46[2025-01-29])</f>
        <v>29.90625</v>
      </c>
      <c r="DS70">
        <f>SUBTOTAL(101,Table46[2025-01-30])</f>
        <v>29.90625</v>
      </c>
      <c r="DT70">
        <f>SUBTOTAL(101,Table46[2025-01-31])</f>
        <v>29.90625</v>
      </c>
      <c r="DU70">
        <f>SUBTOTAL(101,Table46[2025-02-01])</f>
        <v>29.90625</v>
      </c>
      <c r="DV70">
        <f>SUBTOTAL(101,Table46[2025-02-02])</f>
        <v>29.90625</v>
      </c>
      <c r="DW70">
        <f>SUBTOTAL(101,Table46[2025-02-03])</f>
        <v>29.90625</v>
      </c>
      <c r="DX70">
        <f>SUBTOTAL(101,Table46[2025-02-04])</f>
        <v>29.90625</v>
      </c>
      <c r="DY70">
        <f>SUBTOTAL(101,Table46[2025-02-05])</f>
        <v>29.90625</v>
      </c>
      <c r="DZ70">
        <f>SUBTOTAL(101,Table46[2025-02-06])</f>
        <v>29.90625</v>
      </c>
      <c r="EA70">
        <f>SUBTOTAL(101,Table46[2025-02-07])</f>
        <v>29.90625</v>
      </c>
      <c r="EB70">
        <f>SUBTOTAL(101,Table46[2025-02-08])</f>
        <v>29.90625</v>
      </c>
      <c r="EC70">
        <f>SUBTOTAL(101,Table46[2025-02-09])</f>
        <v>29.90625</v>
      </c>
      <c r="ED70">
        <f>SUBTOTAL(101,Table46[2025-02-10])</f>
        <v>29.90625</v>
      </c>
      <c r="EE70">
        <f>SUBTOTAL(101,Table46[2025-02-11])</f>
        <v>29.90625</v>
      </c>
      <c r="EF70">
        <f>SUBTOTAL(101,Table46[2025-02-12])</f>
        <v>29.90625</v>
      </c>
      <c r="EG70">
        <f>SUBTOTAL(101,Table46[2025-02-13])</f>
        <v>29.90625</v>
      </c>
      <c r="EH70">
        <f>SUBTOTAL(101,Table46[2025-02-14])</f>
        <v>29.90625</v>
      </c>
      <c r="EI70">
        <f>SUBTOTAL(101,Table46[2025-02-15])</f>
        <v>29.90625</v>
      </c>
      <c r="EJ70">
        <f>SUBTOTAL(101,Table46[2025-02-16])</f>
        <v>29.90625</v>
      </c>
      <c r="EK70">
        <f>SUBTOTAL(101,Table46[2025-02-17])</f>
        <v>29.90625</v>
      </c>
      <c r="EL70">
        <f>SUBTOTAL(101,Table46[2025-02-18])</f>
        <v>29.90625</v>
      </c>
      <c r="EM70">
        <f>SUBTOTAL(101,Table46[2025-02-19])</f>
        <v>29.90625</v>
      </c>
      <c r="EN70">
        <f>SUBTOTAL(101,Table46[2025-02-20])</f>
        <v>29.90625</v>
      </c>
      <c r="EO70">
        <f>SUBTOTAL(101,Table46[2025-02-21])</f>
        <v>29.90625</v>
      </c>
      <c r="EP70">
        <f>SUBTOTAL(101,Table46[2025-02-22])</f>
        <v>29.90625</v>
      </c>
      <c r="EQ70">
        <f>SUBTOTAL(101,Table46[2025-02-23])</f>
        <v>29.90625</v>
      </c>
      <c r="ER70">
        <f>SUBTOTAL(101,Table46[2025-02-24])</f>
        <v>29.90625</v>
      </c>
      <c r="ES70">
        <f>SUBTOTAL(101,Table46[2025-02-25])</f>
        <v>29.90625</v>
      </c>
      <c r="ET70">
        <f>SUBTOTAL(101,Table46[2025-02-26])</f>
        <v>29.90625</v>
      </c>
      <c r="EU70">
        <f>SUBTOTAL(101,Table46[2025-02-27])</f>
        <v>29.90625</v>
      </c>
      <c r="EV70">
        <f>SUBTOTAL(101,Table46[2025-02-28])</f>
        <v>29.90625</v>
      </c>
      <c r="EW70">
        <f>SUBTOTAL(101,Table46[2025-03-01])</f>
        <v>29.90625</v>
      </c>
      <c r="EX70">
        <f>SUBTOTAL(101,Table46[2025-03-02])</f>
        <v>29.90625</v>
      </c>
      <c r="EY70">
        <f>SUBTOTAL(101,Table46[2025-03-03])</f>
        <v>29.90625</v>
      </c>
      <c r="EZ70">
        <f>SUBTOTAL(101,Table46[2025-03-04])</f>
        <v>29.90625</v>
      </c>
      <c r="FA70">
        <f>SUBTOTAL(101,Table46[2025-03-05])</f>
        <v>29.90625</v>
      </c>
      <c r="FB70">
        <f>SUBTOTAL(101,Table46[2025-03-06])</f>
        <v>29.90625</v>
      </c>
      <c r="FC70">
        <f>SUBTOTAL(101,Table46[2025-03-07])</f>
        <v>29.90625</v>
      </c>
      <c r="FD70">
        <f>SUBTOTAL(101,Table46[2025-03-08])</f>
        <v>29.90625</v>
      </c>
      <c r="FE70">
        <f>SUBTOTAL(101,Table46[2025-03-09])</f>
        <v>29.90625</v>
      </c>
      <c r="FF70">
        <f>SUBTOTAL(101,Table46[2025-03-10])</f>
        <v>29.90625</v>
      </c>
      <c r="FG70">
        <f>SUBTOTAL(101,Table46[2025-03-11])</f>
        <v>29.90625</v>
      </c>
      <c r="FH70">
        <f>SUBTOTAL(101,Table46[2025-03-12])</f>
        <v>29.90625</v>
      </c>
      <c r="FI70">
        <f>SUBTOTAL(101,Table46[2025-03-13])</f>
        <v>29.90625</v>
      </c>
      <c r="FJ70">
        <f>SUBTOTAL(101,Table46[2025-03-14])</f>
        <v>29.90625</v>
      </c>
      <c r="FK70">
        <f>SUBTOTAL(101,Table46[2025-03-15])</f>
        <v>29.90625</v>
      </c>
      <c r="FL70">
        <f>SUBTOTAL(101,Table46[2025-03-16])</f>
        <v>29.90625</v>
      </c>
      <c r="FM70">
        <f>SUBTOTAL(101,Table46[2025-03-17])</f>
        <v>29.90625</v>
      </c>
      <c r="FN70">
        <f>SUBTOTAL(101,Table46[2025-03-18])</f>
        <v>29.90625</v>
      </c>
      <c r="FO70">
        <f>SUBTOTAL(101,Table46[2025-03-19])</f>
        <v>29.90625</v>
      </c>
      <c r="FP70">
        <f>SUBTOTAL(101,Table46[2025-03-20])</f>
        <v>29.90625</v>
      </c>
      <c r="FQ70">
        <f>SUBTOTAL(101,Table46[2025-03-21])</f>
        <v>29.90625</v>
      </c>
      <c r="FR70">
        <f>SUBTOTAL(101,Table46[2025-03-22])</f>
        <v>29.90625</v>
      </c>
      <c r="FS70">
        <f>SUBTOTAL(101,Table46[2025-03-23])</f>
        <v>29.90625</v>
      </c>
      <c r="FT70">
        <f>SUBTOTAL(101,Table46[2025-03-24])</f>
        <v>29.90625</v>
      </c>
      <c r="FU70">
        <f>SUBTOTAL(101,Table46[2025-03-25])</f>
        <v>29.90625</v>
      </c>
      <c r="FV70">
        <f>SUBTOTAL(101,Table46[2025-03-26])</f>
        <v>29.90625</v>
      </c>
      <c r="FW70">
        <f>SUBTOTAL(101,Table46[2025-03-27])</f>
        <v>29.90625</v>
      </c>
      <c r="FX70">
        <f>SUBTOTAL(101,Table46[2025-03-28])</f>
        <v>29.90625</v>
      </c>
      <c r="FY70">
        <f>SUBTOTAL(101,Table46[2025-03-29])</f>
        <v>29.90625</v>
      </c>
      <c r="FZ70">
        <f>SUBTOTAL(101,Table46[2025-03-30])</f>
        <v>29.90625</v>
      </c>
      <c r="GA70">
        <f>SUBTOTAL(101,Table46[2025-03-31])</f>
        <v>29.90625</v>
      </c>
      <c r="GB70">
        <f>SUBTOTAL(101,Table46[2025-04-01])</f>
        <v>29.90625</v>
      </c>
      <c r="GC70">
        <f>SUBTOTAL(101,Table46[2025-04-02])</f>
        <v>29.90625</v>
      </c>
      <c r="GD70">
        <f>SUBTOTAL(101,Table46[2025-04-03])</f>
        <v>29.90625</v>
      </c>
      <c r="GE70">
        <f>SUBTOTAL(101,Table46[2025-04-04])</f>
        <v>29.90625</v>
      </c>
      <c r="GF70">
        <f>SUBTOTAL(101,Table46[2025-04-05])</f>
        <v>29.90625</v>
      </c>
      <c r="GG70">
        <f>SUBTOTAL(101,Table46[2025-04-06])</f>
        <v>29.90625</v>
      </c>
      <c r="GH70">
        <f>SUBTOTAL(101,Table46[2025-04-07])</f>
        <v>29.90625</v>
      </c>
      <c r="GI70">
        <f>SUBTOTAL(101,Table46[2025-04-08])</f>
        <v>29.90625</v>
      </c>
      <c r="GJ70">
        <f>SUBTOTAL(101,Table46[2025-04-09])</f>
        <v>29.90625</v>
      </c>
      <c r="GK70">
        <f>SUBTOTAL(101,Table46[2025-04-10])</f>
        <v>29.90625</v>
      </c>
      <c r="GL70">
        <f>SUBTOTAL(101,Table46[2025-04-11])</f>
        <v>29.90625</v>
      </c>
      <c r="GM70">
        <f>SUBTOTAL(101,Table46[2025-04-12])</f>
        <v>29.90625</v>
      </c>
      <c r="GN70">
        <f>SUBTOTAL(101,Table46[2025-04-13])</f>
        <v>29.90625</v>
      </c>
      <c r="GO70">
        <f>SUBTOTAL(101,Table46[2025-04-14])</f>
        <v>29.90625</v>
      </c>
      <c r="GP70">
        <f>SUBTOTAL(101,Table46[2025-04-15])</f>
        <v>29.90625</v>
      </c>
      <c r="GQ70">
        <f>SUBTOTAL(101,Table46[2025-04-16])</f>
        <v>29.90625</v>
      </c>
      <c r="GR70">
        <f>SUBTOTAL(101,Table46[2025-04-17])</f>
        <v>29.90625</v>
      </c>
      <c r="GS70">
        <f>SUBTOTAL(101,Table46[2025-04-18])</f>
        <v>29.90625</v>
      </c>
      <c r="GT70">
        <f>SUBTOTAL(101,Table46[2025-04-19])</f>
        <v>29.90625</v>
      </c>
      <c r="GU70">
        <f>SUBTOTAL(101,Table46[2025-04-20])</f>
        <v>29.90625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28</v>
      </c>
      <c r="BQ5" s="168">
        <f t="shared" ref="BQ5" si="2">82-BP5</f>
        <v>54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72">
        <f t="shared" ref="BP7" si="3">BO7+BO8</f>
        <v>26</v>
      </c>
      <c r="BQ7" s="168">
        <f t="shared" ref="BQ7" si="4">82-BP7</f>
        <v>56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25</v>
      </c>
      <c r="BQ9" s="168">
        <f t="shared" ref="BQ9" si="6">82-BP9</f>
        <v>57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15</v>
      </c>
      <c r="BP11" s="172">
        <f t="shared" ref="BP11" si="7">BO11+BO12</f>
        <v>26</v>
      </c>
      <c r="BQ11" s="168">
        <f t="shared" ref="BQ11" si="8">82-BP11</f>
        <v>56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28</v>
      </c>
      <c r="BQ13" s="168">
        <f t="shared" ref="BQ13" si="10">82-BP13</f>
        <v>54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12</v>
      </c>
      <c r="BP15" s="172">
        <f t="shared" ref="BP15" si="11">BO15+BO16</f>
        <v>26</v>
      </c>
      <c r="BQ15" s="168">
        <f t="shared" ref="BQ15" si="12">82-BP15</f>
        <v>56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72">
        <f t="shared" ref="BP17" si="13">BO17+BO18</f>
        <v>26</v>
      </c>
      <c r="BQ17" s="168">
        <f t="shared" ref="BQ17" si="14">82-BP17</f>
        <v>56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72">
        <f t="shared" ref="BP19" si="15">BO19+BO20</f>
        <v>28</v>
      </c>
      <c r="BQ19" s="168">
        <f t="shared" ref="BQ19" si="16">82-BP19</f>
        <v>54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72">
        <f t="shared" ref="BP21" si="17">BO21+BO22</f>
        <v>27</v>
      </c>
      <c r="BQ21" s="168">
        <f t="shared" ref="BQ21" si="18">82-BP21</f>
        <v>55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27</v>
      </c>
      <c r="BQ23" s="168">
        <f t="shared" ref="BQ23" si="20">82-BP23</f>
        <v>55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10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25</v>
      </c>
      <c r="BQ25" s="168">
        <f t="shared" ref="BQ25" si="22">82-BP25</f>
        <v>57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15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72">
        <f t="shared" ref="BP27" si="23">BO27+BO28</f>
        <v>26</v>
      </c>
      <c r="BQ27" s="168">
        <f t="shared" ref="BQ27" si="24">82-BP27</f>
        <v>56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11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12</v>
      </c>
      <c r="BP29" s="172">
        <f t="shared" ref="BP29" si="25">BO29+BO30</f>
        <v>27</v>
      </c>
      <c r="BQ29" s="168">
        <f t="shared" ref="BQ29" si="26">82-BP29</f>
        <v>55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72">
        <f t="shared" ref="BP31" si="27">BO31+BO32</f>
        <v>25</v>
      </c>
      <c r="BQ31" s="168">
        <f t="shared" ref="BQ31" si="28">82-BP31</f>
        <v>57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13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72">
        <f t="shared" ref="BP33" si="29">BO33+BO34</f>
        <v>27</v>
      </c>
      <c r="BQ33" s="168">
        <f t="shared" ref="BQ33" si="30">82-BP33</f>
        <v>55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13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72">
        <f t="shared" ref="BP35" si="31">BO35+BO36</f>
        <v>26</v>
      </c>
      <c r="BQ35" s="168">
        <f t="shared" ref="BQ35" si="32">82-BP35</f>
        <v>56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27</v>
      </c>
      <c r="BQ37" s="168">
        <f t="shared" ref="BQ37" si="34">82-BP37</f>
        <v>55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14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72">
        <f t="shared" ref="BP39" si="35">BO39+BO40</f>
        <v>28</v>
      </c>
      <c r="BQ39" s="168">
        <f t="shared" ref="BQ39" si="36">82-BP39</f>
        <v>54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12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26</v>
      </c>
      <c r="BQ41" s="168">
        <f t="shared" ref="BQ41" si="38">82-BP41</f>
        <v>56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25</v>
      </c>
      <c r="BQ43" s="168">
        <f t="shared" ref="BQ43" si="40">82-BP43</f>
        <v>57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13</v>
      </c>
      <c r="BP45" s="172">
        <f t="shared" ref="BP45" si="41">BO45+BO46</f>
        <v>25</v>
      </c>
      <c r="BQ45" s="168">
        <f t="shared" ref="BQ45" si="42">82-BP45</f>
        <v>57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72">
        <f t="shared" ref="BP49" si="45">BO49+BO50</f>
        <v>27</v>
      </c>
      <c r="BQ49" s="168">
        <f t="shared" ref="BQ49" si="46">82-BP49</f>
        <v>55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16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72">
        <f t="shared" ref="BP51" si="47">BO51+BO52</f>
        <v>27</v>
      </c>
      <c r="BQ51" s="168">
        <f t="shared" ref="BQ51" si="48">82-BP51</f>
        <v>55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72">
        <f t="shared" ref="BP53" si="49">BO53+BO54</f>
        <v>26</v>
      </c>
      <c r="BQ53" s="168">
        <f t="shared" ref="BQ53" si="50">82-BP53</f>
        <v>56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11</v>
      </c>
      <c r="BP55" s="172">
        <f t="shared" ref="BP55" si="51">BO55+BO56</f>
        <v>26</v>
      </c>
      <c r="BQ55" s="168">
        <f t="shared" ref="BQ55" si="52">82-BP55</f>
        <v>56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16</v>
      </c>
      <c r="BP57" s="172">
        <f t="shared" ref="BP57" si="53">BO57+BO58</f>
        <v>27</v>
      </c>
      <c r="BQ57" s="168">
        <f t="shared" ref="BQ57" si="54">82-BP57</f>
        <v>55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27</v>
      </c>
      <c r="BQ59" s="168">
        <f t="shared" ref="BQ59" si="56">82-BP59</f>
        <v>55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26</v>
      </c>
      <c r="BQ61" s="168">
        <f t="shared" ref="BQ61" si="58">82-BP61</f>
        <v>56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14</v>
      </c>
      <c r="BP63" s="172">
        <f t="shared" ref="BP63" si="59">BO63+BO64</f>
        <v>25</v>
      </c>
      <c r="BQ63" s="168">
        <f t="shared" ref="BQ63" si="60">82-BP63</f>
        <v>57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27</v>
      </c>
      <c r="BQ65" s="168">
        <f t="shared" ref="BQ65" si="62">82-BP65</f>
        <v>55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421</v>
      </c>
      <c r="BQ67" s="27">
        <f>SUM(BQ3:BQ66)/2</f>
        <v>891</v>
      </c>
    </row>
    <row r="68" spans="1:69" x14ac:dyDescent="0.25">
      <c r="BP68" s="43">
        <f>2*BP67/SUM(BP3:BQ66)</f>
        <v>0.32088414634146339</v>
      </c>
      <c r="BQ68" s="43">
        <f>2*BQ67/SUM(BP3:BQ66)</f>
        <v>0.67911585365853655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13" workbookViewId="0">
      <selection activeCell="AJ61" sqref="AJ61:AM6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  <c r="BR3" s="178">
        <f t="shared" ref="BR3" si="0">BP3/(BP3+BQ3)</f>
        <v>0.31707317073170732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28</v>
      </c>
      <c r="BQ5" s="168">
        <f t="shared" ref="BQ5" si="3">82-BP5</f>
        <v>54</v>
      </c>
      <c r="BR5" s="178">
        <f t="shared" ref="BR5" si="4">BP5/(BP5+BQ5)</f>
        <v>0.34146341463414637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27</v>
      </c>
      <c r="BQ7" s="168">
        <f t="shared" ref="BQ7" si="6">82-BP7</f>
        <v>55</v>
      </c>
      <c r="BR7" s="178">
        <f t="shared" ref="BR7" si="7">BP7/(BP7+BQ7)</f>
        <v>0.32926829268292684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10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72">
        <f t="shared" ref="BP9" si="8">BO9+BO10</f>
        <v>26</v>
      </c>
      <c r="BQ9" s="168">
        <f t="shared" ref="BQ9" si="9">82-BP9</f>
        <v>56</v>
      </c>
      <c r="BR9" s="178">
        <f t="shared" ref="BR9" si="10">BP9/(BP9+BQ9)</f>
        <v>0.31707317073170732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11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24</v>
      </c>
      <c r="BQ11" s="168">
        <f t="shared" ref="BQ11" si="12">82-BP11</f>
        <v>58</v>
      </c>
      <c r="BR11" s="178">
        <f t="shared" ref="BR11" si="13">BP11/(BP11+BQ11)</f>
        <v>0.29268292682926828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72">
        <f t="shared" ref="BP13" si="14">BO13+BO14</f>
        <v>27</v>
      </c>
      <c r="BQ13" s="168">
        <f t="shared" ref="BQ13" si="15">82-BP13</f>
        <v>55</v>
      </c>
      <c r="BR13" s="178">
        <f t="shared" ref="BR13" si="16">BP13/(BP13+BQ13)</f>
        <v>0.32926829268292684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16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27</v>
      </c>
      <c r="BQ15" s="168">
        <f t="shared" ref="BQ15" si="18">82-BP15</f>
        <v>55</v>
      </c>
      <c r="BR15" s="178">
        <f t="shared" ref="BR15" si="19">BP15/(BP15+BQ15)</f>
        <v>0.32926829268292684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26</v>
      </c>
      <c r="BQ17" s="168">
        <f t="shared" ref="BQ17" si="21">82-BP17</f>
        <v>56</v>
      </c>
      <c r="BR17" s="178">
        <f t="shared" ref="BR17" si="22">BP17/(BP17+BQ17)</f>
        <v>0.31707317073170732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12</v>
      </c>
      <c r="BP19" s="172">
        <f t="shared" ref="BP19" si="23">BO19+BO20</f>
        <v>26</v>
      </c>
      <c r="BQ19" s="168">
        <f t="shared" ref="BQ19" si="24">82-BP19</f>
        <v>56</v>
      </c>
      <c r="BR19" s="178">
        <f t="shared" ref="BR19" si="25">BP19/(BP19+BQ19)</f>
        <v>0.31707317073170732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72">
        <f t="shared" ref="BP21" si="26">BO21+BO22</f>
        <v>26</v>
      </c>
      <c r="BQ21" s="168">
        <f t="shared" ref="BQ21" si="27">82-BP21</f>
        <v>56</v>
      </c>
      <c r="BR21" s="178">
        <f t="shared" ref="BR21" si="28">BP21/(BP21+BQ21)</f>
        <v>0.31707317073170732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72">
        <f t="shared" ref="BP23" si="29">BO23+BO24</f>
        <v>28</v>
      </c>
      <c r="BQ23" s="168">
        <f t="shared" ref="BQ23" si="30">82-BP23</f>
        <v>54</v>
      </c>
      <c r="BR23" s="178">
        <f t="shared" ref="BR23" si="31">BP23/(BP23+BQ23)</f>
        <v>0.34146341463414637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12</v>
      </c>
      <c r="BP25" s="172">
        <f t="shared" ref="BP25" si="32">BO25+BO26</f>
        <v>27</v>
      </c>
      <c r="BQ25" s="168">
        <f t="shared" ref="BQ25" si="33">82-BP25</f>
        <v>55</v>
      </c>
      <c r="BR25" s="178">
        <f t="shared" ref="BR25" si="34">BP25/(BP25+BQ25)</f>
        <v>0.32926829268292684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72">
        <f t="shared" ref="BP27" si="35">BO27+BO28</f>
        <v>26</v>
      </c>
      <c r="BQ27" s="168">
        <f t="shared" ref="BQ27" si="36">82-BP27</f>
        <v>56</v>
      </c>
      <c r="BR27" s="178">
        <f t="shared" ref="BR27" si="37">BP27/(BP27+BQ27)</f>
        <v>0.31707317073170732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72">
        <f t="shared" ref="BP29" si="38">BO29+BO30</f>
        <v>27</v>
      </c>
      <c r="BQ29" s="168">
        <f t="shared" ref="BQ29" si="39">82-BP29</f>
        <v>55</v>
      </c>
      <c r="BR29" s="178">
        <f t="shared" ref="BR29" si="40">BP29/(BP29+BQ29)</f>
        <v>0.32926829268292684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16</v>
      </c>
      <c r="BP31" s="172">
        <f t="shared" ref="BP31" si="41">BO31+BO32</f>
        <v>27</v>
      </c>
      <c r="BQ31" s="168">
        <f t="shared" ref="BQ31" si="42">82-BP31</f>
        <v>55</v>
      </c>
      <c r="BR31" s="178">
        <f t="shared" ref="BR31" si="43">BP31/(BP31+BQ31)</f>
        <v>0.32926829268292684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14</v>
      </c>
      <c r="BP33" s="172">
        <f t="shared" ref="BP33" si="44">BO33+BO34</f>
        <v>25</v>
      </c>
      <c r="BQ33" s="168">
        <f t="shared" ref="BQ33" si="45">82-BP33</f>
        <v>57</v>
      </c>
      <c r="BR33" s="178">
        <f t="shared" ref="BR33" si="46">BP33/(BP33+BQ33)</f>
        <v>0.3048780487804878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25</v>
      </c>
      <c r="BQ35" s="168">
        <f t="shared" ref="BQ35" si="48">82-BP35</f>
        <v>57</v>
      </c>
      <c r="BR35" s="178">
        <f t="shared" ref="BR35" si="49">BP35/(BP35+BQ35)</f>
        <v>0.3048780487804878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15</v>
      </c>
      <c r="BP37" s="172">
        <f t="shared" ref="BP37" si="50">BO37+BO38</f>
        <v>26</v>
      </c>
      <c r="BQ37" s="168">
        <f t="shared" ref="BQ37" si="51">82-BP37</f>
        <v>56</v>
      </c>
      <c r="BR37" s="178">
        <f t="shared" ref="BR37" si="52">BP37/(BP37+BQ37)</f>
        <v>0.31707317073170732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72">
        <f t="shared" ref="BP39" si="53">BO39+BO40</f>
        <v>27</v>
      </c>
      <c r="BQ39" s="168">
        <f t="shared" ref="BQ39" si="54">82-BP39</f>
        <v>55</v>
      </c>
      <c r="BR39" s="178">
        <f t="shared" ref="BR39" si="55">BP39/(BP39+BQ39)</f>
        <v>0.32926829268292684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13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27</v>
      </c>
      <c r="BQ41" s="168">
        <f t="shared" ref="BQ41" si="57">82-BP41</f>
        <v>55</v>
      </c>
      <c r="BR41" s="178">
        <f t="shared" ref="BR41" si="58">BP41/(BP41+BQ41)</f>
        <v>0.32926829268292684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14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72">
        <f t="shared" ref="BP43" si="59">BO43+BO44</f>
        <v>28</v>
      </c>
      <c r="BQ43" s="168">
        <f t="shared" ref="BQ43" si="60">82-BP43</f>
        <v>54</v>
      </c>
      <c r="BR43" s="178">
        <f t="shared" ref="BR43" si="61">BP43/(BP43+BQ43)</f>
        <v>0.34146341463414637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12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25</v>
      </c>
      <c r="BQ45" s="168">
        <f t="shared" ref="BQ45" si="63">82-BP45</f>
        <v>57</v>
      </c>
      <c r="BR45" s="178">
        <f t="shared" ref="BR45" si="64">BP45/(BP45+BQ45)</f>
        <v>0.3048780487804878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14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13</v>
      </c>
      <c r="BP47" s="172">
        <f t="shared" ref="BP47" si="65">BO47+BO48</f>
        <v>25</v>
      </c>
      <c r="BQ47" s="168">
        <f t="shared" ref="BQ47" si="66">82-BP47</f>
        <v>57</v>
      </c>
      <c r="BR47" s="178">
        <f t="shared" ref="BR47" si="67">BP47/(BP47+BQ47)</f>
        <v>0.3048780487804878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12</v>
      </c>
      <c r="BP49" s="172">
        <f t="shared" ref="BP49" si="68">BO49+BO50</f>
        <v>27</v>
      </c>
      <c r="BQ49" s="168">
        <f t="shared" ref="BQ49" si="69">82-BP49</f>
        <v>55</v>
      </c>
      <c r="BR49" s="178">
        <f t="shared" ref="BR49" si="70">BP49/(BP49+BQ49)</f>
        <v>0.32926829268292684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72">
        <f t="shared" ref="BP51" si="71">BO51+BO52</f>
        <v>28</v>
      </c>
      <c r="BQ51" s="168">
        <f t="shared" ref="BQ51" si="72">82-BP51</f>
        <v>54</v>
      </c>
      <c r="BR51" s="178">
        <f t="shared" ref="BR51" si="73">BP51/(BP51+BQ51)</f>
        <v>0.34146341463414637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72">
        <f t="shared" ref="BP53" si="74">BO53+BO54</f>
        <v>26</v>
      </c>
      <c r="BQ53" s="168">
        <f t="shared" ref="BQ53" si="75">82-BP53</f>
        <v>56</v>
      </c>
      <c r="BR53" s="178">
        <f t="shared" ref="BR53" si="76">BP53/(BP53+BQ53)</f>
        <v>0.31707317073170732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72">
        <f t="shared" ref="BP55" si="77">BO55+BO56</f>
        <v>27</v>
      </c>
      <c r="BQ55" s="168">
        <f t="shared" ref="BQ55" si="78">82-BP55</f>
        <v>55</v>
      </c>
      <c r="BR55" s="178">
        <f t="shared" ref="BR55" si="79">BP55/(BP55+BQ55)</f>
        <v>0.32926829268292684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25</v>
      </c>
      <c r="BQ57" s="168">
        <f t="shared" ref="BQ57" si="81">82-BP57</f>
        <v>57</v>
      </c>
      <c r="BR57" s="178">
        <f t="shared" ref="BR57" si="82">BP57/(BP57+BQ57)</f>
        <v>0.3048780487804878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15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72">
        <f t="shared" ref="BP59" si="83">BO59+BO60</f>
        <v>25</v>
      </c>
      <c r="BQ59" s="168">
        <f t="shared" ref="BQ59" si="84">82-BP59</f>
        <v>57</v>
      </c>
      <c r="BR59" s="178">
        <f t="shared" ref="BR59" si="85">BP59/(BP59+BQ59)</f>
        <v>0.3048780487804878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13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26</v>
      </c>
      <c r="BQ61" s="168">
        <f t="shared" ref="BQ61" si="87">82-BP61</f>
        <v>56</v>
      </c>
      <c r="BR61" s="178">
        <f t="shared" ref="BR61" si="88">BP61/(BP61+BQ61)</f>
        <v>0.31707317073170732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72">
        <f t="shared" ref="BP63" si="89">BO63+BO64</f>
        <v>26</v>
      </c>
      <c r="BQ63" s="168">
        <f t="shared" ref="BQ63" si="90">82-BP63</f>
        <v>56</v>
      </c>
      <c r="BR63" s="178">
        <f t="shared" ref="BR63" si="91">BP63/(BP63+BQ63)</f>
        <v>0.31707317073170732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11</v>
      </c>
      <c r="BP65" s="172">
        <f t="shared" ref="BP65" si="92">BO65+BO66</f>
        <v>26</v>
      </c>
      <c r="BQ65" s="168">
        <f t="shared" ref="BQ65" si="93">82-BP65</f>
        <v>56</v>
      </c>
      <c r="BR65" s="178">
        <f>BP65/(BP65+BQ65)</f>
        <v>0.31707317073170732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421</v>
      </c>
      <c r="BQ67" s="27">
        <f>SUM(BQ3:BQ66)/2</f>
        <v>891</v>
      </c>
    </row>
    <row r="68" spans="1:70" x14ac:dyDescent="0.25">
      <c r="BP68" s="43">
        <f>2*BP67/SUM(BP3:BQ66)</f>
        <v>0.32088414634146339</v>
      </c>
      <c r="BQ68" s="43">
        <f>2*BQ67/SUM(BP3:BQ66)</f>
        <v>0.67911585365853655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72">
        <f>BO3+BO4</f>
        <v>20</v>
      </c>
      <c r="BQ3" s="168">
        <f>82-BP3</f>
        <v>62</v>
      </c>
      <c r="BR3" s="178">
        <f t="shared" ref="BR3:BR67" si="0">BP3/(BP3+BQ3)</f>
        <v>0.24390243902439024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72">
        <f t="shared" ref="BP5" si="2">BO5+BO6</f>
        <v>23</v>
      </c>
      <c r="BQ5" s="168">
        <f t="shared" ref="BQ5" si="3">82-BP5</f>
        <v>59</v>
      </c>
      <c r="BR5" s="178">
        <f t="shared" si="0"/>
        <v>0.28048780487804881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72">
        <f t="shared" ref="BP7" si="4">BO7+BO8</f>
        <v>22</v>
      </c>
      <c r="BQ7" s="168">
        <f t="shared" ref="BQ7" si="5">82-BP7</f>
        <v>60</v>
      </c>
      <c r="BR7" s="178">
        <f t="shared" si="0"/>
        <v>0.26829268292682928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22</v>
      </c>
      <c r="BQ9" s="168">
        <f t="shared" ref="BQ9" si="7">82-BP9</f>
        <v>60</v>
      </c>
      <c r="BR9" s="178">
        <f t="shared" si="0"/>
        <v>0.26829268292682928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11</v>
      </c>
      <c r="BP11" s="172">
        <f t="shared" ref="BP11" si="8">BO11+BO12</f>
        <v>18</v>
      </c>
      <c r="BQ11" s="168">
        <f t="shared" ref="BQ11" si="9">82-BP11</f>
        <v>64</v>
      </c>
      <c r="BR11" s="178">
        <f t="shared" si="0"/>
        <v>0.21951219512195122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28</v>
      </c>
      <c r="BQ13" s="168">
        <f t="shared" ref="BQ13" si="11">82-BP13</f>
        <v>54</v>
      </c>
      <c r="BR13" s="178">
        <f t="shared" si="0"/>
        <v>0.34146341463414637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11</v>
      </c>
      <c r="BP15" s="172">
        <f t="shared" ref="BP15" si="12">BO15+BO16</f>
        <v>24</v>
      </c>
      <c r="BQ15" s="168">
        <f t="shared" ref="BQ15" si="13">82-BP15</f>
        <v>58</v>
      </c>
      <c r="BR15" s="178">
        <f t="shared" si="0"/>
        <v>0.29268292682926828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72">
        <f t="shared" ref="BP17" si="14">BO17+BO18</f>
        <v>23</v>
      </c>
      <c r="BQ17" s="168">
        <f t="shared" ref="BQ17" si="15">82-BP17</f>
        <v>59</v>
      </c>
      <c r="BR17" s="178">
        <f t="shared" si="0"/>
        <v>0.28048780487804881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72">
        <f t="shared" ref="BP19" si="16">BO19+BO20</f>
        <v>22</v>
      </c>
      <c r="BQ19" s="168">
        <f t="shared" ref="BQ19" si="17">82-BP19</f>
        <v>60</v>
      </c>
      <c r="BR19" s="178">
        <f t="shared" si="0"/>
        <v>0.26829268292682928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72">
        <f t="shared" ref="BP21" si="18">BO21+BO22</f>
        <v>26</v>
      </c>
      <c r="BQ21" s="168">
        <f t="shared" ref="BQ21" si="19">82-BP21</f>
        <v>56</v>
      </c>
      <c r="BR21" s="178">
        <f t="shared" si="0"/>
        <v>0.31707317073170732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26</v>
      </c>
      <c r="BQ23" s="168">
        <f t="shared" ref="BQ23" si="21">82-BP23</f>
        <v>56</v>
      </c>
      <c r="BR23" s="178">
        <f t="shared" si="0"/>
        <v>0.31707317073170732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10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22</v>
      </c>
      <c r="BQ25" s="168">
        <f t="shared" ref="BQ25" si="23">82-BP25</f>
        <v>60</v>
      </c>
      <c r="BR25" s="178">
        <f t="shared" si="0"/>
        <v>0.26829268292682928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13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72">
        <f t="shared" ref="BP27" si="24">BO27+BO28</f>
        <v>19</v>
      </c>
      <c r="BQ27" s="168">
        <f t="shared" ref="BQ27" si="25">82-BP27</f>
        <v>63</v>
      </c>
      <c r="BR27" s="178">
        <f t="shared" si="0"/>
        <v>0.23170731707317074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9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9</v>
      </c>
      <c r="BP29" s="172">
        <f t="shared" ref="BP29" si="26">BO29+BO30</f>
        <v>19</v>
      </c>
      <c r="BQ29" s="168">
        <f t="shared" ref="BQ29" si="27">82-BP29</f>
        <v>63</v>
      </c>
      <c r="BR29" s="178">
        <f t="shared" si="0"/>
        <v>0.23170731707317074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72">
        <f t="shared" ref="BP31" si="28">BO31+BO32</f>
        <v>24</v>
      </c>
      <c r="BQ31" s="168">
        <f t="shared" ref="BQ31" si="29">82-BP31</f>
        <v>58</v>
      </c>
      <c r="BR31" s="178">
        <f t="shared" si="0"/>
        <v>0.29268292682926828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12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22</v>
      </c>
      <c r="BQ33" s="168">
        <f t="shared" ref="BQ33" si="31">82-BP33</f>
        <v>60</v>
      </c>
      <c r="BR33" s="178">
        <f t="shared" si="0"/>
        <v>0.26829268292682928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12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72">
        <f t="shared" ref="BP35" si="32">BO35+BO36</f>
        <v>20</v>
      </c>
      <c r="BQ35" s="168">
        <f t="shared" ref="BQ35" si="33">82-BP35</f>
        <v>62</v>
      </c>
      <c r="BR35" s="178">
        <f t="shared" si="0"/>
        <v>0.24390243902439024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20</v>
      </c>
      <c r="BQ37" s="168">
        <f t="shared" ref="BQ37" si="35">82-BP37</f>
        <v>62</v>
      </c>
      <c r="BR37" s="178">
        <f t="shared" si="0"/>
        <v>0.24390243902439024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9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72">
        <f t="shared" ref="BP39" si="36">BO39+BO40</f>
        <v>25</v>
      </c>
      <c r="BQ39" s="168">
        <f t="shared" ref="BQ39" si="37">82-BP39</f>
        <v>57</v>
      </c>
      <c r="BR39" s="178">
        <f t="shared" si="0"/>
        <v>0.3048780487804878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11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24</v>
      </c>
      <c r="BQ41" s="168">
        <f t="shared" ref="BQ41" si="39">82-BP41</f>
        <v>58</v>
      </c>
      <c r="BR41" s="178">
        <f t="shared" si="0"/>
        <v>0.29268292682926828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18</v>
      </c>
      <c r="BQ43" s="168">
        <f t="shared" ref="BQ43" si="41">82-BP43</f>
        <v>64</v>
      </c>
      <c r="BR43" s="178">
        <f t="shared" si="0"/>
        <v>0.21951219512195122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10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12</v>
      </c>
      <c r="BP45" s="172">
        <f t="shared" ref="BP45" si="42">BO45+BO46</f>
        <v>21</v>
      </c>
      <c r="BQ45" s="168">
        <f t="shared" ref="BQ45" si="43">82-BP45</f>
        <v>61</v>
      </c>
      <c r="BR45" s="178">
        <f t="shared" si="0"/>
        <v>0.25609756097560976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21</v>
      </c>
      <c r="BQ47" s="168">
        <f t="shared" ref="BQ47" si="45">82-BP47</f>
        <v>61</v>
      </c>
      <c r="BR47" s="178">
        <f t="shared" si="0"/>
        <v>0.25609756097560976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72">
        <f t="shared" ref="BP49" si="46">BO49+BO50</f>
        <v>21</v>
      </c>
      <c r="BQ49" s="168">
        <f t="shared" ref="BQ49" si="47">82-BP49</f>
        <v>61</v>
      </c>
      <c r="BR49" s="178">
        <f t="shared" si="0"/>
        <v>0.25609756097560976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72">
        <f t="shared" ref="BP51" si="48">BO51+BO52</f>
        <v>22</v>
      </c>
      <c r="BQ51" s="168">
        <f t="shared" ref="BQ51" si="49">82-BP51</f>
        <v>60</v>
      </c>
      <c r="BR51" s="178">
        <f t="shared" si="0"/>
        <v>0.26829268292682928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72">
        <f t="shared" ref="BP53" si="50">BO53+BO54</f>
        <v>21</v>
      </c>
      <c r="BQ53" s="168">
        <f t="shared" ref="BQ53" si="51">82-BP53</f>
        <v>61</v>
      </c>
      <c r="BR53" s="178">
        <f t="shared" si="0"/>
        <v>0.25609756097560976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10</v>
      </c>
      <c r="BP55" s="172">
        <f t="shared" ref="BP55" si="52">BO55+BO56</f>
        <v>24</v>
      </c>
      <c r="BQ55" s="168">
        <f t="shared" ref="BQ55" si="53">82-BP55</f>
        <v>58</v>
      </c>
      <c r="BR55" s="178">
        <f t="shared" si="0"/>
        <v>0.29268292682926828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13</v>
      </c>
      <c r="BP57" s="172">
        <f t="shared" ref="BP57" si="54">BO57+BO58</f>
        <v>24</v>
      </c>
      <c r="BQ57" s="168">
        <f t="shared" ref="BQ57" si="55">82-BP57</f>
        <v>58</v>
      </c>
      <c r="BR57" s="178">
        <f t="shared" si="0"/>
        <v>0.29268292682926828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24</v>
      </c>
      <c r="BQ59" s="168">
        <f t="shared" ref="BQ59" si="57">82-BP59</f>
        <v>58</v>
      </c>
      <c r="BR59" s="178">
        <f t="shared" si="0"/>
        <v>0.29268292682926828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21</v>
      </c>
      <c r="BQ61" s="168">
        <f t="shared" ref="BQ61" si="59">82-BP61</f>
        <v>61</v>
      </c>
      <c r="BR61" s="178">
        <f t="shared" si="0"/>
        <v>0.25609756097560976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10</v>
      </c>
      <c r="BP63" s="172">
        <f t="shared" ref="BP63" si="60">BO63+BO64</f>
        <v>20</v>
      </c>
      <c r="BQ63" s="168">
        <f t="shared" ref="BQ63" si="61">82-BP63</f>
        <v>62</v>
      </c>
      <c r="BR63" s="178">
        <f t="shared" si="0"/>
        <v>0.24390243902439024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9</v>
      </c>
      <c r="BP65" s="172">
        <f t="shared" ref="BP65" si="62">BO65+BO66</f>
        <v>20</v>
      </c>
      <c r="BQ65" s="168">
        <f t="shared" ref="BQ65" si="63">82-BP65</f>
        <v>62</v>
      </c>
      <c r="BR65" s="178">
        <f t="shared" si="0"/>
        <v>0.24390243902439024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353</v>
      </c>
      <c r="BQ67" s="26">
        <f>SUM(BQ3:BQ66)/2</f>
        <v>959</v>
      </c>
      <c r="BR67" s="135">
        <f t="shared" si="0"/>
        <v>0.26905487804878048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topLeftCell="A22" zoomScaleNormal="100" workbookViewId="0">
      <pane xSplit="1" topLeftCell="CR1" activePane="topRight" state="frozen"/>
      <selection pane="topRight" activeCell="DC33" sqref="DC3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23</v>
      </c>
      <c r="E2" s="10">
        <f>Table3[[#This Row],[Watched]]/Table3[[#This Row],[GP]]</f>
        <v>0.88461538461538458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26</v>
      </c>
      <c r="K2">
        <f>82-Table3[[#This Row],[GP]]</f>
        <v>56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0.73076923076923073</v>
      </c>
      <c r="AC2">
        <f>Table3[[#This Row],[W_A]]+Table3[[#This Row],[W_H]]</f>
        <v>19</v>
      </c>
      <c r="AD2">
        <f>Table3[[#This Row],[L_A]]+Table3[[#This Row],[L_H]]</f>
        <v>7</v>
      </c>
      <c r="AE2">
        <f>Table3[[#This Row],[RW_A]]+Table3[[#This Row],[RW_H]]</f>
        <v>18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0.26923076923076922</v>
      </c>
      <c r="AO2">
        <f>(2*(Table3[[#This Row],[W_A]]+Table3[[#This Row],[W_H]]))+Table3[[#This Row],[OTL_A]]+Table3[[#This Row],[SOL_A]]+Table3[[#This Row],[OTL_H]]+Table3[[#This Row],[SOL_H]]</f>
        <v>44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62</v>
      </c>
      <c r="AQ2" s="10">
        <f>Table3[[#This Row],[PTS]]/(2*Table3[[#This Row],[GP]])</f>
        <v>0.84615384615384615</v>
      </c>
      <c r="AR2" s="10">
        <f>Table3[[#This Row],[PTS2]]/(3*Table3[[#This Row],[GP]])</f>
        <v>0.79487179487179482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138.76923076923077</v>
      </c>
      <c r="AV2">
        <f>Table3[[#This Row],[PTS2]]+(3 * Table3[[#This Row],[GR]] * Table3[[#This Row],[PTS%2]])</f>
        <v>195.53846153846152</v>
      </c>
      <c r="AW2" s="15" t="str">
        <f>_xlfn.CONCAT(TEXT(Table3[[#This Row],[W]], "0"), "-", TEXT(Table3[[#This Row],[RL]],"0"), "-", TEXT(Table3[[#This Row],[OTL]]+Table3[[#This Row],[SOL]], "0"))</f>
        <v>19-1-6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106</v>
      </c>
      <c r="BG2">
        <f t="shared" ref="BG2:BG33" si="6">AZ2+BD2</f>
        <v>56</v>
      </c>
      <c r="BH2">
        <f t="shared" ref="BH2:BH33" si="7">BF2-BG2</f>
        <v>50</v>
      </c>
      <c r="BI2" s="12">
        <f>Table3[[#This Row],[GF]]/Table3[[#This Row],[GP]]</f>
        <v>4.0769230769230766</v>
      </c>
      <c r="BJ2" s="12">
        <f>Table3[[#This Row],[GA]]/Table3[[#This Row],[GP]]</f>
        <v>2.1538461538461537</v>
      </c>
      <c r="BK2" s="12">
        <f>(Table3[[#This Row],[GF]]-Table3[[#This Row],[GA]])/Table3[[#This Row],[GP]]</f>
        <v>1.9230769230769231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33.1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102.38757396449702</v>
      </c>
      <c r="BR2" s="16">
        <f>(Table3[[#This Row],[W]]*0.7) + ((Table3[[#This Row],[GF]] - Table3[[#This Row],[GA]])*0.25)+(Table3[[#This Row],[GF]]*0.1)+(Table3[[#This Row],[GA]]*0.05)+(Table3[[#This Row],[L]]*0.3)</f>
        <v>41.3</v>
      </c>
      <c r="BS2" s="16">
        <f>Table3[[#This Row],[TeamCost83]]/Table3[[#This Row],[GP]]</f>
        <v>1.5884615384615384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12</v>
      </c>
      <c r="BV2">
        <f t="shared" ref="BV2:BV33" si="8">BT2+BU2</f>
        <v>24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0.92307692307692313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15.8</v>
      </c>
      <c r="CL2">
        <f>Table3[[#This Row],[Column5]]/Table3[[#This Row],[GP]]</f>
        <v>0.60769230769230775</v>
      </c>
      <c r="CR2" t="s">
        <v>139</v>
      </c>
      <c r="CS2">
        <f>SUM($J$2:$J$33)/2</f>
        <v>421</v>
      </c>
      <c r="CW2" t="s">
        <v>57</v>
      </c>
      <c r="CX2" s="14" t="s">
        <v>150</v>
      </c>
      <c r="CY2">
        <f>INDEX($J$2:$J$33,MATCH("CGY",$A$2:$A$33,0),1)</f>
        <v>28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22</v>
      </c>
      <c r="E3" s="10">
        <f>Table3[[#This Row],[Watched]]/Table3[[#This Row],[GP]]</f>
        <v>0.7857142857142857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 t="shared" si="0"/>
        <v>28</v>
      </c>
      <c r="K3">
        <f>82-Table3[[#This Row],[GP]]</f>
        <v>54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0.6428571428571429</v>
      </c>
      <c r="AC3">
        <f>Table3[[#This Row],[W_A]]+Table3[[#This Row],[W_H]]</f>
        <v>18</v>
      </c>
      <c r="AD3">
        <f>Table3[[#This Row],[L_A]]+Table3[[#This Row],[L_H]]</f>
        <v>10</v>
      </c>
      <c r="AE3">
        <f>Table3[[#This Row],[RW_A]]+Table3[[#This Row],[RW_H]]</f>
        <v>15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3-5</v>
      </c>
      <c r="AL3">
        <f>SUM(Table3[[#This Row],[OTW]],Table3[[#This Row],[OTL]],Table3[[#This Row],[SOW]],Table3[[#This Row],[SOL]])</f>
        <v>8</v>
      </c>
      <c r="AM3">
        <f>(Table3[[#This Row],[OTW]]+Table3[[#This Row],[SOW]])/IF(Table3[[#This Row],[Total_ExtraTimes]]=0,1,Table3[[#This Row],[Total_ExtraTimes]])</f>
        <v>0.375</v>
      </c>
      <c r="AN3">
        <f>Table3[[#This Row],[Total_ExtraTimes]]/MAX(1,Table3[[#This Row],[GP]])</f>
        <v>0.2857142857142857</v>
      </c>
      <c r="AO3">
        <f>(2*(Table3[[#This Row],[W_A]]+Table3[[#This Row],[W_H]]))+Table3[[#This Row],[OTL_A]]+Table3[[#This Row],[SOL_A]]+Table3[[#This Row],[OTL_H]]+Table3[[#This Row],[SOL_H]]</f>
        <v>41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3" s="10">
        <f>Table3[[#This Row],[PTS]]/(2*Table3[[#This Row],[GP]])</f>
        <v>0.7321428571428571</v>
      </c>
      <c r="AR3" s="10">
        <f>Table3[[#This Row],[PTS2]]/(3*Table3[[#This Row],[GP]])</f>
        <v>0.66666666666666663</v>
      </c>
      <c r="AS3">
        <f>(2*Table3[[#This Row],[GR]])+Table3[[#This Row],[PTS]]</f>
        <v>149</v>
      </c>
      <c r="AT3">
        <f>(3*Table3[[#This Row],[GR]])+Table3[[#This Row],[PTS2]]</f>
        <v>218</v>
      </c>
      <c r="AU3">
        <f>Table3[[#This Row],[PTS]]+(2 * Table3[[#This Row],[GR]] * Table3[[#This Row],[PTS%]])</f>
        <v>120.07142857142857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18-5-5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 t="shared" si="3"/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 t="shared" si="4"/>
        <v>7</v>
      </c>
      <c r="BF3">
        <f t="shared" si="5"/>
        <v>98</v>
      </c>
      <c r="BG3">
        <f t="shared" si="6"/>
        <v>74</v>
      </c>
      <c r="BH3">
        <f t="shared" si="7"/>
        <v>24</v>
      </c>
      <c r="BI3" s="12">
        <f>Table3[[#This Row],[GF]]/Table3[[#This Row],[GP]]</f>
        <v>3.5</v>
      </c>
      <c r="BJ3" s="12">
        <f>Table3[[#This Row],[GA]]/Table3[[#This Row],[GP]]</f>
        <v>2.6428571428571428</v>
      </c>
      <c r="BK3" s="12">
        <f>(Table3[[#This Row],[GF]]-Table3[[#This Row],[GA]])/Table3[[#This Row],[GP]]</f>
        <v>0.8571428571428571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34.1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100.12882653061226</v>
      </c>
      <c r="BR3" s="16">
        <f>(Table3[[#This Row],[W]]*0.7) + ((Table3[[#This Row],[GF]] - Table3[[#This Row],[GA]])*0.25)+(Table3[[#This Row],[GF]]*0.1)+(Table3[[#This Row],[GA]]*0.05)+(Table3[[#This Row],[L]]*0.3)</f>
        <v>35.1</v>
      </c>
      <c r="BS3" s="16">
        <f>Table3[[#This Row],[TeamCost83]]/Table3[[#This Row],[GP]]</f>
        <v>1.2535714285714286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10</v>
      </c>
      <c r="BV3">
        <f t="shared" si="8"/>
        <v>18</v>
      </c>
      <c r="BW3">
        <f t="shared" si="9"/>
        <v>7</v>
      </c>
      <c r="BX3">
        <f t="shared" si="10"/>
        <v>3</v>
      </c>
      <c r="BY3">
        <f t="shared" si="11"/>
        <v>10</v>
      </c>
      <c r="BZ3">
        <f>Table3[[#This Row],[TimesPredictedWinner]]/Table3[[#This Row],[GP]]</f>
        <v>0.6428571428571429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0.48928571428571427</v>
      </c>
      <c r="CR3" t="s">
        <v>137</v>
      </c>
      <c r="CS3">
        <f>SUM($D$2:$D$33)/2</f>
        <v>353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0.15624999999999997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21</v>
      </c>
      <c r="E4" s="10">
        <f>Table3[[#This Row],[Watched]]/Table3[[#This Row],[GP]]</f>
        <v>0.80769230769230771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 t="shared" si="0"/>
        <v>26</v>
      </c>
      <c r="K4">
        <f>82-Table3[[#This Row],[GP]]</f>
        <v>56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5</v>
      </c>
      <c r="Q4">
        <f>COUNTIFS(DataRegularSeason20242025!$D$3:$D$1315,$A4, DataRegularSeason20242025!$S$3:$S$1315, $A4,DataRegularSeason20242025!$M$3:$M$1315,"REG")</f>
        <v>3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0.61538461538461542</v>
      </c>
      <c r="AC4">
        <f>Table3[[#This Row],[W_A]]+Table3[[#This Row],[W_H]]</f>
        <v>16</v>
      </c>
      <c r="AD4">
        <f>Table3[[#This Row],[L_A]]+Table3[[#This Row],[L_H]]</f>
        <v>10</v>
      </c>
      <c r="AE4">
        <f>Table3[[#This Row],[RW_A]]+Table3[[#This Row],[RW_H]]</f>
        <v>13</v>
      </c>
      <c r="AF4">
        <f>Table3[[#This Row],[RL_A]]+Table3[[#This Row],[RL_H]]</f>
        <v>8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0.19230769230769232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0.65384615384615385</v>
      </c>
      <c r="AR4" s="10">
        <f>Table3[[#This Row],[PTS2]]/(3*Table3[[#This Row],[GP]])</f>
        <v>0.60256410256410253</v>
      </c>
      <c r="AS4">
        <f>(2*Table3[[#This Row],[GR]])+Table3[[#This Row],[PTS]]</f>
        <v>146</v>
      </c>
      <c r="AT4">
        <f>(3*Table3[[#This Row],[GR]])+Table3[[#This Row],[PTS2]]</f>
        <v>215</v>
      </c>
      <c r="AU4">
        <f>Table3[[#This Row],[PTS]]+(2 * Table3[[#This Row],[GR]] * Table3[[#This Row],[PTS%]])</f>
        <v>107.23076923076923</v>
      </c>
      <c r="AV4">
        <f>Table3[[#This Row],[PTS2]]+(3 * Table3[[#This Row],[GR]] * Table3[[#This Row],[PTS%2]])</f>
        <v>148.23076923076923</v>
      </c>
      <c r="AW4" s="15" t="str">
        <f>_xlfn.CONCAT(TEXT(Table3[[#This Row],[W]], "0"), "-", TEXT(Table3[[#This Row],[RL]],"0"), "-", TEXT(Table3[[#This Row],[OTL]]+Table3[[#This Row],[SOL]], "0"))</f>
        <v>16-8-2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45</v>
      </c>
      <c r="AZ4">
        <f>SUMIF(DataRegularSeason20242025!$D$3:$D$1315,$A4, DataRegularSeason20242025!$K$3:$K$1315)</f>
        <v>31</v>
      </c>
      <c r="BA4">
        <f t="shared" si="3"/>
        <v>14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 t="shared" si="4"/>
        <v>4</v>
      </c>
      <c r="BF4">
        <f t="shared" si="5"/>
        <v>85</v>
      </c>
      <c r="BG4">
        <f t="shared" si="6"/>
        <v>67</v>
      </c>
      <c r="BH4">
        <f t="shared" si="7"/>
        <v>18</v>
      </c>
      <c r="BI4" s="12">
        <f>Table3[[#This Row],[GF]]/Table3[[#This Row],[GP]]</f>
        <v>3.2692307692307692</v>
      </c>
      <c r="BJ4" s="12">
        <f>Table3[[#This Row],[GA]]/Table3[[#This Row],[GP]]</f>
        <v>2.5769230769230771</v>
      </c>
      <c r="BK4" s="12">
        <f>(Table3[[#This Row],[GF]]-Table3[[#This Row],[GA]])/Table3[[#This Row],[GP]]</f>
        <v>0.69230769230769229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8-3-2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0.69230769230769229</v>
      </c>
      <c r="BP4" s="16">
        <f>(Table3[[#This Row],[W]]*$CX$3)+(Table3[[#This Row],[L]]*$CX$4)+(Table3[[#This Row],[GF]]*$CX$5)+(Table3[[#This Row],[GA]]*$CX$6)</f>
        <v>30.45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93.150887573964511</v>
      </c>
      <c r="BR4" s="16">
        <f>(Table3[[#This Row],[W]]*0.7) + ((Table3[[#This Row],[GF]] - Table3[[#This Row],[GA]])*0.25)+(Table3[[#This Row],[GF]]*0.1)+(Table3[[#This Row],[GA]]*0.05)+(Table3[[#This Row],[L]]*0.3)</f>
        <v>30.55</v>
      </c>
      <c r="BS4" s="16">
        <f>Table3[[#This Row],[TeamCost83]]/Table3[[#This Row],[GP]]</f>
        <v>1.175</v>
      </c>
      <c r="BT4">
        <f>COUNTIFS(Table2[AwayTeam],$A4,Table2[PredictedWinner], $A4, Table2[GameIsOver], 1)</f>
        <v>5</v>
      </c>
      <c r="BU4">
        <f>COUNTIFS(Table2[HomeTeam],$A4,Table2[PredictedWinner], $A4, Table2[GameIsOver], 1)</f>
        <v>7</v>
      </c>
      <c r="BV4">
        <f t="shared" si="8"/>
        <v>12</v>
      </c>
      <c r="BW4">
        <f t="shared" si="9"/>
        <v>8</v>
      </c>
      <c r="BX4">
        <f t="shared" si="10"/>
        <v>6</v>
      </c>
      <c r="BY4">
        <f t="shared" si="11"/>
        <v>14</v>
      </c>
      <c r="BZ4">
        <f>Table3[[#This Row],[TimesPredictedWinner]]/Table3[[#This Row],[GP]]</f>
        <v>0.46153846153846156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0.47307692307692312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0.19791666666666666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 t="shared" si="0"/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 t="shared" si="4"/>
        <v>9</v>
      </c>
      <c r="BF5">
        <f t="shared" si="5"/>
        <v>86</v>
      </c>
      <c r="BG5">
        <f t="shared" si="6"/>
        <v>70</v>
      </c>
      <c r="BH5">
        <f t="shared" si="7"/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 t="shared" si="8"/>
        <v>20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2593</v>
      </c>
      <c r="CW5" t="s">
        <v>67</v>
      </c>
      <c r="CX5" s="16">
        <v>0.15</v>
      </c>
      <c r="CY5">
        <f>INDEX($BF$2:$BF$33,MATCH("CGY",$A$2:$A$33,0),1)</f>
        <v>66</v>
      </c>
      <c r="CZ5">
        <f>CY5/CY2</f>
        <v>2.3571428571428572</v>
      </c>
      <c r="DA5" s="16">
        <f>CX5*CY5</f>
        <v>9.9</v>
      </c>
      <c r="DB5" s="10">
        <f>DA5/$DA$7</f>
        <v>0.34374999999999994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22</v>
      </c>
      <c r="E6" s="10">
        <f>Table3[[#This Row],[Watched]]/Table3[[#This Row],[GP]]</f>
        <v>0.81481481481481477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13</v>
      </c>
      <c r="I6">
        <f>41-Table3[[#This Row],[GP_H]]</f>
        <v>28</v>
      </c>
      <c r="J6">
        <f t="shared" si="0"/>
        <v>27</v>
      </c>
      <c r="K6">
        <f>82-Table3[[#This Row],[GP]]</f>
        <v>55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4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0.59259259259259256</v>
      </c>
      <c r="AC6">
        <f>Table3[[#This Row],[W_A]]+Table3[[#This Row],[W_H]]</f>
        <v>16</v>
      </c>
      <c r="AD6">
        <f>Table3[[#This Row],[L_A]]+Table3[[#This Row],[L_H]]</f>
        <v>11</v>
      </c>
      <c r="AE6">
        <f>Table3[[#This Row],[RW_A]]+Table3[[#This Row],[RW_H]]</f>
        <v>10</v>
      </c>
      <c r="AF6">
        <f>Table3[[#This Row],[RL_A]]+Table3[[#This Row],[RL_H]]</f>
        <v>10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0.25925925925925924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0.61111111111111116</v>
      </c>
      <c r="AR6" s="10">
        <f>Table3[[#This Row],[PTS2]]/(3*Table3[[#This Row],[GP]])</f>
        <v>0.53086419753086422</v>
      </c>
      <c r="AS6">
        <f>(2*Table3[[#This Row],[GR]])+Table3[[#This Row],[PTS]]</f>
        <v>143</v>
      </c>
      <c r="AT6">
        <f>(3*Table3[[#This Row],[GR]])+Table3[[#This Row],[PTS2]]</f>
        <v>208</v>
      </c>
      <c r="AU6">
        <f>Table3[[#This Row],[PTS]]+(2 * Table3[[#This Row],[GR]] * Table3[[#This Row],[PTS%]])</f>
        <v>100.22222222222223</v>
      </c>
      <c r="AV6">
        <f>Table3[[#This Row],[PTS2]]+(3 * Table3[[#This Row],[GR]] * Table3[[#This Row],[PTS%2]])</f>
        <v>130.59259259259261</v>
      </c>
      <c r="AW6" s="15" t="str">
        <f>_xlfn.CONCAT(TEXT(Table3[[#This Row],[W]], "0"), "-", TEXT(Table3[[#This Row],[RL]],"0"), "-", TEXT(Table3[[#This Row],[OTL]]+Table3[[#This Row],[SOL]], "0"))</f>
        <v>16-10-1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 t="shared" si="3"/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40</v>
      </c>
      <c r="BD6">
        <f>SUMIF(DataRegularSeason20242025!$E$3:$E$1315,$A6,DataRegularSeason20242025!$J$3:$J$1315)</f>
        <v>34</v>
      </c>
      <c r="BE6">
        <f t="shared" si="4"/>
        <v>6</v>
      </c>
      <c r="BF6">
        <f t="shared" si="5"/>
        <v>83</v>
      </c>
      <c r="BG6">
        <f t="shared" si="6"/>
        <v>82</v>
      </c>
      <c r="BH6">
        <f t="shared" si="7"/>
        <v>1</v>
      </c>
      <c r="BI6" s="12">
        <f>Table3[[#This Row],[GF]]/Table3[[#This Row],[GP]]</f>
        <v>3.074074074074074</v>
      </c>
      <c r="BJ6" s="12">
        <f>Table3[[#This Row],[GA]]/Table3[[#This Row],[GP]]</f>
        <v>3.0370370370370372</v>
      </c>
      <c r="BK6" s="12">
        <f>(Table3[[#This Row],[GF]]-Table3[[#This Row],[GA]])/Table3[[#This Row],[GP]]</f>
        <v>3.7037037037037035E-2</v>
      </c>
      <c r="BL6" s="42" t="str">
        <f>_xlfn.CONCAT(TEXT(Table3[[#This Row],[W_H]], "0"), "-", TEXT(Table3[[#This Row],[RL_H]],"0"), "-", TEXT(Table3[[#This Row],[OTL_H]]+Table3[[#This Row],[SOL_H]], "0"))</f>
        <v>9-3-1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0.73076923076923073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31.950000000000003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95.947119341563791</v>
      </c>
      <c r="BR6" s="16">
        <f>(Table3[[#This Row],[W]]*0.7) + ((Table3[[#This Row],[GF]] - Table3[[#This Row],[GA]])*0.25)+(Table3[[#This Row],[GF]]*0.1)+(Table3[[#This Row],[GA]]*0.05)+(Table3[[#This Row],[L]]*0.3)</f>
        <v>27.150000000000002</v>
      </c>
      <c r="BS6" s="16">
        <f>Table3[[#This Row],[TeamCost83]]/Table3[[#This Row],[GP]]</f>
        <v>1.0055555555555555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12</v>
      </c>
      <c r="BV6">
        <f t="shared" si="8"/>
        <v>19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0.70370370370370372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0.51111111111111096</v>
      </c>
      <c r="CR6" t="s">
        <v>141</v>
      </c>
      <c r="CS6">
        <f>SUM($AX$2:$AX$33)+SUM($BB$2:$BB$33)</f>
        <v>42</v>
      </c>
      <c r="CW6" t="s">
        <v>68</v>
      </c>
      <c r="CX6" s="16">
        <v>0.1</v>
      </c>
      <c r="CY6">
        <f>INDEX($BG$2:$BG$33,MATCH("CGY",$A$2:$A$33,0),1)</f>
        <v>87</v>
      </c>
      <c r="CZ6">
        <f>CY6/CY2</f>
        <v>3.1071428571428572</v>
      </c>
      <c r="DA6" s="16">
        <f>CX6*CY6</f>
        <v>8.7000000000000011</v>
      </c>
      <c r="DB6" s="10">
        <f>DA6/$DA$7</f>
        <v>0.30208333333333331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0.70370370370370372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27</v>
      </c>
      <c r="K7">
        <f>82-Table3[[#This Row],[GP]]</f>
        <v>55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6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 t="shared" si="2"/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0.55555555555555558</v>
      </c>
      <c r="AC7">
        <f>Table3[[#This Row],[W_A]]+Table3[[#This Row],[W_H]]</f>
        <v>15</v>
      </c>
      <c r="AD7">
        <f>Table3[[#This Row],[L_A]]+Table3[[#This Row],[L_H]]</f>
        <v>12</v>
      </c>
      <c r="AE7">
        <f>Table3[[#This Row],[RW_A]]+Table3[[#This Row],[RW_H]]</f>
        <v>9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0.40740740740740738</v>
      </c>
      <c r="AO7">
        <f>(2*(Table3[[#This Row],[W_A]]+Table3[[#This Row],[W_H]]))+Table3[[#This Row],[OTL_A]]+Table3[[#This Row],[SOL_A]]+Table3[[#This Row],[OTL_H]]+Table3[[#This Row],[SOL_H]]</f>
        <v>35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7" s="10">
        <f>Table3[[#This Row],[PTS]]/(2*Table3[[#This Row],[GP]])</f>
        <v>0.64814814814814814</v>
      </c>
      <c r="AR7" s="10">
        <f>Table3[[#This Row],[PTS2]]/(3*Table3[[#This Row],[GP]])</f>
        <v>0.54320987654320985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106.29629629629629</v>
      </c>
      <c r="AV7">
        <f>Table3[[#This Row],[PTS2]]+(3 * Table3[[#This Row],[GR]] * Table3[[#This Row],[PTS%2]])</f>
        <v>133.62962962962962</v>
      </c>
      <c r="AW7" s="15" t="str">
        <f>_xlfn.CONCAT(TEXT(Table3[[#This Row],[W]], "0"), "-", TEXT(Table3[[#This Row],[RL]],"0"), "-", TEXT(Table3[[#This Row],[OTL]]+Table3[[#This Row],[SOL]], "0"))</f>
        <v>15-7-5</v>
      </c>
      <c r="AX7">
        <f>COUNTIFS(DataRegularSeason20242025!$D$3:$D$1315,Table3[[#This Row],[Teams]],DataRegularSeason20242025!$K$3:$K$1315,0)</f>
        <v>4</v>
      </c>
      <c r="AY7">
        <f>SUMIF(DataRegularSeason20242025!$D$3:$D$1315,$A7, DataRegularSeason20242025!$J$3:$J$1315)</f>
        <v>34</v>
      </c>
      <c r="AZ7">
        <f>SUMIF(DataRegularSeason20242025!$D$3:$D$1315,$A7, DataRegularSeason20242025!$K$3:$K$1315)</f>
        <v>26</v>
      </c>
      <c r="BA7">
        <f t="shared" si="3"/>
        <v>8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 t="shared" si="4"/>
        <v>-3</v>
      </c>
      <c r="BF7">
        <f t="shared" si="5"/>
        <v>77</v>
      </c>
      <c r="BG7">
        <f t="shared" si="6"/>
        <v>72</v>
      </c>
      <c r="BH7">
        <f t="shared" si="7"/>
        <v>5</v>
      </c>
      <c r="BI7" s="12">
        <f>Table3[[#This Row],[GF]]/Table3[[#This Row],[GP]]</f>
        <v>2.8518518518518516</v>
      </c>
      <c r="BJ7" s="12">
        <f>Table3[[#This Row],[GA]]/Table3[[#This Row],[GP]]</f>
        <v>2.6666666666666665</v>
      </c>
      <c r="BK7" s="12">
        <f>(Table3[[#This Row],[GF]]-Table3[[#This Row],[GA]])/Table3[[#This Row],[GP]]</f>
        <v>0.18518518518518517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7-4-1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0.625</v>
      </c>
      <c r="BP7" s="16">
        <f>(Table3[[#This Row],[W]]*$CX$3)+(Table3[[#This Row],[L]]*$CX$4)+(Table3[[#This Row],[GF]]*$CX$5)+(Table3[[#This Row],[GA]]*$CX$6)</f>
        <v>29.849999999999998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88.09924554183813</v>
      </c>
      <c r="BR7" s="16">
        <f>(Table3[[#This Row],[W]]*0.7) + ((Table3[[#This Row],[GF]] - Table3[[#This Row],[GA]])*0.25)+(Table3[[#This Row],[GF]]*0.1)+(Table3[[#This Row],[GA]]*0.05)+(Table3[[#This Row],[L]]*0.3)</f>
        <v>26.65</v>
      </c>
      <c r="BS7" s="16">
        <f>Table3[[#This Row],[TeamCost83]]/Table3[[#This Row],[GP]]</f>
        <v>0.98703703703703694</v>
      </c>
      <c r="BT7">
        <f>COUNTIFS(Table2[AwayTeam],$A7,Table2[PredictedWinner], $A7, Table2[GameIsOver], 1)</f>
        <v>4</v>
      </c>
      <c r="BU7">
        <f>COUNTIFS(Table2[HomeTeam],$A7,Table2[PredictedWinner], $A7, Table2[GameIsOver], 1)</f>
        <v>10</v>
      </c>
      <c r="BV7">
        <f t="shared" si="8"/>
        <v>14</v>
      </c>
      <c r="BW7">
        <f t="shared" si="9"/>
        <v>8</v>
      </c>
      <c r="BX7">
        <f t="shared" si="10"/>
        <v>5</v>
      </c>
      <c r="BY7">
        <f t="shared" si="11"/>
        <v>13</v>
      </c>
      <c r="BZ7">
        <f>Table3[[#This Row],[TimesPredictedWinner]]/Table3[[#This Row],[GP]]</f>
        <v>0.51851851851851849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12.399999999999999</v>
      </c>
      <c r="CL7">
        <f>Table3[[#This Row],[Column5]]/Table3[[#This Row],[GP]]</f>
        <v>0.4592592592592592</v>
      </c>
      <c r="CR7" t="s">
        <v>142</v>
      </c>
      <c r="CS7">
        <f>SUM($AG$2:$AG$33)</f>
        <v>76</v>
      </c>
      <c r="CW7" t="s">
        <v>543</v>
      </c>
      <c r="CX7">
        <f>INDEX($AQ$2:$AQ$33,MATCH("CGY",$A$2:$A$33,0),1)</f>
        <v>0.39285714285714285</v>
      </c>
      <c r="CZ7" s="17">
        <f>(CX4+(ABS(CX3-CX4)*CX7))+(CX5*CZ5)+(CX6*CZ6)</f>
        <v>1.0428571428571429</v>
      </c>
      <c r="DA7" s="88">
        <f>SUM(DA3:DA6)</f>
        <v>28.800000000000004</v>
      </c>
      <c r="DD7" t="s">
        <v>763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20</v>
      </c>
      <c r="E8" s="10">
        <f>Table3[[#This Row],[Watched]]/Table3[[#This Row],[GP]]</f>
        <v>0.76923076923076927</v>
      </c>
      <c r="F8">
        <f>COUNTIFS(DataRegularSeason20242025!$N$3:$N$1315,1,DataRegularSeason20242025!$D$3:$D$1315,$A8)</f>
        <v>14</v>
      </c>
      <c r="G8">
        <f>41-Table3[[#This Row],[GP_A]]</f>
        <v>27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 t="shared" si="0"/>
        <v>26</v>
      </c>
      <c r="K8">
        <f>82-Table3[[#This Row],[GP]]</f>
        <v>56</v>
      </c>
      <c r="L8">
        <f>COUNTIFS(DataRegularSeason20242025!$D$3:$D$1315,$A8, DataRegularSeason20242025!$L$3:$L$1315, $A8,DataRegularSeason20242025!$N$3:$N$1315,1)</f>
        <v>7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2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 t="shared" si="1"/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9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1</v>
      </c>
      <c r="X8">
        <f t="shared" si="2"/>
        <v>3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0.61538461538461542</v>
      </c>
      <c r="AC8">
        <f>Table3[[#This Row],[W_A]]+Table3[[#This Row],[W_H]]</f>
        <v>16</v>
      </c>
      <c r="AD8">
        <f>Table3[[#This Row],[L_A]]+Table3[[#This Row],[L_H]]</f>
        <v>10</v>
      </c>
      <c r="AE8">
        <f>Table3[[#This Row],[RW_A]]+Table3[[#This Row],[RW_H]]</f>
        <v>10</v>
      </c>
      <c r="AF8">
        <f>Table3[[#This Row],[RL_A]]+Table3[[#This Row],[RL_H]]</f>
        <v>9</v>
      </c>
      <c r="AG8">
        <f>Table3[[#This Row],[OTW_A]]+Table3[[#This Row],[OTW_H]]</f>
        <v>4</v>
      </c>
      <c r="AH8">
        <f>Table3[[#This Row],[OTL_A]]+Table3[[#This Row],[OTL_H]]</f>
        <v>1</v>
      </c>
      <c r="AI8">
        <f>Table3[[#This Row],[SOW_A]]+Table3[[#This Row],[SOW_H]]</f>
        <v>2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6-1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0.8571428571428571</v>
      </c>
      <c r="AN8">
        <f>Table3[[#This Row],[Total_ExtraTimes]]/MAX(1,Table3[[#This Row],[GP]])</f>
        <v>0.26923076923076922</v>
      </c>
      <c r="AO8">
        <f>(2*(Table3[[#This Row],[W_A]]+Table3[[#This Row],[W_H]]))+Table3[[#This Row],[OTL_A]]+Table3[[#This Row],[SOL_A]]+Table3[[#This Row],[OTL_H]]+Table3[[#This Row],[SOL_H]]</f>
        <v>33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8" s="10">
        <f>Table3[[#This Row],[PTS]]/(2*Table3[[#This Row],[GP]])</f>
        <v>0.63461538461538458</v>
      </c>
      <c r="AR8" s="10">
        <f>Table3[[#This Row],[PTS2]]/(3*Table3[[#This Row],[GP]])</f>
        <v>0.55128205128205132</v>
      </c>
      <c r="AS8">
        <f>(2*Table3[[#This Row],[GR]])+Table3[[#This Row],[PTS]]</f>
        <v>145</v>
      </c>
      <c r="AT8">
        <f>(3*Table3[[#This Row],[GR]])+Table3[[#This Row],[PTS2]]</f>
        <v>211</v>
      </c>
      <c r="AU8">
        <f>Table3[[#This Row],[PTS]]+(2 * Table3[[#This Row],[GR]] * Table3[[#This Row],[PTS%]])</f>
        <v>104.07692307692307</v>
      </c>
      <c r="AV8">
        <f>Table3[[#This Row],[PTS2]]+(3 * Table3[[#This Row],[GR]] * Table3[[#This Row],[PTS%2]])</f>
        <v>135.61538461538464</v>
      </c>
      <c r="AW8" s="15" t="str">
        <f>_xlfn.CONCAT(TEXT(Table3[[#This Row],[W]], "0"), "-", TEXT(Table3[[#This Row],[RL]],"0"), "-", TEXT(Table3[[#This Row],[OTL]]+Table3[[#This Row],[SOL]], "0"))</f>
        <v>16-9-1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49</v>
      </c>
      <c r="AZ8">
        <f>SUMIF(DataRegularSeason20242025!$D$3:$D$1315,$A8, DataRegularSeason20242025!$K$3:$K$1315)</f>
        <v>50</v>
      </c>
      <c r="BA8">
        <f t="shared" si="3"/>
        <v>-1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47</v>
      </c>
      <c r="BD8">
        <f>SUMIF(DataRegularSeason20242025!$E$3:$E$1315,$A8,DataRegularSeason20242025!$J$3:$J$1315)</f>
        <v>34</v>
      </c>
      <c r="BE8">
        <f t="shared" si="4"/>
        <v>13</v>
      </c>
      <c r="BF8">
        <f t="shared" si="5"/>
        <v>96</v>
      </c>
      <c r="BG8">
        <f t="shared" si="6"/>
        <v>84</v>
      </c>
      <c r="BH8">
        <f t="shared" si="7"/>
        <v>12</v>
      </c>
      <c r="BI8" s="12">
        <f>Table3[[#This Row],[GF]]/Table3[[#This Row],[GP]]</f>
        <v>3.6923076923076925</v>
      </c>
      <c r="BJ8" s="12">
        <f>Table3[[#This Row],[GA]]/Table3[[#This Row],[GP]]</f>
        <v>3.2307692307692308</v>
      </c>
      <c r="BK8" s="12">
        <f>(Table3[[#This Row],[GF]]-Table3[[#This Row],[GA]])/Table3[[#This Row],[GP]]</f>
        <v>0.46153846153846156</v>
      </c>
      <c r="BL8" s="42" t="str">
        <f>_xlfn.CONCAT(TEXT(Table3[[#This Row],[W_H]], "0"), "-", TEXT(Table3[[#This Row],[RL_H]],"0"), "-", TEXT(Table3[[#This Row],[OTL_H]]+Table3[[#This Row],[SOL_H]], "0"))</f>
        <v>9-3-0</v>
      </c>
      <c r="BM8" s="42" t="str">
        <f>_xlfn.CONCAT(TEXT(Table3[[#This Row],[W_A]], "0"), "-", TEXT(Table3[[#This Row],[RL_A]],"0"), "-", TEXT(Table3[[#This Row],[OTL_A]]+Table3[[#This Row],[SOL_A]], "0"))</f>
        <v>7-6-1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0.5357142857142857</v>
      </c>
      <c r="BP8" s="16">
        <f>(Table3[[#This Row],[W]]*$CX$3)+(Table3[[#This Row],[L]]*$CX$4)+(Table3[[#This Row],[GF]]*$CX$5)+(Table3[[#This Row],[GA]]*$CX$6)</f>
        <v>33.799999999999997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107.05414201183433</v>
      </c>
      <c r="BR8" s="16">
        <f>(Table3[[#This Row],[W]]*0.7) + ((Table3[[#This Row],[GF]] - Table3[[#This Row],[GA]])*0.25)+(Table3[[#This Row],[GF]]*0.1)+(Table3[[#This Row],[GA]]*0.05)+(Table3[[#This Row],[L]]*0.3)</f>
        <v>31</v>
      </c>
      <c r="BS8" s="16">
        <f>Table3[[#This Row],[TeamCost83]]/Table3[[#This Row],[GP]]</f>
        <v>1.1923076923076923</v>
      </c>
      <c r="BT8">
        <f>COUNTIFS(Table2[AwayTeam],$A8,Table2[PredictedWinner], $A8, Table2[GameIsOver], 1)</f>
        <v>10</v>
      </c>
      <c r="BU8">
        <f>COUNTIFS(Table2[HomeTeam],$A8,Table2[PredictedWinner], $A8, Table2[GameIsOver], 1)</f>
        <v>6</v>
      </c>
      <c r="BV8">
        <f t="shared" si="8"/>
        <v>16</v>
      </c>
      <c r="BW8">
        <f t="shared" si="9"/>
        <v>4</v>
      </c>
      <c r="BX8">
        <f t="shared" si="10"/>
        <v>6</v>
      </c>
      <c r="BY8">
        <f t="shared" si="11"/>
        <v>10</v>
      </c>
      <c r="BZ8">
        <f>Table3[[#This Row],[TimesPredictedWinner]]/Table3[[#This Row],[GP]]</f>
        <v>0.61538461538461542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6.1000000000000005</v>
      </c>
      <c r="CJ8">
        <f>SUMIFS(Table2[GamePredictionScore], Table2[HomeTeam], Table3[[#This Row],[Teams]])</f>
        <v>5.6999999999999993</v>
      </c>
      <c r="CK8">
        <f>Table3[[#This Row],[Column4]]+Table3[[#This Row],[Column3]]</f>
        <v>11.8</v>
      </c>
      <c r="CL8">
        <f>Table3[[#This Row],[Column5]]/Table3[[#This Row],[GP]]</f>
        <v>0.4538461538461539</v>
      </c>
      <c r="CR8" t="s">
        <v>143</v>
      </c>
      <c r="CS8">
        <f>SUM($AI$2:$AI$33)</f>
        <v>39</v>
      </c>
      <c r="CY8" t="s">
        <v>153</v>
      </c>
      <c r="CZ8" s="17">
        <f>CZ7*82</f>
        <v>85.51428571428572</v>
      </c>
      <c r="DA8" s="16">
        <f>DA7+((82-CY2)*CZ7)</f>
        <v>85.114285714285728</v>
      </c>
      <c r="DE8">
        <v>90.35</v>
      </c>
    </row>
    <row r="9" spans="1:144" x14ac:dyDescent="0.25">
      <c r="A9" t="s">
        <v>27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0.73076923076923073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 t="shared" si="0"/>
        <v>26</v>
      </c>
      <c r="K9">
        <f>82-Table3[[#This Row],[GP]]</f>
        <v>56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3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4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2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8</v>
      </c>
      <c r="Y9">
        <f>COUNTIFS(DataRegularSeason20242025!$E$3:$E$1315,$A9, DataRegularSeason20242025!$S$3:$S$1315, $A9,DataRegularSeason20242025!$M$3:$M$1315,"REG")</f>
        <v>5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0.46153846153846156</v>
      </c>
      <c r="AC9">
        <f>Table3[[#This Row],[W_A]]+Table3[[#This Row],[W_H]]</f>
        <v>12</v>
      </c>
      <c r="AD9">
        <f>Table3[[#This Row],[L_A]]+Table3[[#This Row],[L_H]]</f>
        <v>14</v>
      </c>
      <c r="AE9">
        <f>Table3[[#This Row],[RW_A]]+Table3[[#This Row],[RW_H]]</f>
        <v>7</v>
      </c>
      <c r="AF9">
        <f>Table3[[#This Row],[RL_A]]+Table3[[#This Row],[RL_H]]</f>
        <v>7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1</v>
      </c>
      <c r="AJ9">
        <f>Table3[[#This Row],[SOL_A]]+Table3[[#This Row],[SOL_H]]</f>
        <v>5</v>
      </c>
      <c r="AK9" s="15" t="str">
        <f>_xlfn.CONCAT(TEXT(Table3[[#This Row],[OTW]]+Table3[[#This Row],[SOW]], "0"), "-", TEXT(Table3[[#This Row],[OTL]]+Table3[[#This Row],[SOL]],"0"))</f>
        <v>5-7</v>
      </c>
      <c r="AL9">
        <f>SUM(Table3[[#This Row],[OTW]],Table3[[#This Row],[OTL]],Table3[[#This Row],[SOW]],Table3[[#This Row],[SOL]])</f>
        <v>12</v>
      </c>
      <c r="AM9">
        <f>(Table3[[#This Row],[OTW]]+Table3[[#This Row],[SOW]])/IF(Table3[[#This Row],[Total_ExtraTimes]]=0,1,Table3[[#This Row],[Total_ExtraTimes]])</f>
        <v>0.41666666666666669</v>
      </c>
      <c r="AN9">
        <f>Table3[[#This Row],[Total_ExtraTimes]]/MAX(1,Table3[[#This Row],[GP]])</f>
        <v>0.46153846153846156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9" s="10">
        <f>Table3[[#This Row],[PTS]]/(2*Table3[[#This Row],[GP]])</f>
        <v>0.59615384615384615</v>
      </c>
      <c r="AR9" s="10">
        <f>Table3[[#This Row],[PTS2]]/(3*Table3[[#This Row],[GP]])</f>
        <v>0.48717948717948717</v>
      </c>
      <c r="AS9">
        <f>(2*Table3[[#This Row],[GR]])+Table3[[#This Row],[PTS]]</f>
        <v>143</v>
      </c>
      <c r="AT9">
        <f>(3*Table3[[#This Row],[GR]])+Table3[[#This Row],[PTS2]]</f>
        <v>206</v>
      </c>
      <c r="AU9">
        <f>Table3[[#This Row],[PTS]]+(2 * Table3[[#This Row],[GR]] * Table3[[#This Row],[PTS%]])</f>
        <v>97.769230769230774</v>
      </c>
      <c r="AV9">
        <f>Table3[[#This Row],[PTS2]]+(3 * Table3[[#This Row],[GR]] * Table3[[#This Row],[PTS%2]])</f>
        <v>119.84615384615384</v>
      </c>
      <c r="AW9" s="15" t="str">
        <f>_xlfn.CONCAT(TEXT(Table3[[#This Row],[W]], "0"), "-", TEXT(Table3[[#This Row],[RL]],"0"), "-", TEXT(Table3[[#This Row],[OTL]]+Table3[[#This Row],[SOL]], "0"))</f>
        <v>12-7-7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48</v>
      </c>
      <c r="AZ9">
        <f>SUMIF(DataRegularSeason20242025!$D$3:$D$1315,$A9, DataRegularSeason20242025!$K$3:$K$1315)</f>
        <v>41</v>
      </c>
      <c r="BA9">
        <f t="shared" si="3"/>
        <v>7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21</v>
      </c>
      <c r="BD9">
        <f>SUMIF(DataRegularSeason20242025!$E$3:$E$1315,$A9,DataRegularSeason20242025!$J$3:$J$1315)</f>
        <v>32</v>
      </c>
      <c r="BE9">
        <f t="shared" si="4"/>
        <v>-11</v>
      </c>
      <c r="BF9">
        <f t="shared" si="5"/>
        <v>69</v>
      </c>
      <c r="BG9">
        <f t="shared" si="6"/>
        <v>73</v>
      </c>
      <c r="BH9">
        <f t="shared" si="7"/>
        <v>-4</v>
      </c>
      <c r="BI9" s="12">
        <f>Table3[[#This Row],[GF]]/Table3[[#This Row],[GP]]</f>
        <v>2.6538461538461537</v>
      </c>
      <c r="BJ9" s="12">
        <f>Table3[[#This Row],[GA]]/Table3[[#This Row],[GP]]</f>
        <v>2.8076923076923075</v>
      </c>
      <c r="BK9" s="12">
        <f>(Table3[[#This Row],[GF]]-Table3[[#This Row],[GA]])/Table3[[#This Row],[GP]]</f>
        <v>-0.15384615384615385</v>
      </c>
      <c r="BL9" s="42" t="str">
        <f>_xlfn.CONCAT(TEXT(Table3[[#This Row],[W_H]], "0"), "-", TEXT(Table3[[#This Row],[RL_H]],"0"), "-", TEXT(Table3[[#This Row],[OTL_H]]+Table3[[#This Row],[SOL_H]], "0"))</f>
        <v>3-5-3</v>
      </c>
      <c r="BM9" s="42" t="str">
        <f>_xlfn.CONCAT(TEXT(Table3[[#This Row],[W_A]], "0"), "-", TEXT(Table3[[#This Row],[RL_A]],"0"), "-", TEXT(Table3[[#This Row],[OTL_A]]+Table3[[#This Row],[SOL_A]], "0"))</f>
        <v>9-2-4</v>
      </c>
      <c r="BN9" s="42">
        <f>((2*(Table3[[#This Row],[W_H]]))+Table3[[#This Row],[OTL_H]]+Table3[[#This Row],[SOL_H]])/(2*Table3[[#This Row],[GP_H]])</f>
        <v>0.40909090909090912</v>
      </c>
      <c r="BO9" s="42">
        <f>((2*(Table3[[#This Row],[W_A]]))+Table3[[#This Row],[OTL_A]]+Table3[[#This Row],[SOL_A]])/(2*Table3[[#This Row],[GP_A]])</f>
        <v>0.73333333333333328</v>
      </c>
      <c r="BP9" s="16">
        <f>(Table3[[#This Row],[W]]*$CX$3)+(Table3[[#This Row],[L]]*$CX$4)+(Table3[[#This Row],[GF]]*$CX$5)+(Table3[[#This Row],[GA]]*$CX$6)</f>
        <v>27.849999999999998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84.837573964497039</v>
      </c>
      <c r="BR9" s="16">
        <f>(Table3[[#This Row],[W]]*0.7) + ((Table3[[#This Row],[GF]] - Table3[[#This Row],[GA]])*0.25)+(Table3[[#This Row],[GF]]*0.1)+(Table3[[#This Row],[GA]]*0.05)+(Table3[[#This Row],[L]]*0.3)</f>
        <v>22.15</v>
      </c>
      <c r="BS9" s="16">
        <f>Table3[[#This Row],[TeamCost83]]/Table3[[#This Row],[GP]]</f>
        <v>0.85192307692307689</v>
      </c>
      <c r="BT9">
        <f>COUNTIFS(Table2[AwayTeam],$A9,Table2[PredictedWinner], $A9, Table2[GameIsOver], 1)</f>
        <v>3</v>
      </c>
      <c r="BU9">
        <f>COUNTIFS(Table2[HomeTeam],$A9,Table2[PredictedWinner], $A9, Table2[GameIsOver], 1)</f>
        <v>4</v>
      </c>
      <c r="BV9">
        <f t="shared" si="8"/>
        <v>7</v>
      </c>
      <c r="BW9">
        <f t="shared" si="9"/>
        <v>12</v>
      </c>
      <c r="BX9">
        <f t="shared" si="10"/>
        <v>7</v>
      </c>
      <c r="BY9">
        <f t="shared" si="11"/>
        <v>19</v>
      </c>
      <c r="BZ9">
        <f>Table3[[#This Row],[TimesPredictedWinner]]/Table3[[#This Row],[GP]]</f>
        <v>0.26923076923076922</v>
      </c>
      <c r="CB9">
        <v>2014</v>
      </c>
      <c r="CD9" s="1">
        <v>45752</v>
      </c>
      <c r="CE9" t="str">
        <f>INDEX(Table2[AwayTeam], Table3[[#This Row],[Column2]])</f>
        <v>CHI</v>
      </c>
      <c r="CF9">
        <f>LARGE((Table2[[#This Row],[AwayTeam]]=Table3[[#This Row],[Teams]]), 1)</f>
        <v>1</v>
      </c>
      <c r="CI9">
        <f>SUMIFS(Table2[GamePredictionScore], Table2[AwayTeam], Table3[[#This Row],[Teams]])</f>
        <v>6.4</v>
      </c>
      <c r="CJ9">
        <f>SUMIFS(Table2[GamePredictionScore], Table2[HomeTeam], Table3[[#This Row],[Teams]])</f>
        <v>5.2000000000000011</v>
      </c>
      <c r="CK9">
        <f>Table3[[#This Row],[Column4]]+Table3[[#This Row],[Column3]]</f>
        <v>11.600000000000001</v>
      </c>
      <c r="CL9">
        <f>Table3[[#This Row],[Column5]]/Table3[[#This Row],[GP]]</f>
        <v>0.44615384615384623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1.0428571428571429</v>
      </c>
      <c r="DC9" t="s">
        <v>764</v>
      </c>
      <c r="DE9" s="16">
        <f>DE8+DA7</f>
        <v>119.15</v>
      </c>
    </row>
    <row r="10" spans="1:144" x14ac:dyDescent="0.25">
      <c r="A10" t="s">
        <v>20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0.84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12</v>
      </c>
      <c r="I10">
        <f>41-Table3[[#This Row],[GP_H]]</f>
        <v>29</v>
      </c>
      <c r="J10">
        <f t="shared" si="0"/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6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0.52</v>
      </c>
      <c r="AC10">
        <f>Table3[[#This Row],[W_A]]+Table3[[#This Row],[W_H]]</f>
        <v>13</v>
      </c>
      <c r="AD10">
        <f>Table3[[#This Row],[L_A]]+Table3[[#This Row],[L_H]]</f>
        <v>12</v>
      </c>
      <c r="AE10">
        <f>Table3[[#This Row],[RW_A]]+Table3[[#This Row],[RW_H]]</f>
        <v>12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1-5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0.16666666666666666</v>
      </c>
      <c r="AN10">
        <f>Table3[[#This Row],[Total_ExtraTimes]]/MAX(1,Table3[[#This Row],[GP]])</f>
        <v>0.24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0" s="10">
        <f>Table3[[#This Row],[PTS]]/(2*Table3[[#This Row],[GP]])</f>
        <v>0.62</v>
      </c>
      <c r="AR10" s="10">
        <f>Table3[[#This Row],[PTS2]]/(3*Table3[[#This Row],[GP]])</f>
        <v>0.57333333333333336</v>
      </c>
      <c r="AS10">
        <f>(2*Table3[[#This Row],[GR]])+Table3[[#This Row],[PTS]]</f>
        <v>145</v>
      </c>
      <c r="AT10">
        <f>(3*Table3[[#This Row],[GR]])+Table3[[#This Row],[PTS2]]</f>
        <v>214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141.04000000000002</v>
      </c>
      <c r="AW10" s="15" t="str">
        <f>_xlfn.CONCAT(TEXT(Table3[[#This Row],[W]], "0"), "-", TEXT(Table3[[#This Row],[RL]],"0"), "-", TEXT(Table3[[#This Row],[OTL]]+Table3[[#This Row],[SOL]], "0"))</f>
        <v>13-7-5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40</v>
      </c>
      <c r="AZ10">
        <f>SUMIF(DataRegularSeason20242025!$D$3:$D$1315,$A10, DataRegularSeason20242025!$K$3:$K$1315)</f>
        <v>30</v>
      </c>
      <c r="BA10">
        <f t="shared" si="3"/>
        <v>10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39</v>
      </c>
      <c r="BD10">
        <f>SUMIF(DataRegularSeason20242025!$E$3:$E$1315,$A10,DataRegularSeason20242025!$J$3:$J$1315)</f>
        <v>41</v>
      </c>
      <c r="BE10">
        <f t="shared" si="4"/>
        <v>-2</v>
      </c>
      <c r="BF10">
        <f t="shared" si="5"/>
        <v>79</v>
      </c>
      <c r="BG10">
        <f t="shared" si="6"/>
        <v>71</v>
      </c>
      <c r="BH10">
        <f t="shared" si="7"/>
        <v>8</v>
      </c>
      <c r="BI10" s="12">
        <f>Table3[[#This Row],[GF]]/Table3[[#This Row],[GP]]</f>
        <v>3.16</v>
      </c>
      <c r="BJ10" s="12">
        <f>Table3[[#This Row],[GA]]/Table3[[#This Row],[GP]]</f>
        <v>2.84</v>
      </c>
      <c r="BK10" s="12">
        <f>(Table3[[#This Row],[GF]]-Table3[[#This Row],[GA]])/Table3[[#This Row],[GP]]</f>
        <v>0.32</v>
      </c>
      <c r="BL10" s="42" t="str">
        <f>_xlfn.CONCAT(TEXT(Table3[[#This Row],[W_H]], "0"), "-", TEXT(Table3[[#This Row],[RL_H]],"0"), "-", TEXT(Table3[[#This Row],[OTL_H]]+Table3[[#This Row],[SOL_H]], "0"))</f>
        <v>6-4-2</v>
      </c>
      <c r="BM10" s="42" t="str">
        <f>_xlfn.CONCAT(TEXT(Table3[[#This Row],[W_A]], "0"), "-", TEXT(Table3[[#This Row],[RL_A]],"0"), "-", TEXT(Table3[[#This Row],[OTL_A]]+Table3[[#This Row],[SOL_A]], "0"))</f>
        <v>7-3-3</v>
      </c>
      <c r="BN10" s="42">
        <f>((2*(Table3[[#This Row],[W_H]]))+Table3[[#This Row],[OTL_H]]+Table3[[#This Row],[SOL_H]])/(2*Table3[[#This Row],[GP_H]])</f>
        <v>0.58333333333333337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29.05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92.596719999999976</v>
      </c>
      <c r="BR10" s="16">
        <f>(Table3[[#This Row],[W]]*0.7) + ((Table3[[#This Row],[GF]] - Table3[[#This Row],[GA]])*0.25)+(Table3[[#This Row],[GF]]*0.1)+(Table3[[#This Row],[GA]]*0.05)+(Table3[[#This Row],[L]]*0.3)</f>
        <v>26.15</v>
      </c>
      <c r="BS10" s="16">
        <f>Table3[[#This Row],[TeamCost83]]/Table3[[#This Row],[GP]]</f>
        <v>1.046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10</v>
      </c>
      <c r="BV10">
        <f t="shared" si="8"/>
        <v>16</v>
      </c>
      <c r="BW10">
        <f t="shared" si="9"/>
        <v>7</v>
      </c>
      <c r="BX10">
        <f t="shared" si="10"/>
        <v>2</v>
      </c>
      <c r="BY10">
        <f t="shared" si="11"/>
        <v>9</v>
      </c>
      <c r="BZ10">
        <f>Table3[[#This Row],[TimesPredictedWinner]]/Table3[[#This Row],[GP]]</f>
        <v>0.64</v>
      </c>
      <c r="CB10">
        <v>2017</v>
      </c>
      <c r="CC10" s="1">
        <v>45753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3.7</v>
      </c>
      <c r="CJ10">
        <f>SUMIFS(Table2[GamePredictionScore], Table2[HomeTeam], Table3[[#This Row],[Teams]])</f>
        <v>5</v>
      </c>
      <c r="CK10">
        <f>Table3[[#This Row],[Column4]]+Table3[[#This Row],[Column3]]</f>
        <v>8.6999999999999993</v>
      </c>
      <c r="CL10">
        <f>Table3[[#This Row],[Column5]]/Table3[[#This Row],[GP]]</f>
        <v>0.34799999999999998</v>
      </c>
      <c r="CR10" t="s">
        <v>147</v>
      </c>
      <c r="CS10" s="1">
        <f>_xlfn.MAXIFS(DataRegularSeason20242025!$B$3:$B$1315,DataRegularSeason20242025!$N$3:$N$1315,1)</f>
        <v>45994</v>
      </c>
      <c r="CW10" t="s">
        <v>153</v>
      </c>
      <c r="CX10" s="16">
        <f>CW9*82</f>
        <v>85.51428571428572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12</v>
      </c>
      <c r="G11">
        <f>41-Table3[[#This Row],[GP_A]]</f>
        <v>29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 t="shared" si="0"/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7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0.59259259259259256</v>
      </c>
      <c r="AC11">
        <f>Table3[[#This Row],[W_A]]+Table3[[#This Row],[W_H]]</f>
        <v>16</v>
      </c>
      <c r="AD11">
        <f>Table3[[#This Row],[L_A]]+Table3[[#This Row],[L_H]]</f>
        <v>11</v>
      </c>
      <c r="AE11">
        <f>Table3[[#This Row],[RW_A]]+Table3[[#This Row],[RW_H]]</f>
        <v>15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0.1111111111111111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1" s="10">
        <f>Table3[[#This Row],[PTS]]/(2*Table3[[#This Row],[GP]])</f>
        <v>0.62962962962962965</v>
      </c>
      <c r="AR11" s="10">
        <f>Table3[[#This Row],[PTS2]]/(3*Table3[[#This Row],[GP]])</f>
        <v>0.60493827160493829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103.25925925925927</v>
      </c>
      <c r="AV11">
        <f>Table3[[#This Row],[PTS2]]+(3 * Table3[[#This Row],[GR]] * Table3[[#This Row],[PTS%2]])</f>
        <v>148.81481481481484</v>
      </c>
      <c r="AW11" s="15" t="str">
        <f>_xlfn.CONCAT(TEXT(Table3[[#This Row],[W]], "0"), "-", TEXT(Table3[[#This Row],[RL]],"0"), "-", TEXT(Table3[[#This Row],[OTL]]+Table3[[#This Row],[SOL]], "0"))</f>
        <v>16-9-2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40</v>
      </c>
      <c r="AZ11">
        <f>SUMIF(DataRegularSeason20242025!$D$3:$D$1315,$A11, DataRegularSeason20242025!$K$3:$K$1315)</f>
        <v>29</v>
      </c>
      <c r="BA11">
        <f t="shared" si="3"/>
        <v>11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 t="shared" si="4"/>
        <v>10</v>
      </c>
      <c r="BF11">
        <f t="shared" si="5"/>
        <v>91</v>
      </c>
      <c r="BG11">
        <f t="shared" si="6"/>
        <v>70</v>
      </c>
      <c r="BH11">
        <f t="shared" si="7"/>
        <v>21</v>
      </c>
      <c r="BI11" s="12">
        <f>Table3[[#This Row],[GF]]/Table3[[#This Row],[GP]]</f>
        <v>3.3703703703703702</v>
      </c>
      <c r="BJ11" s="12">
        <f>Table3[[#This Row],[GA]]/Table3[[#This Row],[GP]]</f>
        <v>2.5925925925925926</v>
      </c>
      <c r="BK11" s="12">
        <f>(Table3[[#This Row],[GF]]-Table3[[#This Row],[GA]])/Table3[[#This Row],[GP]]</f>
        <v>0.77777777777777779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7-4-1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0.625</v>
      </c>
      <c r="BP11" s="16">
        <f>(Table3[[#This Row],[W]]*$CX$3)+(Table3[[#This Row],[L]]*$CX$4)+(Table3[[#This Row],[GF]]*$CX$5)+(Table3[[#This Row],[GA]]*$CX$6)</f>
        <v>31.950000000000003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95.958367626886144</v>
      </c>
      <c r="BR11" s="16">
        <f>(Table3[[#This Row],[W]]*0.7) + ((Table3[[#This Row],[GF]] - Table3[[#This Row],[GA]])*0.25)+(Table3[[#This Row],[GF]]*0.1)+(Table3[[#This Row],[GA]]*0.05)+(Table3[[#This Row],[L]]*0.3)</f>
        <v>32.349999999999994</v>
      </c>
      <c r="BS11" s="16">
        <f>Table3[[#This Row],[TeamCost83]]/Table3[[#This Row],[GP]]</f>
        <v>1.198148148148148</v>
      </c>
      <c r="BT11">
        <f>COUNTIFS(Table2[AwayTeam],$A11,Table2[PredictedWinner], $A11, Table2[GameIsOver], 1)</f>
        <v>7</v>
      </c>
      <c r="BU11">
        <f>COUNTIFS(Table2[HomeTeam],$A11,Table2[PredictedWinner], $A11, Table2[GameIsOver], 1)</f>
        <v>14</v>
      </c>
      <c r="BV11">
        <f t="shared" si="8"/>
        <v>21</v>
      </c>
      <c r="BW11">
        <f t="shared" si="9"/>
        <v>5</v>
      </c>
      <c r="BX11">
        <f t="shared" si="10"/>
        <v>1</v>
      </c>
      <c r="BY11">
        <f t="shared" si="11"/>
        <v>6</v>
      </c>
      <c r="BZ11">
        <f>Table3[[#This Row],[TimesPredictedWinner]]/Table3[[#This Row],[GP]]</f>
        <v>0.77777777777777779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6.8000000000000007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13.900000000000002</v>
      </c>
      <c r="CL11">
        <f>Table3[[#This Row],[Column5]]/Table3[[#This Row],[GP]]</f>
        <v>0.51481481481481495</v>
      </c>
      <c r="CR11" t="s">
        <v>148</v>
      </c>
      <c r="CS11">
        <f>$CS$2/($CS$10-$CS$9)</f>
        <v>7.3859649122807021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24</v>
      </c>
      <c r="E12" s="10">
        <f>Table3[[#This Row],[Watched]]/Table3[[#This Row],[GP]]</f>
        <v>0.96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13</v>
      </c>
      <c r="I12">
        <f>41-Table3[[#This Row],[GP_H]]</f>
        <v>28</v>
      </c>
      <c r="J12">
        <f t="shared" si="0"/>
        <v>25</v>
      </c>
      <c r="K12">
        <f>82-Table3[[#This Row],[GP]]</f>
        <v>57</v>
      </c>
      <c r="L12">
        <f>COUNTIFS(DataRegularSeason20242025!$D$3:$D$1315,$A12, DataRegularSeason20242025!$L$3:$L$1315, $A12,DataRegularSeason20242025!$N$3:$N$1315,1)</f>
        <v>7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7</v>
      </c>
      <c r="Y12">
        <f>COUNTIFS(DataRegularSeason20242025!$E$3:$E$1315,$A12, DataRegularSeason20242025!$S$3:$S$1315, $A12,DataRegularSeason20242025!$M$3:$M$1315,"REG")</f>
        <v>6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0.52</v>
      </c>
      <c r="AC12">
        <f>Table3[[#This Row],[W_A]]+Table3[[#This Row],[W_H]]</f>
        <v>13</v>
      </c>
      <c r="AD12">
        <f>Table3[[#This Row],[L_A]]+Table3[[#This Row],[L_H]]</f>
        <v>12</v>
      </c>
      <c r="AE12">
        <f>Table3[[#This Row],[RW_A]]+Table3[[#This Row],[RW_H]]</f>
        <v>8</v>
      </c>
      <c r="AF12">
        <f>Table3[[#This Row],[RL_A]]+Table3[[#This Row],[RL_H]]</f>
        <v>9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0.32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2" s="10">
        <f>Table3[[#This Row],[PTS]]/(2*Table3[[#This Row],[GP]])</f>
        <v>0.57999999999999996</v>
      </c>
      <c r="AR12" s="10">
        <f>Table3[[#This Row],[PTS2]]/(3*Table3[[#This Row],[GP]])</f>
        <v>0.49333333333333335</v>
      </c>
      <c r="AS12">
        <f>(2*Table3[[#This Row],[GR]])+Table3[[#This Row],[PTS]]</f>
        <v>143</v>
      </c>
      <c r="AT12">
        <f>(3*Table3[[#This Row],[GR]])+Table3[[#This Row],[PTS2]]</f>
        <v>208</v>
      </c>
      <c r="AU12">
        <f>Table3[[#This Row],[PTS]]+(2 * Table3[[#This Row],[GR]] * Table3[[#This Row],[PTS%]])</f>
        <v>95.11999999999999</v>
      </c>
      <c r="AV12">
        <f>Table3[[#This Row],[PTS2]]+(3 * Table3[[#This Row],[GR]] * Table3[[#This Row],[PTS%2]])</f>
        <v>121.36</v>
      </c>
      <c r="AW12" s="15" t="str">
        <f>_xlfn.CONCAT(TEXT(Table3[[#This Row],[W]], "0"), "-", TEXT(Table3[[#This Row],[RL]],"0"), "-", TEXT(Table3[[#This Row],[OTL]]+Table3[[#This Row],[SOL]], "0"))</f>
        <v>13-9-3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41</v>
      </c>
      <c r="AZ12">
        <f>SUMIF(DataRegularSeason20242025!$D$3:$D$1315,$A12, DataRegularSeason20242025!$K$3:$K$1315)</f>
        <v>40</v>
      </c>
      <c r="BA12">
        <f t="shared" si="3"/>
        <v>1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45</v>
      </c>
      <c r="BD12">
        <f>SUMIF(DataRegularSeason20242025!$E$3:$E$1315,$A12,DataRegularSeason20242025!$J$3:$J$1315)</f>
        <v>54</v>
      </c>
      <c r="BE12">
        <f t="shared" si="4"/>
        <v>-9</v>
      </c>
      <c r="BF12">
        <f t="shared" si="5"/>
        <v>86</v>
      </c>
      <c r="BG12">
        <f t="shared" si="6"/>
        <v>94</v>
      </c>
      <c r="BH12">
        <f t="shared" si="7"/>
        <v>-8</v>
      </c>
      <c r="BI12" s="12">
        <f>Table3[[#This Row],[GF]]/Table3[[#This Row],[GP]]</f>
        <v>3.44</v>
      </c>
      <c r="BJ12" s="12">
        <f>Table3[[#This Row],[GA]]/Table3[[#This Row],[GP]]</f>
        <v>3.76</v>
      </c>
      <c r="BK12" s="12">
        <f>(Table3[[#This Row],[GF]]-Table3[[#This Row],[GA]])/Table3[[#This Row],[GP]]</f>
        <v>-0.32</v>
      </c>
      <c r="BL12" s="42" t="str">
        <f>_xlfn.CONCAT(TEXT(Table3[[#This Row],[W_H]], "0"), "-", TEXT(Table3[[#This Row],[RL_H]],"0"), "-", TEXT(Table3[[#This Row],[OTL_H]]+Table3[[#This Row],[SOL_H]], "0"))</f>
        <v>6-6-1</v>
      </c>
      <c r="BM12" s="42" t="str">
        <f>_xlfn.CONCAT(TEXT(Table3[[#This Row],[W_A]], "0"), "-", TEXT(Table3[[#This Row],[RL_A]],"0"), "-", TEXT(Table3[[#This Row],[OTL_A]]+Table3[[#This Row],[SOL_A]], "0"))</f>
        <v>7-3-2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32.4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106.90848000000001</v>
      </c>
      <c r="BR12" s="16">
        <f>(Table3[[#This Row],[W]]*0.7) + ((Table3[[#This Row],[GF]] - Table3[[#This Row],[GA]])*0.25)+(Table3[[#This Row],[GF]]*0.1)+(Table3[[#This Row],[GA]]*0.05)+(Table3[[#This Row],[L]]*0.3)</f>
        <v>24</v>
      </c>
      <c r="BS12" s="16">
        <f>Table3[[#This Row],[TeamCost83]]/Table3[[#This Row],[GP]]</f>
        <v>0.96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9</v>
      </c>
      <c r="BV12">
        <f t="shared" si="8"/>
        <v>13</v>
      </c>
      <c r="BW12">
        <f t="shared" si="9"/>
        <v>8</v>
      </c>
      <c r="BX12">
        <f t="shared" si="10"/>
        <v>4</v>
      </c>
      <c r="BY12">
        <f t="shared" si="11"/>
        <v>12</v>
      </c>
      <c r="BZ12">
        <f>Table3[[#This Row],[TimesPredictedWinner]]/Table3[[#This Row],[GP]]</f>
        <v>0.52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7.6000000000000005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</v>
      </c>
      <c r="CL12">
        <f>Table3[[#This Row],[Column5]]/Table3[[#This Row],[GP]]</f>
        <v>0.57200000000000006</v>
      </c>
      <c r="CR12" t="s">
        <v>149</v>
      </c>
      <c r="CS12">
        <f>$CS$3/($CS$10-$CS$9)</f>
        <v>6.192982456140351</v>
      </c>
    </row>
    <row r="13" spans="1:144" x14ac:dyDescent="0.25">
      <c r="A13" t="s">
        <v>42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18</v>
      </c>
      <c r="E13" s="10">
        <f>Table3[[#This Row],[Watched]]/Table3[[#This Row],[GP]]</f>
        <v>0.72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 t="shared" si="0"/>
        <v>25</v>
      </c>
      <c r="K13">
        <f>82-Table3[[#This Row],[GP]]</f>
        <v>57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3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2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4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 t="shared" si="2"/>
        <v>6</v>
      </c>
      <c r="Y13">
        <f>COUNTIFS(DataRegularSeason20242025!$E$3:$E$1315,$A13, DataRegularSeason20242025!$S$3:$S$1315, $A13,DataRegularSeason20242025!$M$3:$M$1315,"REG")</f>
        <v>4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0.52</v>
      </c>
      <c r="AC13">
        <f>Table3[[#This Row],[W_A]]+Table3[[#This Row],[W_H]]</f>
        <v>13</v>
      </c>
      <c r="AD13">
        <f>Table3[[#This Row],[L_A]]+Table3[[#This Row],[L_H]]</f>
        <v>12</v>
      </c>
      <c r="AE13">
        <f>Table3[[#This Row],[RW_A]]+Table3[[#This Row],[RW_H]]</f>
        <v>7</v>
      </c>
      <c r="AF13">
        <f>Table3[[#This Row],[RL_A]]+Table3[[#This Row],[RL_H]]</f>
        <v>8</v>
      </c>
      <c r="AG13">
        <f>Table3[[#This Row],[OTW_A]]+Table3[[#This Row],[OTW_H]]</f>
        <v>2</v>
      </c>
      <c r="AH13">
        <f>Table3[[#This Row],[OTL_A]]+Table3[[#This Row],[OTL_H]]</f>
        <v>3</v>
      </c>
      <c r="AI13">
        <f>Table3[[#This Row],[SOW_A]]+Table3[[#This Row],[SOW_H]]</f>
        <v>4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6-4</v>
      </c>
      <c r="AL13">
        <f>SUM(Table3[[#This Row],[OTW]],Table3[[#This Row],[OTL]],Table3[[#This Row],[SOW]],Table3[[#This Row],[SOL]])</f>
        <v>10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0.4</v>
      </c>
      <c r="AO13">
        <f>(2*(Table3[[#This Row],[W_A]]+Table3[[#This Row],[W_H]]))+Table3[[#This Row],[OTL_A]]+Table3[[#This Row],[SOL_A]]+Table3[[#This Row],[OTL_H]]+Table3[[#This Row],[SOL_H]]</f>
        <v>30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</v>
      </c>
      <c r="AR13" s="10">
        <f>Table3[[#This Row],[PTS2]]/(3*Table3[[#This Row],[GP]])</f>
        <v>0.49333333333333335</v>
      </c>
      <c r="AS13">
        <f>(2*Table3[[#This Row],[GR]])+Table3[[#This Row],[PTS]]</f>
        <v>144</v>
      </c>
      <c r="AT13">
        <f>(3*Table3[[#This Row],[GR]])+Table3[[#This Row],[PTS2]]</f>
        <v>208</v>
      </c>
      <c r="AU13">
        <f>Table3[[#This Row],[PTS]]+(2 * Table3[[#This Row],[GR]] * Table3[[#This Row],[PTS%]])</f>
        <v>98.399999999999991</v>
      </c>
      <c r="AV13">
        <f>Table3[[#This Row],[PTS2]]+(3 * Table3[[#This Row],[GR]] * Table3[[#This Row],[PTS%2]])</f>
        <v>121.36</v>
      </c>
      <c r="AW13" s="15" t="str">
        <f>_xlfn.CONCAT(TEXT(Table3[[#This Row],[W]], "0"), "-", TEXT(Table3[[#This Row],[RL]],"0"), "-", TEXT(Table3[[#This Row],[OTL]]+Table3[[#This Row],[SOL]], "0"))</f>
        <v>13-8-4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32</v>
      </c>
      <c r="AZ13">
        <f>SUMIF(DataRegularSeason20242025!$D$3:$D$1315,$A13, DataRegularSeason20242025!$K$3:$K$1315)</f>
        <v>35</v>
      </c>
      <c r="BA13">
        <f t="shared" si="3"/>
        <v>-3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46</v>
      </c>
      <c r="BD13">
        <f>SUMIF(DataRegularSeason20242025!$E$3:$E$1315,$A13,DataRegularSeason20242025!$J$3:$J$1315)</f>
        <v>40</v>
      </c>
      <c r="BE13">
        <f t="shared" si="4"/>
        <v>6</v>
      </c>
      <c r="BF13">
        <f t="shared" si="5"/>
        <v>78</v>
      </c>
      <c r="BG13">
        <f t="shared" si="6"/>
        <v>75</v>
      </c>
      <c r="BH13">
        <f t="shared" si="7"/>
        <v>3</v>
      </c>
      <c r="BI13" s="12">
        <f>Table3[[#This Row],[GF]]/Table3[[#This Row],[GP]]</f>
        <v>3.12</v>
      </c>
      <c r="BJ13" s="12">
        <f>Table3[[#This Row],[GA]]/Table3[[#This Row],[GP]]</f>
        <v>3</v>
      </c>
      <c r="BK13" s="12">
        <f>(Table3[[#This Row],[GF]]-Table3[[#This Row],[GA]])/Table3[[#This Row],[GP]]</f>
        <v>0.12</v>
      </c>
      <c r="BL13" s="42" t="str">
        <f>_xlfn.CONCAT(TEXT(Table3[[#This Row],[W_H]], "0"), "-", TEXT(Table3[[#This Row],[RL_H]],"0"), "-", TEXT(Table3[[#This Row],[OTL_H]]+Table3[[#This Row],[SOL_H]], "0"))</f>
        <v>8-4-2</v>
      </c>
      <c r="BM13" s="42" t="str">
        <f>_xlfn.CONCAT(TEXT(Table3[[#This Row],[W_A]], "0"), "-", TEXT(Table3[[#This Row],[RL_A]],"0"), "-", TEXT(Table3[[#This Row],[OTL_A]]+Table3[[#This Row],[SOL_A]], "0"))</f>
        <v>5-4-2</v>
      </c>
      <c r="BN13" s="42">
        <f>((2*(Table3[[#This Row],[W_H]]))+Table3[[#This Row],[OTL_H]]+Table3[[#This Row],[SOL_H]])/(2*Table3[[#This Row],[GP_H]])</f>
        <v>0.6428571428571429</v>
      </c>
      <c r="BO13" s="42">
        <f>((2*(Table3[[#This Row],[W_A]]))+Table3[[#This Row],[OTL_A]]+Table3[[#This Row],[SOL_A]])/(2*Table3[[#This Row],[GP_A]])</f>
        <v>0.54545454545454541</v>
      </c>
      <c r="BP13" s="16">
        <f>(Table3[[#This Row],[W]]*$CX$3)+(Table3[[#This Row],[L]]*$CX$4)+(Table3[[#This Row],[GF]]*$CX$5)+(Table3[[#This Row],[GA]]*$CX$6)</f>
        <v>29.299999999999997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93.653599999999997</v>
      </c>
      <c r="BR13" s="16">
        <f>(Table3[[#This Row],[W]]*0.7) + ((Table3[[#This Row],[GF]] - Table3[[#This Row],[GA]])*0.25)+(Table3[[#This Row],[GF]]*0.1)+(Table3[[#This Row],[GA]]*0.05)+(Table3[[#This Row],[L]]*0.3)</f>
        <v>25</v>
      </c>
      <c r="BS13" s="16">
        <f>Table3[[#This Row],[TeamCost83]]/Table3[[#This Row],[GP]]</f>
        <v>1</v>
      </c>
      <c r="BT13">
        <f>COUNTIFS(Table2[AwayTeam],$A13,Table2[PredictedWinner], $A13, Table2[GameIsOver], 1)</f>
        <v>2</v>
      </c>
      <c r="BU13">
        <f>COUNTIFS(Table2[HomeTeam],$A13,Table2[PredictedWinner], $A13, Table2[GameIsOver], 1)</f>
        <v>4</v>
      </c>
      <c r="BV13">
        <f t="shared" si="8"/>
        <v>6</v>
      </c>
      <c r="BW13">
        <f t="shared" si="9"/>
        <v>9</v>
      </c>
      <c r="BX13">
        <f t="shared" si="10"/>
        <v>10</v>
      </c>
      <c r="BY13">
        <f t="shared" si="11"/>
        <v>19</v>
      </c>
      <c r="BZ13">
        <f>Table3[[#This Row],[TimesPredictedWinner]]/Table3[[#This Row],[GP]]</f>
        <v>0.24</v>
      </c>
      <c r="CB13">
        <v>1975</v>
      </c>
      <c r="CC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5.3000000000000007</v>
      </c>
      <c r="CJ13">
        <f>SUMIFS(Table2[GamePredictionScore], Table2[HomeTeam], Table3[[#This Row],[Teams]])</f>
        <v>7</v>
      </c>
      <c r="CK13">
        <f>Table3[[#This Row],[Column4]]+Table3[[#This Row],[Column3]]</f>
        <v>12.3</v>
      </c>
      <c r="CL13">
        <f>Table3[[#This Row],[Column5]]/Table3[[#This Row],[GP]]</f>
        <v>0.49200000000000005</v>
      </c>
      <c r="CR13" t="s">
        <v>154</v>
      </c>
      <c r="CS13">
        <f>(CS5/CS2)/2</f>
        <v>3.0795724465558196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21</v>
      </c>
      <c r="E14" s="10">
        <f>Table3[[#This Row],[Watched]]/Table3[[#This Row],[GP]]</f>
        <v>0.80769230769230771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 t="shared" si="0"/>
        <v>26</v>
      </c>
      <c r="K14">
        <f>82-Table3[[#This Row],[GP]]</f>
        <v>56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0.46153846153846156</v>
      </c>
      <c r="AC14">
        <f>Table3[[#This Row],[W_A]]+Table3[[#This Row],[W_H]]</f>
        <v>12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1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2-8</v>
      </c>
      <c r="AL14">
        <f>SUM(Table3[[#This Row],[OTW]],Table3[[#This Row],[OTL]],Table3[[#This Row],[SOW]],Table3[[#This Row],[SOL]])</f>
        <v>10</v>
      </c>
      <c r="AM14">
        <f>(Table3[[#This Row],[OTW]]+Table3[[#This Row],[SOW]])/IF(Table3[[#This Row],[Total_ExtraTimes]]=0,1,Table3[[#This Row],[Total_ExtraTimes]])</f>
        <v>0.2</v>
      </c>
      <c r="AN14">
        <f>Table3[[#This Row],[Total_ExtraTimes]]/MAX(1,Table3[[#This Row],[GP]])</f>
        <v>0.38461538461538464</v>
      </c>
      <c r="AO14">
        <f>(2*(Table3[[#This Row],[W_A]]+Table3[[#This Row],[W_H]]))+Table3[[#This Row],[OTL_A]]+Table3[[#This Row],[SOL_A]]+Table3[[#This Row],[OTL_H]]+Table3[[#This Row],[SOL_H]]</f>
        <v>32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4" s="10">
        <f>Table3[[#This Row],[PTS]]/(2*Table3[[#This Row],[GP]])</f>
        <v>0.61538461538461542</v>
      </c>
      <c r="AR14" s="10">
        <f>Table3[[#This Row],[PTS2]]/(3*Table3[[#This Row],[GP]])</f>
        <v>0.53846153846153844</v>
      </c>
      <c r="AS14">
        <f>(2*Table3[[#This Row],[GR]])+Table3[[#This Row],[PTS]]</f>
        <v>144</v>
      </c>
      <c r="AT14">
        <f>(3*Table3[[#This Row],[GR]])+Table3[[#This Row],[PTS2]]</f>
        <v>210</v>
      </c>
      <c r="AU14">
        <f>Table3[[#This Row],[PTS]]+(2 * Table3[[#This Row],[GR]] * Table3[[#This Row],[PTS%]])</f>
        <v>100.92307692307693</v>
      </c>
      <c r="AV14">
        <f>Table3[[#This Row],[PTS2]]+(3 * Table3[[#This Row],[GR]] * Table3[[#This Row],[PTS%2]])</f>
        <v>132.46153846153845</v>
      </c>
      <c r="AW14" s="15" t="str">
        <f>_xlfn.CONCAT(TEXT(Table3[[#This Row],[W]], "0"), "-", TEXT(Table3[[#This Row],[RL]],"0"), "-", TEXT(Table3[[#This Row],[OTL]]+Table3[[#This Row],[SOL]], "0"))</f>
        <v>12-6-8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 t="shared" si="3"/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50</v>
      </c>
      <c r="BD14">
        <f>SUMIF(DataRegularSeason20242025!$E$3:$E$1315,$A14,DataRegularSeason20242025!$J$3:$J$1315)</f>
        <v>50</v>
      </c>
      <c r="BE14">
        <f t="shared" si="4"/>
        <v>0</v>
      </c>
      <c r="BF14">
        <f t="shared" si="5"/>
        <v>80</v>
      </c>
      <c r="BG14">
        <f t="shared" si="6"/>
        <v>79</v>
      </c>
      <c r="BH14">
        <f t="shared" si="7"/>
        <v>1</v>
      </c>
      <c r="BI14" s="12">
        <f>Table3[[#This Row],[GF]]/Table3[[#This Row],[GP]]</f>
        <v>3.0769230769230771</v>
      </c>
      <c r="BJ14" s="12">
        <f>Table3[[#This Row],[GA]]/Table3[[#This Row],[GP]]</f>
        <v>3.0384615384615383</v>
      </c>
      <c r="BK14" s="12">
        <f>(Table3[[#This Row],[GF]]-Table3[[#This Row],[GA]])/Table3[[#This Row],[GP]]</f>
        <v>3.8461538461538464E-2</v>
      </c>
      <c r="BL14" s="42" t="str">
        <f>_xlfn.CONCAT(TEXT(Table3[[#This Row],[W_H]], "0"), "-", TEXT(Table3[[#This Row],[RL_H]],"0"), "-", TEXT(Table3[[#This Row],[OTL_H]]+Table3[[#This Row],[SOL_H]], "0"))</f>
        <v>7-4-4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0.6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30.1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94.195857988165699</v>
      </c>
      <c r="BR14" s="16">
        <f>(Table3[[#This Row],[W]]*0.7) + ((Table3[[#This Row],[GF]] - Table3[[#This Row],[GA]])*0.25)+(Table3[[#This Row],[GF]]*0.1)+(Table3[[#This Row],[GA]]*0.05)+(Table3[[#This Row],[L]]*0.3)</f>
        <v>24.799999999999997</v>
      </c>
      <c r="BS14" s="16">
        <f>Table3[[#This Row],[TeamCost83]]/Table3[[#This Row],[GP]]</f>
        <v>0.95384615384615379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 t="shared" si="8"/>
        <v>12</v>
      </c>
      <c r="BW14">
        <f t="shared" si="9"/>
        <v>5</v>
      </c>
      <c r="BX14">
        <f t="shared" si="10"/>
        <v>9</v>
      </c>
      <c r="BY14">
        <f t="shared" si="11"/>
        <v>14</v>
      </c>
      <c r="BZ14">
        <f>Table3[[#This Row],[TimesPredictedWinner]]/Table3[[#This Row],[GP]]</f>
        <v>0.46153846153846156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0.45769230769230773</v>
      </c>
      <c r="CR14" t="s">
        <v>460</v>
      </c>
      <c r="CS14">
        <f>CS7+CS8</f>
        <v>115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 t="shared" si="4"/>
        <v>-2</v>
      </c>
      <c r="BF15">
        <f t="shared" si="5"/>
        <v>59</v>
      </c>
      <c r="BG15">
        <f t="shared" si="6"/>
        <v>66</v>
      </c>
      <c r="BH15">
        <f t="shared" si="7"/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 t="shared" si="8"/>
        <v>8</v>
      </c>
      <c r="BW15">
        <f t="shared" si="9"/>
        <v>9</v>
      </c>
      <c r="BX15">
        <f t="shared" si="10"/>
        <v>7</v>
      </c>
      <c r="BY15">
        <f t="shared" si="11"/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0.27315914489311166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 t="shared" si="0"/>
        <v>26</v>
      </c>
      <c r="K16">
        <f>82-Table3[[#This Row],[GP]]</f>
        <v>56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</v>
      </c>
      <c r="AC16">
        <f>Table3[[#This Row],[W_A]]+Table3[[#This Row],[W_H]]</f>
        <v>13</v>
      </c>
      <c r="AD16">
        <f>Table3[[#This Row],[L_A]]+Table3[[#This Row],[L_H]]</f>
        <v>13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0.30769230769230771</v>
      </c>
      <c r="AO16">
        <f>(2*(Table3[[#This Row],[W_A]]+Table3[[#This Row],[W_H]]))+Table3[[#This Row],[OTL_A]]+Table3[[#This Row],[SOL_A]]+Table3[[#This Row],[OTL_H]]+Table3[[#This Row],[SOL_H]]</f>
        <v>30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6" s="10">
        <f>Table3[[#This Row],[PTS]]/(2*Table3[[#This Row],[GP]])</f>
        <v>0.57692307692307687</v>
      </c>
      <c r="AR16" s="10">
        <f>Table3[[#This Row],[PTS2]]/(3*Table3[[#This Row],[GP]])</f>
        <v>0.5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13-9-4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49</v>
      </c>
      <c r="AZ16">
        <f>SUMIF(DataRegularSeason20242025!$D$3:$D$1315,$A16, DataRegularSeason20242025!$K$3:$K$1315)</f>
        <v>56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 t="shared" si="4"/>
        <v>5</v>
      </c>
      <c r="BF16">
        <f t="shared" si="5"/>
        <v>84</v>
      </c>
      <c r="BG16">
        <f t="shared" si="6"/>
        <v>86</v>
      </c>
      <c r="BH16">
        <f t="shared" si="7"/>
        <v>-2</v>
      </c>
      <c r="BI16" s="12">
        <f>Table3[[#This Row],[GF]]/Table3[[#This Row],[GP]]</f>
        <v>3.2307692307692308</v>
      </c>
      <c r="BJ16" s="12">
        <f>Table3[[#This Row],[GA]]/Table3[[#This Row],[GP]]</f>
        <v>3.3076923076923075</v>
      </c>
      <c r="BK16" s="12">
        <f>(Table3[[#This Row],[GF]]-Table3[[#This Row],[GA]])/Table3[[#This Row],[GP]]</f>
        <v>-7.6923076923076927E-2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7-6-2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0.53333333333333333</v>
      </c>
      <c r="BP16" s="16">
        <f>(Table3[[#This Row],[W]]*$CX$3)+(Table3[[#This Row],[L]]*$CX$4)+(Table3[[#This Row],[GF]]*$CX$5)+(Table3[[#This Row],[GA]]*$CX$6)</f>
        <v>31.6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99.771597633136082</v>
      </c>
      <c r="BR16" s="16">
        <f>(Table3[[#This Row],[W]]*0.7) + ((Table3[[#This Row],[GF]] - Table3[[#This Row],[GA]])*0.25)+(Table3[[#This Row],[GF]]*0.1)+(Table3[[#This Row],[GA]]*0.05)+(Table3[[#This Row],[L]]*0.3)</f>
        <v>25.2</v>
      </c>
      <c r="BS16" s="16">
        <f>Table3[[#This Row],[TeamCost83]]/Table3[[#This Row],[GP]]</f>
        <v>0.96923076923076923</v>
      </c>
      <c r="BT16">
        <f>COUNTIFS(Table2[AwayTeam],$A16,Table2[PredictedWinner], $A16, Table2[GameIsOver], 1)</f>
        <v>9</v>
      </c>
      <c r="BU16">
        <f>COUNTIFS(Table2[HomeTeam],$A16,Table2[PredictedWinner], $A16, Table2[GameIsOver], 1)</f>
        <v>5</v>
      </c>
      <c r="BV16">
        <f t="shared" si="8"/>
        <v>14</v>
      </c>
      <c r="BW16">
        <f t="shared" si="9"/>
        <v>6</v>
      </c>
      <c r="BX16">
        <f t="shared" si="10"/>
        <v>6</v>
      </c>
      <c r="BY16">
        <f t="shared" si="11"/>
        <v>12</v>
      </c>
      <c r="BZ16">
        <f>Table3[[#This Row],[TimesPredictedWinner]]/Table3[[#This Row],[GP]]</f>
        <v>0.53846153846153844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3.4</v>
      </c>
      <c r="CK16">
        <f>Table3[[#This Row],[Column4]]+Table3[[#This Row],[Column3]]</f>
        <v>9.3000000000000007</v>
      </c>
      <c r="CL16">
        <f>Table3[[#This Row],[Column5]]/Table3[[#This Row],[GP]]</f>
        <v>0.3576923076923077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0.7407407407407407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 t="shared" si="0"/>
        <v>27</v>
      </c>
      <c r="K17">
        <f>82-Table3[[#This Row],[GP]]</f>
        <v>55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5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0.51851851851851849</v>
      </c>
      <c r="AC17">
        <f>Table3[[#This Row],[W_A]]+Table3[[#This Row],[W_H]]</f>
        <v>14</v>
      </c>
      <c r="AD17">
        <f>Table3[[#This Row],[L_A]]+Table3[[#This Row],[L_H]]</f>
        <v>13</v>
      </c>
      <c r="AE17">
        <f>Table3[[#This Row],[RW_A]]+Table3[[#This Row],[RW_H]]</f>
        <v>10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0.25925925925925924</v>
      </c>
      <c r="AO17">
        <f>(2*(Table3[[#This Row],[W_A]]+Table3[[#This Row],[W_H]]))+Table3[[#This Row],[OTL_A]]+Table3[[#This Row],[SOL_A]]+Table3[[#This Row],[OTL_H]]+Table3[[#This Row],[SOL_H]]</f>
        <v>31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7" s="10">
        <f>Table3[[#This Row],[PTS]]/(2*Table3[[#This Row],[GP]])</f>
        <v>0.57407407407407407</v>
      </c>
      <c r="AR17" s="10">
        <f>Table3[[#This Row],[PTS2]]/(3*Table3[[#This Row],[GP]])</f>
        <v>0.50617283950617287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94.148148148148152</v>
      </c>
      <c r="AV17">
        <f>Table3[[#This Row],[PTS2]]+(3 * Table3[[#This Row],[GR]] * Table3[[#This Row],[PTS%2]])</f>
        <v>124.51851851851852</v>
      </c>
      <c r="AW17" s="15" t="str">
        <f>_xlfn.CONCAT(TEXT(Table3[[#This Row],[W]], "0"), "-", TEXT(Table3[[#This Row],[RL]],"0"), "-", TEXT(Table3[[#This Row],[OTL]]+Table3[[#This Row],[SOL]], "0"))</f>
        <v>14-10-3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 t="shared" si="3"/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36</v>
      </c>
      <c r="BD17">
        <f>SUMIF(DataRegularSeason20242025!$E$3:$E$1315,$A17,DataRegularSeason20242025!$J$3:$J$1315)</f>
        <v>41</v>
      </c>
      <c r="BE17">
        <f t="shared" si="4"/>
        <v>-5</v>
      </c>
      <c r="BF17">
        <f t="shared" si="5"/>
        <v>78</v>
      </c>
      <c r="BG17">
        <f t="shared" si="6"/>
        <v>78</v>
      </c>
      <c r="BH17">
        <f t="shared" si="7"/>
        <v>0</v>
      </c>
      <c r="BI17" s="12">
        <f>Table3[[#This Row],[GF]]/Table3[[#This Row],[GP]]</f>
        <v>2.8888888888888888</v>
      </c>
      <c r="BJ17" s="12">
        <f>Table3[[#This Row],[GA]]/Table3[[#This Row],[GP]]</f>
        <v>2.8888888888888888</v>
      </c>
      <c r="BK17" s="12">
        <f>(Table3[[#This Row],[GF]]-Table3[[#This Row],[GA]])/Table3[[#This Row],[GP]]</f>
        <v>0</v>
      </c>
      <c r="BL17" s="42" t="str">
        <f>_xlfn.CONCAT(TEXT(Table3[[#This Row],[W_H]], "0"), "-", TEXT(Table3[[#This Row],[RL_H]],"0"), "-", TEXT(Table3[[#This Row],[OTL_H]]+Table3[[#This Row],[SOL_H]], "0"))</f>
        <v>6-6-2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30.400000000000002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90.882030178326488</v>
      </c>
      <c r="BR17" s="16">
        <f>(Table3[[#This Row],[W]]*0.7) + ((Table3[[#This Row],[GF]] - Table3[[#This Row],[GA]])*0.25)+(Table3[[#This Row],[GF]]*0.1)+(Table3[[#This Row],[GA]]*0.05)+(Table3[[#This Row],[L]]*0.3)</f>
        <v>25.4</v>
      </c>
      <c r="BS17" s="16">
        <f>Table3[[#This Row],[TeamCost83]]/Table3[[#This Row],[GP]]</f>
        <v>0.94074074074074066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 t="shared" si="8"/>
        <v>9</v>
      </c>
      <c r="BW17">
        <f t="shared" si="9"/>
        <v>12</v>
      </c>
      <c r="BX17">
        <f t="shared" si="10"/>
        <v>6</v>
      </c>
      <c r="BY17">
        <f t="shared" si="11"/>
        <v>18</v>
      </c>
      <c r="BZ17">
        <f>Table3[[#This Row],[TimesPredictedWinner]]/Table3[[#This Row],[GP]]</f>
        <v>0.33333333333333331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0.3925925925925926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15</v>
      </c>
      <c r="G18">
        <f>41-Table3[[#This Row],[GP_A]]</f>
        <v>26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 t="shared" si="0"/>
        <v>26</v>
      </c>
      <c r="K18">
        <f>82-Table3[[#This Row],[GP]]</f>
        <v>56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0.46153846153846156</v>
      </c>
      <c r="AC18">
        <f>Table3[[#This Row],[W_A]]+Table3[[#This Row],[W_H]]</f>
        <v>12</v>
      </c>
      <c r="AD18">
        <f>Table3[[#This Row],[L_A]]+Table3[[#This Row],[L_H]]</f>
        <v>14</v>
      </c>
      <c r="AE18">
        <f>Table3[[#This Row],[RW_A]]+Table3[[#This Row],[RW_H]]</f>
        <v>7</v>
      </c>
      <c r="AF18">
        <f>Table3[[#This Row],[RL_A]]+Table3[[#This Row],[RL_H]]</f>
        <v>9</v>
      </c>
      <c r="AG18">
        <f>Table3[[#This Row],[OTW_A]]+Table3[[#This Row],[OTW_H]]</f>
        <v>2</v>
      </c>
      <c r="AH18">
        <f>Table3[[#This Row],[OTL_A]]+Table3[[#This Row],[OTL_H]]</f>
        <v>4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5-5</v>
      </c>
      <c r="AL18">
        <f>SUM(Table3[[#This Row],[OTW]],Table3[[#This Row],[OTL]],Table3[[#This Row],[SOW]],Table3[[#This Row],[SOL]])</f>
        <v>10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0.38461538461538464</v>
      </c>
      <c r="AO18">
        <f>(2*(Table3[[#This Row],[W_A]]+Table3[[#This Row],[W_H]]))+Table3[[#This Row],[OTL_A]]+Table3[[#This Row],[SOL_A]]+Table3[[#This Row],[OTL_H]]+Table3[[#This Row],[SOL_H]]</f>
        <v>29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8" s="10">
        <f>Table3[[#This Row],[PTS]]/(2*Table3[[#This Row],[GP]])</f>
        <v>0.55769230769230771</v>
      </c>
      <c r="AR18" s="10">
        <f>Table3[[#This Row],[PTS2]]/(3*Table3[[#This Row],[GP]])</f>
        <v>0.46153846153846156</v>
      </c>
      <c r="AS18">
        <f>(2*Table3[[#This Row],[GR]])+Table3[[#This Row],[PTS]]</f>
        <v>141</v>
      </c>
      <c r="AT18">
        <f>(3*Table3[[#This Row],[GR]])+Table3[[#This Row],[PTS2]]</f>
        <v>204</v>
      </c>
      <c r="AU18">
        <f>Table3[[#This Row],[PTS]]+(2 * Table3[[#This Row],[GR]] * Table3[[#This Row],[PTS%]])</f>
        <v>91.461538461538467</v>
      </c>
      <c r="AV18">
        <f>Table3[[#This Row],[PTS2]]+(3 * Table3[[#This Row],[GR]] * Table3[[#This Row],[PTS%2]])</f>
        <v>113.53846153846155</v>
      </c>
      <c r="AW18" s="15" t="str">
        <f>_xlfn.CONCAT(TEXT(Table3[[#This Row],[W]], "0"), "-", TEXT(Table3[[#This Row],[RL]],"0"), "-", TEXT(Table3[[#This Row],[OTL]]+Table3[[#This Row],[SOL]], "0"))</f>
        <v>12-9-5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50</v>
      </c>
      <c r="BA18">
        <f t="shared" si="3"/>
        <v>-2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 t="shared" si="4"/>
        <v>-4</v>
      </c>
      <c r="BF18">
        <f t="shared" si="5"/>
        <v>78</v>
      </c>
      <c r="BG18">
        <f t="shared" si="6"/>
        <v>84</v>
      </c>
      <c r="BH18">
        <f t="shared" si="7"/>
        <v>-6</v>
      </c>
      <c r="BI18" s="12">
        <f>Table3[[#This Row],[GF]]/Table3[[#This Row],[GP]]</f>
        <v>3</v>
      </c>
      <c r="BJ18" s="12">
        <f>Table3[[#This Row],[GA]]/Table3[[#This Row],[GP]]</f>
        <v>3.2307692307692308</v>
      </c>
      <c r="BK18" s="12">
        <f>(Table3[[#This Row],[GF]]-Table3[[#This Row],[GA]])/Table3[[#This Row],[GP]]</f>
        <v>-0.23076923076923078</v>
      </c>
      <c r="BL18" s="42" t="str">
        <f>_xlfn.CONCAT(TEXT(Table3[[#This Row],[W_H]], "0"), "-", TEXT(Table3[[#This Row],[RL_H]],"0"), "-", TEXT(Table3[[#This Row],[OTL_H]]+Table3[[#This Row],[SOL_H]], "0"))</f>
        <v>5-3-3</v>
      </c>
      <c r="BM18" s="42" t="str">
        <f>_xlfn.CONCAT(TEXT(Table3[[#This Row],[W_A]], "0"), "-", TEXT(Table3[[#This Row],[RL_A]],"0"), "-", TEXT(Table3[[#This Row],[OTL_A]]+Table3[[#This Row],[SOL_A]], "0"))</f>
        <v>7-6-2</v>
      </c>
      <c r="BN18" s="42">
        <f>((2*(Table3[[#This Row],[W_H]]))+Table3[[#This Row],[OTL_H]]+Table3[[#This Row],[SOL_H]])/(2*Table3[[#This Row],[GP_H]])</f>
        <v>0.59090909090909094</v>
      </c>
      <c r="BO18" s="42">
        <f>((2*(Table3[[#This Row],[W_A]]))+Table3[[#This Row],[OTL_A]]+Table3[[#This Row],[SOL_A]])/(2*Table3[[#This Row],[GP_A]])</f>
        <v>0.53333333333333333</v>
      </c>
      <c r="BP18" s="16">
        <f>(Table3[[#This Row],[W]]*$CX$3)+(Table3[[#This Row],[L]]*$CX$4)+(Table3[[#This Row],[GF]]*$CX$5)+(Table3[[#This Row],[GA]]*$CX$6)</f>
        <v>30.299999999999997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94.990236686390546</v>
      </c>
      <c r="BR18" s="16">
        <f>(Table3[[#This Row],[W]]*0.7) + ((Table3[[#This Row],[GF]] - Table3[[#This Row],[GA]])*0.25)+(Table3[[#This Row],[GF]]*0.1)+(Table3[[#This Row],[GA]]*0.05)+(Table3[[#This Row],[L]]*0.3)</f>
        <v>23.099999999999998</v>
      </c>
      <c r="BS18" s="16">
        <f>Table3[[#This Row],[TeamCost83]]/Table3[[#This Row],[GP]]</f>
        <v>0.88846153846153841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6</v>
      </c>
      <c r="BV18">
        <f t="shared" si="8"/>
        <v>6</v>
      </c>
      <c r="BW18">
        <f t="shared" si="9"/>
        <v>15</v>
      </c>
      <c r="BX18">
        <f t="shared" si="10"/>
        <v>5</v>
      </c>
      <c r="BY18">
        <f t="shared" si="11"/>
        <v>20</v>
      </c>
      <c r="BZ18">
        <f>Table3[[#This Row],[TimesPredictedWinner]]/Table3[[#This Row],[GP]]</f>
        <v>0.23076923076923078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7</v>
      </c>
      <c r="CJ18">
        <f>SUMIFS(Table2[GamePredictionScore], Table2[HomeTeam], Table3[[#This Row],[Teams]])</f>
        <v>5.0999999999999996</v>
      </c>
      <c r="CK18">
        <f>Table3[[#This Row],[Column4]]+Table3[[#This Row],[Column3]]</f>
        <v>12.1</v>
      </c>
      <c r="CL18">
        <f>Table3[[#This Row],[Column5]]/Table3[[#This Row],[GP]]</f>
        <v>0.4653846153846154</v>
      </c>
      <c r="CR18">
        <f>LARGE($AO$2:$AO$33,1)</f>
        <v>44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23</v>
      </c>
      <c r="E19" s="10">
        <f>Table3[[#This Row],[Watched]]/Table3[[#This Row],[GP]]</f>
        <v>0.8214285714285714</v>
      </c>
      <c r="F19">
        <f>COUNTIFS(DataRegularSeason20242025!$N$3:$N$1315,1,DataRegularSeason20242025!$D$3:$D$1315,$A19)</f>
        <v>14</v>
      </c>
      <c r="G19">
        <f>41-Table3[[#This Row],[GP_A]]</f>
        <v>27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28</v>
      </c>
      <c r="K19">
        <f>82-Table3[[#This Row],[GP]]</f>
        <v>54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8</v>
      </c>
      <c r="Q19">
        <f>COUNTIFS(DataRegularSeason20242025!$D$3:$D$1315,$A19, DataRegularSeason20242025!$S$3:$S$1315, $A19,DataRegularSeason20242025!$M$3:$M$1315,"REG")</f>
        <v>8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0.5357142857142857</v>
      </c>
      <c r="AC19">
        <f>Table3[[#This Row],[W_A]]+Table3[[#This Row],[W_H]]</f>
        <v>15</v>
      </c>
      <c r="AD19">
        <f>Table3[[#This Row],[L_A]]+Table3[[#This Row],[L_H]]</f>
        <v>13</v>
      </c>
      <c r="AE19">
        <f>Table3[[#This Row],[RW_A]]+Table3[[#This Row],[RW_H]]</f>
        <v>9</v>
      </c>
      <c r="AF19">
        <f>Table3[[#This Row],[RL_A]]+Table3[[#This Row],[RL_H]]</f>
        <v>13</v>
      </c>
      <c r="AG19">
        <f>Table3[[#This Row],[OTW_A]]+Table3[[#This Row],[OTW_H]]</f>
        <v>4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6-0</v>
      </c>
      <c r="AL19">
        <f>SUM(Table3[[#This Row],[OTW]],Table3[[#This Row],[OTL]],Table3[[#This Row],[SOW]],Table3[[#This Row],[SOL]])</f>
        <v>6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0.21428571428571427</v>
      </c>
      <c r="AO19">
        <f>(2*(Table3[[#This Row],[W_A]]+Table3[[#This Row],[W_H]]))+Table3[[#This Row],[OTL_A]]+Table3[[#This Row],[SOL_A]]+Table3[[#This Row],[OTL_H]]+Table3[[#This Row],[SOL_H]]</f>
        <v>30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9" s="10">
        <f>Table3[[#This Row],[PTS]]/(2*Table3[[#This Row],[GP]])</f>
        <v>0.5357142857142857</v>
      </c>
      <c r="AR19" s="10">
        <f>Table3[[#This Row],[PTS2]]/(3*Table3[[#This Row],[GP]])</f>
        <v>0.4642857142857143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87.857142857142861</v>
      </c>
      <c r="AV19">
        <f>Table3[[#This Row],[PTS2]]+(3 * Table3[[#This Row],[GR]] * Table3[[#This Row],[PTS%2]])</f>
        <v>114.21428571428572</v>
      </c>
      <c r="AW19" s="15" t="str">
        <f>_xlfn.CONCAT(TEXT(Table3[[#This Row],[W]], "0"), "-", TEXT(Table3[[#This Row],[RL]],"0"), "-", TEXT(Table3[[#This Row],[OTL]]+Table3[[#This Row],[SOL]], "0"))</f>
        <v>15-13-0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48</v>
      </c>
      <c r="BA19">
        <f t="shared" si="3"/>
        <v>-7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46</v>
      </c>
      <c r="BD19">
        <f>SUMIF(DataRegularSeason20242025!$E$3:$E$1315,$A19,DataRegularSeason20242025!$J$3:$J$1315)</f>
        <v>43</v>
      </c>
      <c r="BE19">
        <f t="shared" si="4"/>
        <v>3</v>
      </c>
      <c r="BF19">
        <f t="shared" si="5"/>
        <v>87</v>
      </c>
      <c r="BG19">
        <f t="shared" si="6"/>
        <v>91</v>
      </c>
      <c r="BH19">
        <f t="shared" si="7"/>
        <v>-4</v>
      </c>
      <c r="BI19" s="12">
        <f>Table3[[#This Row],[GF]]/Table3[[#This Row],[GP]]</f>
        <v>3.1071428571428572</v>
      </c>
      <c r="BJ19" s="12">
        <f>Table3[[#This Row],[GA]]/Table3[[#This Row],[GP]]</f>
        <v>3.25</v>
      </c>
      <c r="BK19" s="12">
        <f>(Table3[[#This Row],[GF]]-Table3[[#This Row],[GA]])/Table3[[#This Row],[GP]]</f>
        <v>-0.14285714285714285</v>
      </c>
      <c r="BL19" s="42" t="str">
        <f>_xlfn.CONCAT(TEXT(Table3[[#This Row],[W_H]], "0"), "-", TEXT(Table3[[#This Row],[RL_H]],"0"), "-", TEXT(Table3[[#This Row],[OTL_H]]+Table3[[#This Row],[SOL_H]], "0"))</f>
        <v>9-5-0</v>
      </c>
      <c r="BM19" s="42" t="str">
        <f>_xlfn.CONCAT(TEXT(Table3[[#This Row],[W_A]], "0"), "-", TEXT(Table3[[#This Row],[RL_A]],"0"), "-", TEXT(Table3[[#This Row],[OTL_A]]+Table3[[#This Row],[SOL_A]], "0"))</f>
        <v>6-8-0</v>
      </c>
      <c r="BN19" s="42">
        <f>((2*(Table3[[#This Row],[W_H]]))+Table3[[#This Row],[OTL_H]]+Table3[[#This Row],[SOL_H]])/(2*Table3[[#This Row],[GP_H]])</f>
        <v>0.6428571428571429</v>
      </c>
      <c r="BO19" s="42">
        <f>((2*(Table3[[#This Row],[W_A]]))+Table3[[#This Row],[OTL_A]]+Table3[[#This Row],[SOL_A]])/(2*Table3[[#This Row],[GP_A]])</f>
        <v>0.42857142857142855</v>
      </c>
      <c r="BP19" s="16">
        <f>(Table3[[#This Row],[W]]*$CX$3)+(Table3[[#This Row],[L]]*$CX$4)+(Table3[[#This Row],[GF]]*$CX$5)+(Table3[[#This Row],[GA]]*$CX$6)</f>
        <v>33.549999999999997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99.610204081632645</v>
      </c>
      <c r="BR19" s="16">
        <f>(Table3[[#This Row],[W]]*0.7) + ((Table3[[#This Row],[GF]] - Table3[[#This Row],[GA]])*0.25)+(Table3[[#This Row],[GF]]*0.1)+(Table3[[#This Row],[GA]]*0.05)+(Table3[[#This Row],[L]]*0.3)</f>
        <v>26.650000000000002</v>
      </c>
      <c r="BS19" s="16">
        <f>Table3[[#This Row],[TeamCost83]]/Table3[[#This Row],[GP]]</f>
        <v>0.95178571428571435</v>
      </c>
      <c r="BT19">
        <f>COUNTIFS(Table2[AwayTeam],$A19,Table2[PredictedWinner], $A19, Table2[GameIsOver], 1)</f>
        <v>4</v>
      </c>
      <c r="BU19">
        <f>COUNTIFS(Table2[HomeTeam],$A19,Table2[PredictedWinner], $A19, Table2[GameIsOver], 1)</f>
        <v>7</v>
      </c>
      <c r="BV19">
        <f t="shared" si="8"/>
        <v>11</v>
      </c>
      <c r="BW19">
        <f t="shared" si="9"/>
        <v>10</v>
      </c>
      <c r="BX19">
        <f t="shared" si="10"/>
        <v>7</v>
      </c>
      <c r="BY19">
        <f t="shared" si="11"/>
        <v>17</v>
      </c>
      <c r="BZ19">
        <f>Table3[[#This Row],[TimesPredictedWinner]]/Table3[[#This Row],[GP]]</f>
        <v>0.39285714285714285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5.5</v>
      </c>
      <c r="CJ19">
        <f>SUMIFS(Table2[GamePredictionScore], Table2[HomeTeam], Table3[[#This Row],[Teams]])</f>
        <v>8.5</v>
      </c>
      <c r="CK19">
        <f>Table3[[#This Row],[Column4]]+Table3[[#This Row],[Column3]]</f>
        <v>14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16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24</v>
      </c>
      <c r="E20" s="10">
        <f>Table3[[#This Row],[Watched]]/Table3[[#This Row],[GP]]</f>
        <v>0.92307692307692313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5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10</v>
      </c>
      <c r="AF20">
        <f>Table3[[#This Row],[RL_A]]+Table3[[#This Row],[RL_H]]</f>
        <v>9</v>
      </c>
      <c r="AG20">
        <f>Table3[[#This Row],[OTW_A]]+Table3[[#This Row],[OTW_H]]</f>
        <v>1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1-6</v>
      </c>
      <c r="AL20">
        <f>SUM(Table3[[#This Row],[OTW]],Table3[[#This Row],[OTL]],Table3[[#This Row],[SOW]],Table3[[#This Row],[SOL]])</f>
        <v>7</v>
      </c>
      <c r="AM20">
        <f>(Table3[[#This Row],[OTW]]+Table3[[#This Row],[SOW]])/IF(Table3[[#This Row],[Total_ExtraTimes]]=0,1,Table3[[#This Row],[Total_ExtraTimes]])</f>
        <v>0.14285714285714285</v>
      </c>
      <c r="AN20">
        <f>Table3[[#This Row],[Total_ExtraTimes]]/MAX(1,Table3[[#This Row],[GP]])</f>
        <v>0.26923076923076922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0" s="10">
        <f>Table3[[#This Row],[PTS]]/(2*Table3[[#This Row],[GP]])</f>
        <v>0.53846153846153844</v>
      </c>
      <c r="AR20" s="10">
        <f>Table3[[#This Row],[PTS2]]/(3*Table3[[#This Row],[GP]])</f>
        <v>0.48717948717948717</v>
      </c>
      <c r="AS20">
        <f>(2*Table3[[#This Row],[GR]])+Table3[[#This Row],[PTS]]</f>
        <v>140</v>
      </c>
      <c r="AT20">
        <f>(3*Table3[[#This Row],[GR]])+Table3[[#This Row],[PTS2]]</f>
        <v>206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119.84615384615384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42</v>
      </c>
      <c r="AZ20">
        <f>SUMIF(DataRegularSeason20242025!$D$3:$D$1315,$A20, DataRegularSeason20242025!$K$3:$K$1315)</f>
        <v>40</v>
      </c>
      <c r="BA20">
        <f t="shared" si="3"/>
        <v>2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37</v>
      </c>
      <c r="BE20">
        <f t="shared" si="4"/>
        <v>4</v>
      </c>
      <c r="BF20">
        <f t="shared" si="5"/>
        <v>83</v>
      </c>
      <c r="BG20">
        <f t="shared" si="6"/>
        <v>77</v>
      </c>
      <c r="BH20">
        <f t="shared" si="7"/>
        <v>6</v>
      </c>
      <c r="BI20" s="12">
        <f>Table3[[#This Row],[GF]]/Table3[[#This Row],[GP]]</f>
        <v>3.1923076923076925</v>
      </c>
      <c r="BJ20" s="12">
        <f>Table3[[#This Row],[GA]]/Table3[[#This Row],[GP]]</f>
        <v>2.9615384615384617</v>
      </c>
      <c r="BK20" s="12">
        <f>(Table3[[#This Row],[GF]]-Table3[[#This Row],[GA]])/Table3[[#This Row],[GP]]</f>
        <v>0.23076923076923078</v>
      </c>
      <c r="BL20" s="42" t="str">
        <f>_xlfn.CONCAT(TEXT(Table3[[#This Row],[W_H]], "0"), "-", TEXT(Table3[[#This Row],[RL_H]],"0"), "-", TEXT(Table3[[#This Row],[OTL_H]]+Table3[[#This Row],[SOL_H]], "0"))</f>
        <v>6-5-3</v>
      </c>
      <c r="BM20" s="42" t="str">
        <f>_xlfn.CONCAT(TEXT(Table3[[#This Row],[W_A]], "0"), "-", TEXT(Table3[[#This Row],[RL_A]],"0"), "-", TEXT(Table3[[#This Row],[OTL_A]]+Table3[[#This Row],[SOL_A]], "0"))</f>
        <v>5-4-3</v>
      </c>
      <c r="BN20" s="42">
        <f>((2*(Table3[[#This Row],[W_H]]))+Table3[[#This Row],[OTL_H]]+Table3[[#This Row],[SOL_H]])/(2*Table3[[#This Row],[GP_H]])</f>
        <v>0.5357142857142857</v>
      </c>
      <c r="BO20" s="42">
        <f>((2*(Table3[[#This Row],[W_A]]))+Table3[[#This Row],[OTL_A]]+Table3[[#This Row],[SOL_A]])/(2*Table3[[#This Row],[GP_A]])</f>
        <v>0.54166666666666663</v>
      </c>
      <c r="BP20" s="16">
        <f>(Table3[[#This Row],[W]]*$CX$3)+(Table3[[#This Row],[L]]*$CX$4)+(Table3[[#This Row],[GF]]*$CX$5)+(Table3[[#This Row],[GA]]*$CX$6)</f>
        <v>30.15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94.98579881656805</v>
      </c>
      <c r="BR20" s="16">
        <f>(Table3[[#This Row],[W]]*0.7) + ((Table3[[#This Row],[GF]] - Table3[[#This Row],[GA]])*0.25)+(Table3[[#This Row],[GF]]*0.1)+(Table3[[#This Row],[GA]]*0.05)+(Table3[[#This Row],[L]]*0.3)</f>
        <v>25.85</v>
      </c>
      <c r="BS20" s="16">
        <f>Table3[[#This Row],[TeamCost83]]/Table3[[#This Row],[GP]]</f>
        <v>0.99423076923076925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4</v>
      </c>
      <c r="BV20">
        <f t="shared" si="8"/>
        <v>8</v>
      </c>
      <c r="BW20">
        <f t="shared" si="9"/>
        <v>8</v>
      </c>
      <c r="BX20">
        <f t="shared" si="10"/>
        <v>10</v>
      </c>
      <c r="BY20">
        <f t="shared" si="11"/>
        <v>18</v>
      </c>
      <c r="BZ20">
        <f>Table3[[#This Row],[TimesPredictedWinner]]/Table3[[#This Row],[GP]]</f>
        <v>0.30769230769230771</v>
      </c>
      <c r="CB20">
        <v>2015</v>
      </c>
      <c r="CC20" s="1">
        <v>45736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5.8999999999999995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9.3000000000000007</v>
      </c>
      <c r="CL20">
        <f>Table3[[#This Row],[Column5]]/Table3[[#This Row],[GP]]</f>
        <v>0.3576923076923077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30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0.96296296296296291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16</v>
      </c>
      <c r="I21">
        <f>41-Table3[[#This Row],[GP_H]]</f>
        <v>25</v>
      </c>
      <c r="J21">
        <f t="shared" si="0"/>
        <v>27</v>
      </c>
      <c r="K21">
        <f>82-Table3[[#This Row],[GP]]</f>
        <v>55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2</v>
      </c>
      <c r="P21">
        <f t="shared" si="1"/>
        <v>6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7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7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0.51851851851851849</v>
      </c>
      <c r="AC21">
        <f>Table3[[#This Row],[W_A]]+Table3[[#This Row],[W_H]]</f>
        <v>14</v>
      </c>
      <c r="AD21">
        <f>Table3[[#This Row],[L_A]]+Table3[[#This Row],[L_H]]</f>
        <v>13</v>
      </c>
      <c r="AE21">
        <f>Table3[[#This Row],[RW_A]]+Table3[[#This Row],[RW_H]]</f>
        <v>10</v>
      </c>
      <c r="AF21">
        <f>Table3[[#This Row],[RL_A]]+Table3[[#This Row],[RL_H]]</f>
        <v>11</v>
      </c>
      <c r="AG21">
        <f>Table3[[#This Row],[OTW_A]]+Table3[[#This Row],[OTW_H]]</f>
        <v>2</v>
      </c>
      <c r="AH21">
        <f>Table3[[#This Row],[OTL_A]]+Table3[[#This Row],[OTL_H]]</f>
        <v>1</v>
      </c>
      <c r="AI21">
        <f>Table3[[#This Row],[SOW_A]]+Table3[[#This Row],[SOW_H]]</f>
        <v>2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4-2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0.66666666666666663</v>
      </c>
      <c r="AN21">
        <f>Table3[[#This Row],[Total_ExtraTimes]]/MAX(1,Table3[[#This Row],[GP]])</f>
        <v>0.22222222222222221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1" s="10">
        <f>Table3[[#This Row],[PTS]]/(2*Table3[[#This Row],[GP]])</f>
        <v>0.55555555555555558</v>
      </c>
      <c r="AR21" s="10">
        <f>Table3[[#This Row],[PTS2]]/(3*Table3[[#This Row],[GP]])</f>
        <v>0.49382716049382713</v>
      </c>
      <c r="AS21">
        <f>(2*Table3[[#This Row],[GR]])+Table3[[#This Row],[PTS]]</f>
        <v>140</v>
      </c>
      <c r="AT21">
        <f>(3*Table3[[#This Row],[GR]])+Table3[[#This Row],[PTS2]]</f>
        <v>205</v>
      </c>
      <c r="AU21">
        <f>Table3[[#This Row],[PTS]]+(2 * Table3[[#This Row],[GR]] * Table3[[#This Row],[PTS%]])</f>
        <v>91.111111111111114</v>
      </c>
      <c r="AV21">
        <f>Table3[[#This Row],[PTS2]]+(3 * Table3[[#This Row],[GR]] * Table3[[#This Row],[PTS%2]])</f>
        <v>121.48148148148148</v>
      </c>
      <c r="AW21" s="15" t="str">
        <f>_xlfn.CONCAT(TEXT(Table3[[#This Row],[W]], "0"), "-", TEXT(Table3[[#This Row],[RL]],"0"), "-", TEXT(Table3[[#This Row],[OTL]]+Table3[[#This Row],[SOL]], "0"))</f>
        <v>14-11-2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28</v>
      </c>
      <c r="AZ21">
        <f>SUMIF(DataRegularSeason20242025!$D$3:$D$1315,$A21, DataRegularSeason20242025!$K$3:$K$1315)</f>
        <v>34</v>
      </c>
      <c r="BA21">
        <f t="shared" si="3"/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54</v>
      </c>
      <c r="BD21">
        <f>SUMIF(DataRegularSeason20242025!$E$3:$E$1315,$A21,DataRegularSeason20242025!$J$3:$J$1315)</f>
        <v>59</v>
      </c>
      <c r="BE21">
        <f t="shared" si="4"/>
        <v>-5</v>
      </c>
      <c r="BF21">
        <f t="shared" si="5"/>
        <v>82</v>
      </c>
      <c r="BG21">
        <f t="shared" si="6"/>
        <v>93</v>
      </c>
      <c r="BH21">
        <f t="shared" si="7"/>
        <v>-11</v>
      </c>
      <c r="BI21" s="12">
        <f>Table3[[#This Row],[GF]]/Table3[[#This Row],[GP]]</f>
        <v>3.0370370370370372</v>
      </c>
      <c r="BJ21" s="12">
        <f>Table3[[#This Row],[GA]]/Table3[[#This Row],[GP]]</f>
        <v>3.4444444444444446</v>
      </c>
      <c r="BK21" s="12">
        <f>(Table3[[#This Row],[GF]]-Table3[[#This Row],[GA]])/Table3[[#This Row],[GP]]</f>
        <v>-0.40740740740740738</v>
      </c>
      <c r="BL21" s="42" t="str">
        <f>_xlfn.CONCAT(TEXT(Table3[[#This Row],[W_H]], "0"), "-", TEXT(Table3[[#This Row],[RL_H]],"0"), "-", TEXT(Table3[[#This Row],[OTL_H]]+Table3[[#This Row],[SOL_H]], "0"))</f>
        <v>9-6-1</v>
      </c>
      <c r="BM21" s="42" t="str">
        <f>_xlfn.CONCAT(TEXT(Table3[[#This Row],[W_A]], "0"), "-", TEXT(Table3[[#This Row],[RL_A]],"0"), "-", TEXT(Table3[[#This Row],[OTL_A]]+Table3[[#This Row],[SOL_A]], "0"))</f>
        <v>5-5-1</v>
      </c>
      <c r="BN21" s="42">
        <f>((2*(Table3[[#This Row],[W_H]]))+Table3[[#This Row],[OTL_H]]+Table3[[#This Row],[SOL_H]])/(2*Table3[[#This Row],[GP_H]])</f>
        <v>0.59375</v>
      </c>
      <c r="BO21" s="42">
        <f>((2*(Table3[[#This Row],[W_A]]))+Table3[[#This Row],[OTL_A]]+Table3[[#This Row],[SOL_A]])/(2*Table3[[#This Row],[GP_A]])</f>
        <v>0.5</v>
      </c>
      <c r="BP21" s="16">
        <f>(Table3[[#This Row],[W]]*$CX$3)+(Table3[[#This Row],[L]]*$CX$4)+(Table3[[#This Row],[GF]]*$CX$5)+(Table3[[#This Row],[GA]]*$CX$6)</f>
        <v>32.5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99.348559670781896</v>
      </c>
      <c r="BR21" s="16">
        <f>(Table3[[#This Row],[W]]*0.7) + ((Table3[[#This Row],[GF]] - Table3[[#This Row],[GA]])*0.25)+(Table3[[#This Row],[GF]]*0.1)+(Table3[[#This Row],[GA]]*0.05)+(Table3[[#This Row],[L]]*0.3)</f>
        <v>23.799999999999997</v>
      </c>
      <c r="BS21" s="16">
        <f>Table3[[#This Row],[TeamCost83]]/Table3[[#This Row],[GP]]</f>
        <v>0.88148148148148142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 t="shared" si="8"/>
        <v>16</v>
      </c>
      <c r="BW21">
        <f t="shared" si="9"/>
        <v>4</v>
      </c>
      <c r="BX21">
        <f t="shared" si="10"/>
        <v>7</v>
      </c>
      <c r="BY21">
        <f t="shared" si="11"/>
        <v>11</v>
      </c>
      <c r="BZ21">
        <f>Table3[[#This Row],[TimesPredictedWinner]]/Table3[[#This Row],[GP]]</f>
        <v>0.59259259259259256</v>
      </c>
      <c r="CB21">
        <v>2008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4.2</v>
      </c>
      <c r="CJ21">
        <f>SUMIFS(Table2[GamePredictionScore], Table2[HomeTeam], Table3[[#This Row],[Teams]])</f>
        <v>5.2</v>
      </c>
      <c r="CK21">
        <f>Table3[[#This Row],[Column4]]+Table3[[#This Row],[Column3]]</f>
        <v>9.4</v>
      </c>
      <c r="CL21">
        <f>Table3[[#This Row],[Column5]]/Table3[[#This Row],[GP]]</f>
        <v>0.34814814814814815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0.77777777777777779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 t="shared" si="0"/>
        <v>27</v>
      </c>
      <c r="K22">
        <f>82-Table3[[#This Row],[GP]]</f>
        <v>55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7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0.48148148148148145</v>
      </c>
      <c r="AC22">
        <f>Table3[[#This Row],[W_A]]+Table3[[#This Row],[W_H]]</f>
        <v>13</v>
      </c>
      <c r="AD22">
        <f>Table3[[#This Row],[L_A]]+Table3[[#This Row],[L_H]]</f>
        <v>14</v>
      </c>
      <c r="AE22">
        <f>Table3[[#This Row],[RW_A]]+Table3[[#This Row],[RW_H]]</f>
        <v>7</v>
      </c>
      <c r="AF22">
        <f>Table3[[#This Row],[RL_A]]+Table3[[#This Row],[RL_H]]</f>
        <v>11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6-3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29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2" s="10">
        <f>Table3[[#This Row],[PTS]]/(2*Table3[[#This Row],[GP]])</f>
        <v>0.53703703703703709</v>
      </c>
      <c r="AR22" s="10">
        <f>Table3[[#This Row],[PTS2]]/(3*Table3[[#This Row],[GP]])</f>
        <v>0.44444444444444442</v>
      </c>
      <c r="AS22">
        <f>(2*Table3[[#This Row],[GR]])+Table3[[#This Row],[PTS]]</f>
        <v>139</v>
      </c>
      <c r="AT22">
        <f>(3*Table3[[#This Row],[GR]])+Table3[[#This Row],[PTS2]]</f>
        <v>201</v>
      </c>
      <c r="AU22">
        <f>Table3[[#This Row],[PTS]]+(2 * Table3[[#This Row],[GR]] * Table3[[#This Row],[PTS%]])</f>
        <v>88.074074074074076</v>
      </c>
      <c r="AV22">
        <f>Table3[[#This Row],[PTS2]]+(3 * Table3[[#This Row],[GR]] * Table3[[#This Row],[PTS%2]])</f>
        <v>109.33333333333333</v>
      </c>
      <c r="AW22" s="15" t="str">
        <f>_xlfn.CONCAT(TEXT(Table3[[#This Row],[W]], "0"), "-", TEXT(Table3[[#This Row],[RL]],"0"), "-", TEXT(Table3[[#This Row],[OTL]]+Table3[[#This Row],[SOL]], "0"))</f>
        <v>13-11-3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31</v>
      </c>
      <c r="AZ22">
        <f>SUMIF(DataRegularSeason20242025!$D$3:$D$1315,$A22, DataRegularSeason20242025!$K$3:$K$1315)</f>
        <v>41</v>
      </c>
      <c r="BA22">
        <f t="shared" si="3"/>
        <v>-10</v>
      </c>
      <c r="BB22">
        <f>COUNTIFS(DataRegularSeason20242025!$E$3:$E$1315,Table3[[#This Row],[Teams]],DataRegularSeason20242025!$J$3:$J$1315,0)</f>
        <v>1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46</v>
      </c>
      <c r="BE22">
        <f t="shared" si="4"/>
        <v>3</v>
      </c>
      <c r="BF22">
        <f t="shared" si="5"/>
        <v>80</v>
      </c>
      <c r="BG22">
        <f t="shared" si="6"/>
        <v>87</v>
      </c>
      <c r="BH22">
        <f t="shared" si="7"/>
        <v>-7</v>
      </c>
      <c r="BI22" s="12">
        <f>Table3[[#This Row],[GF]]/Table3[[#This Row],[GP]]</f>
        <v>2.9629629629629628</v>
      </c>
      <c r="BJ22" s="12">
        <f>Table3[[#This Row],[GA]]/Table3[[#This Row],[GP]]</f>
        <v>3.2222222222222223</v>
      </c>
      <c r="BK22" s="12">
        <f>(Table3[[#This Row],[GF]]-Table3[[#This Row],[GA]])/Table3[[#This Row],[GP]]</f>
        <v>-0.25925925925925924</v>
      </c>
      <c r="BL22" s="42" t="str">
        <f>_xlfn.CONCAT(TEXT(Table3[[#This Row],[W_H]], "0"), "-", TEXT(Table3[[#This Row],[RL_H]],"0"), "-", TEXT(Table3[[#This Row],[OTL_H]]+Table3[[#This Row],[SOL_H]], "0"))</f>
        <v>9-4-3</v>
      </c>
      <c r="BM22" s="42" t="str">
        <f>_xlfn.CONCAT(TEXT(Table3[[#This Row],[W_A]], "0"), "-", TEXT(Table3[[#This Row],[RL_A]],"0"), "-", TEXT(Table3[[#This Row],[OTL_A]]+Table3[[#This Row],[SOL_A]], "0"))</f>
        <v>4-7-0</v>
      </c>
      <c r="BN22" s="42">
        <f>((2*(Table3[[#This Row],[W_H]]))+Table3[[#This Row],[OTL_H]]+Table3[[#This Row],[SOL_H]])/(2*Table3[[#This Row],[GP_H]])</f>
        <v>0.65625</v>
      </c>
      <c r="BO22" s="42">
        <f>((2*(Table3[[#This Row],[W_A]]))+Table3[[#This Row],[OTL_A]]+Table3[[#This Row],[SOL_A]])/(2*Table3[[#This Row],[GP_A]])</f>
        <v>0.36363636363636365</v>
      </c>
      <c r="BP22" s="16">
        <f>(Table3[[#This Row],[W]]*$CX$3)+(Table3[[#This Row],[L]]*$CX$4)+(Table3[[#This Row],[GF]]*$CX$5)+(Table3[[#This Row],[GA]]*$CX$6)</f>
        <v>31.4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95.503978052126214</v>
      </c>
      <c r="BR22" s="16">
        <f>(Table3[[#This Row],[W]]*0.7) + ((Table3[[#This Row],[GF]] - Table3[[#This Row],[GA]])*0.25)+(Table3[[#This Row],[GF]]*0.1)+(Table3[[#This Row],[GA]]*0.05)+(Table3[[#This Row],[L]]*0.3)</f>
        <v>23.9</v>
      </c>
      <c r="BS22" s="16">
        <f>Table3[[#This Row],[TeamCost83]]/Table3[[#This Row],[GP]]</f>
        <v>0.88518518518518519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 t="shared" si="8"/>
        <v>16</v>
      </c>
      <c r="BW22">
        <f t="shared" si="9"/>
        <v>4</v>
      </c>
      <c r="BX22">
        <f t="shared" si="10"/>
        <v>7</v>
      </c>
      <c r="BY22">
        <f t="shared" si="11"/>
        <v>11</v>
      </c>
      <c r="BZ22">
        <f>Table3[[#This Row],[TimesPredictedWinner]]/Table3[[#This Row],[GP]]</f>
        <v>0.59259259259259256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14</v>
      </c>
      <c r="CL22">
        <f>Table3[[#This Row],[Column5]]/Table3[[#This Row],[GP]]</f>
        <v>0.51851851851851849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22</v>
      </c>
      <c r="E23" s="10">
        <f>Table3[[#This Row],[Watched]]/Table3[[#This Row],[GP]]</f>
        <v>0.88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15</v>
      </c>
      <c r="I23">
        <f>41-Table3[[#This Row],[GP_H]]</f>
        <v>26</v>
      </c>
      <c r="J23">
        <f t="shared" si="0"/>
        <v>25</v>
      </c>
      <c r="K23">
        <f>82-Table3[[#This Row],[GP]]</f>
        <v>57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7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0.48</v>
      </c>
      <c r="AC23">
        <f>Table3[[#This Row],[W_A]]+Table3[[#This Row],[W_H]]</f>
        <v>12</v>
      </c>
      <c r="AD23">
        <f>Table3[[#This Row],[L_A]]+Table3[[#This Row],[L_H]]</f>
        <v>13</v>
      </c>
      <c r="AE23">
        <f>Table3[[#This Row],[RW_A]]+Table3[[#This Row],[RW_H]]</f>
        <v>11</v>
      </c>
      <c r="AF23">
        <f>Table3[[#This Row],[RL_A]]+Table3[[#This Row],[RL_H]]</f>
        <v>12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0.08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</v>
      </c>
      <c r="AR23" s="10">
        <f>Table3[[#This Row],[PTS2]]/(3*Table3[[#This Row],[GP]])</f>
        <v>0.48</v>
      </c>
      <c r="AS23">
        <f>(2*Table3[[#This Row],[GR]])+Table3[[#This Row],[PTS]]</f>
        <v>139</v>
      </c>
      <c r="AT23">
        <f>(3*Table3[[#This Row],[GR]])+Table3[[#This Row],[PTS2]]</f>
        <v>207</v>
      </c>
      <c r="AU23">
        <f>Table3[[#This Row],[PTS]]+(2 * Table3[[#This Row],[GR]] * Table3[[#This Row],[PTS%]])</f>
        <v>82</v>
      </c>
      <c r="AV23">
        <f>Table3[[#This Row],[PTS2]]+(3 * Table3[[#This Row],[GR]] * Table3[[#This Row],[PTS%2]])</f>
        <v>118.08</v>
      </c>
      <c r="AW23" s="15" t="str">
        <f>_xlfn.CONCAT(TEXT(Table3[[#This Row],[W]], "0"), "-", TEXT(Table3[[#This Row],[RL]],"0"), "-", TEXT(Table3[[#This Row],[OTL]]+Table3[[#This Row],[SOL]], "0"))</f>
        <v>12-12-1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48</v>
      </c>
      <c r="BD23">
        <f>SUMIF(DataRegularSeason20242025!$E$3:$E$1315,$A23,DataRegularSeason20242025!$J$3:$J$1315)</f>
        <v>46</v>
      </c>
      <c r="BE23">
        <f t="shared" si="4"/>
        <v>2</v>
      </c>
      <c r="BF23">
        <f t="shared" si="5"/>
        <v>76</v>
      </c>
      <c r="BG23">
        <f t="shared" si="6"/>
        <v>81</v>
      </c>
      <c r="BH23">
        <f t="shared" si="7"/>
        <v>-5</v>
      </c>
      <c r="BI23" s="12">
        <f>Table3[[#This Row],[GF]]/Table3[[#This Row],[GP]]</f>
        <v>3.04</v>
      </c>
      <c r="BJ23" s="12">
        <f>Table3[[#This Row],[GA]]/Table3[[#This Row],[GP]]</f>
        <v>3.24</v>
      </c>
      <c r="BK23" s="12">
        <f>(Table3[[#This Row],[GF]]-Table3[[#This Row],[GA]])/Table3[[#This Row],[GP]]</f>
        <v>-0.2</v>
      </c>
      <c r="BL23" s="42" t="str">
        <f>_xlfn.CONCAT(TEXT(Table3[[#This Row],[W_H]], "0"), "-", TEXT(Table3[[#This Row],[RL_H]],"0"), "-", TEXT(Table3[[#This Row],[OTL_H]]+Table3[[#This Row],[SOL_H]], "0"))</f>
        <v>8-6-1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0.56666666666666665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29.4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94.671999999999997</v>
      </c>
      <c r="BR23" s="16">
        <f>(Table3[[#This Row],[W]]*0.7) + ((Table3[[#This Row],[GF]] - Table3[[#This Row],[GA]])*0.25)+(Table3[[#This Row],[GF]]*0.1)+(Table3[[#This Row],[GA]]*0.05)+(Table3[[#This Row],[L]]*0.3)</f>
        <v>22.7</v>
      </c>
      <c r="BS23" s="16">
        <f>Table3[[#This Row],[TeamCost83]]/Table3[[#This Row],[GP]]</f>
        <v>0.90799999999999992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 t="shared" si="8"/>
        <v>13</v>
      </c>
      <c r="BW23">
        <f t="shared" si="9"/>
        <v>6</v>
      </c>
      <c r="BX23">
        <f t="shared" si="10"/>
        <v>6</v>
      </c>
      <c r="BY23">
        <f t="shared" si="11"/>
        <v>12</v>
      </c>
      <c r="BZ23">
        <f>Table3[[#This Row],[TimesPredictedWinner]]/Table3[[#This Row],[GP]]</f>
        <v>0.52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8.6</v>
      </c>
      <c r="CK23">
        <f>Table3[[#This Row],[Column4]]+Table3[[#This Row],[Column3]]</f>
        <v>13.899999999999999</v>
      </c>
      <c r="CL23">
        <f>Table3[[#This Row],[Column5]]/Table3[[#This Row],[GP]]</f>
        <v>0.55599999999999994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21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20</v>
      </c>
      <c r="E24" s="10">
        <f>Table3[[#This Row],[Watched]]/Table3[[#This Row],[GP]]</f>
        <v>0.8</v>
      </c>
      <c r="F24">
        <f>COUNTIFS(DataRegularSeason20242025!$N$3:$N$1315,1,DataRegularSeason20242025!$D$3:$D$1315,$A24)</f>
        <v>14</v>
      </c>
      <c r="G24">
        <f>41-Table3[[#This Row],[GP_A]]</f>
        <v>27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 t="shared" si="0"/>
        <v>25</v>
      </c>
      <c r="K24">
        <f>82-Table3[[#This Row],[GP]]</f>
        <v>57</v>
      </c>
      <c r="L24">
        <f>COUNTIFS(DataRegularSeason20242025!$D$3:$D$1315,$A24, DataRegularSeason20242025!$L$3:$L$1315, $A24,DataRegularSeason20242025!$N$3:$N$1315,1)</f>
        <v>7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7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0.52</v>
      </c>
      <c r="AC24">
        <f>Table3[[#This Row],[W_A]]+Table3[[#This Row],[W_H]]</f>
        <v>13</v>
      </c>
      <c r="AD24">
        <f>Table3[[#This Row],[L_A]]+Table3[[#This Row],[L_H]]</f>
        <v>12</v>
      </c>
      <c r="AE24">
        <f>Table3[[#This Row],[RW_A]]+Table3[[#This Row],[RW_H]]</f>
        <v>11</v>
      </c>
      <c r="AF24">
        <f>Table3[[#This Row],[RL_A]]+Table3[[#This Row],[RL_H]]</f>
        <v>12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2-0</v>
      </c>
      <c r="AL24">
        <f>SUM(Table3[[#This Row],[OTW]],Table3[[#This Row],[OTL]],Table3[[#This Row],[SOW]],Table3[[#This Row],[SOL]])</f>
        <v>2</v>
      </c>
      <c r="AM24">
        <f>(Table3[[#This Row],[OTW]]+Table3[[#This Row],[SOW]])/IF(Table3[[#This Row],[Total_ExtraTimes]]=0,1,Table3[[#This Row],[Total_ExtraTimes]])</f>
        <v>1</v>
      </c>
      <c r="AN24">
        <f>Table3[[#This Row],[Total_ExtraTimes]]/MAX(1,Table3[[#This Row],[GP]])</f>
        <v>0.08</v>
      </c>
      <c r="AO24">
        <f>(2*(Table3[[#This Row],[W_A]]+Table3[[#This Row],[W_H]]))+Table3[[#This Row],[OTL_A]]+Table3[[#This Row],[SOL_A]]+Table3[[#This Row],[OTL_H]]+Table3[[#This Row],[SOL_H]]</f>
        <v>26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4" s="10">
        <f>Table3[[#This Row],[PTS]]/(2*Table3[[#This Row],[GP]])</f>
        <v>0.52</v>
      </c>
      <c r="AR24" s="10">
        <f>Table3[[#This Row],[PTS2]]/(3*Table3[[#This Row],[GP]])</f>
        <v>0.49333333333333335</v>
      </c>
      <c r="AS24">
        <f>(2*Table3[[#This Row],[GR]])+Table3[[#This Row],[PTS]]</f>
        <v>140</v>
      </c>
      <c r="AT24">
        <f>(3*Table3[[#This Row],[GR]])+Table3[[#This Row],[PTS2]]</f>
        <v>208</v>
      </c>
      <c r="AU24">
        <f>Table3[[#This Row],[PTS]]+(2 * Table3[[#This Row],[GR]] * Table3[[#This Row],[PTS%]])</f>
        <v>85.28</v>
      </c>
      <c r="AV24">
        <f>Table3[[#This Row],[PTS2]]+(3 * Table3[[#This Row],[GR]] * Table3[[#This Row],[PTS%2]])</f>
        <v>121.36</v>
      </c>
      <c r="AW24" s="15" t="str">
        <f>_xlfn.CONCAT(TEXT(Table3[[#This Row],[W]], "0"), "-", TEXT(Table3[[#This Row],[RL]],"0"), "-", TEXT(Table3[[#This Row],[OTL]]+Table3[[#This Row],[SOL]], "0"))</f>
        <v>13-12-0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42</v>
      </c>
      <c r="AZ24">
        <f>SUMIF(DataRegularSeason20242025!$D$3:$D$1315,$A24, DataRegularSeason20242025!$K$3:$K$1315)</f>
        <v>46</v>
      </c>
      <c r="BA24">
        <f t="shared" si="3"/>
        <v>-4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31</v>
      </c>
      <c r="BE24">
        <f t="shared" si="4"/>
        <v>6</v>
      </c>
      <c r="BF24">
        <f t="shared" si="5"/>
        <v>79</v>
      </c>
      <c r="BG24">
        <f t="shared" si="6"/>
        <v>77</v>
      </c>
      <c r="BH24">
        <f t="shared" si="7"/>
        <v>2</v>
      </c>
      <c r="BI24" s="12">
        <f>Table3[[#This Row],[GF]]/Table3[[#This Row],[GP]]</f>
        <v>3.16</v>
      </c>
      <c r="BJ24" s="12">
        <f>Table3[[#This Row],[GA]]/Table3[[#This Row],[GP]]</f>
        <v>3.08</v>
      </c>
      <c r="BK24" s="12">
        <f>(Table3[[#This Row],[GF]]-Table3[[#This Row],[GA]])/Table3[[#This Row],[GP]]</f>
        <v>0.08</v>
      </c>
      <c r="BL24" s="42" t="str">
        <f>_xlfn.CONCAT(TEXT(Table3[[#This Row],[W_H]], "0"), "-", TEXT(Table3[[#This Row],[RL_H]],"0"), "-", TEXT(Table3[[#This Row],[OTL_H]]+Table3[[#This Row],[SOL_H]], "0"))</f>
        <v>6-5-0</v>
      </c>
      <c r="BM24" s="42" t="str">
        <f>_xlfn.CONCAT(TEXT(Table3[[#This Row],[W_A]], "0"), "-", TEXT(Table3[[#This Row],[RL_A]],"0"), "-", TEXT(Table3[[#This Row],[OTL_A]]+Table3[[#This Row],[SOL_A]], "0"))</f>
        <v>7-7-0</v>
      </c>
      <c r="BN24" s="42">
        <f>((2*(Table3[[#This Row],[W_H]]))+Table3[[#This Row],[OTL_H]]+Table3[[#This Row],[SOL_H]])/(2*Table3[[#This Row],[GP_H]])</f>
        <v>0.54545454545454541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29.65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95.099119999999985</v>
      </c>
      <c r="BR24" s="16">
        <f>(Table3[[#This Row],[W]]*0.7) + ((Table3[[#This Row],[GF]] - Table3[[#This Row],[GA]])*0.25)+(Table3[[#This Row],[GF]]*0.1)+(Table3[[#This Row],[GA]]*0.05)+(Table3[[#This Row],[L]]*0.3)</f>
        <v>24.950000000000003</v>
      </c>
      <c r="BS24" s="16">
        <f>Table3[[#This Row],[TeamCost83]]/Table3[[#This Row],[GP]]</f>
        <v>0.99800000000000011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8</v>
      </c>
      <c r="BV24">
        <f t="shared" si="8"/>
        <v>16</v>
      </c>
      <c r="BW24">
        <f t="shared" si="9"/>
        <v>6</v>
      </c>
      <c r="BX24">
        <f t="shared" si="10"/>
        <v>3</v>
      </c>
      <c r="BY24">
        <f t="shared" si="11"/>
        <v>9</v>
      </c>
      <c r="BZ24">
        <f>Table3[[#This Row],[TimesPredictedWinner]]/Table3[[#This Row],[GP]]</f>
        <v>0.64</v>
      </c>
      <c r="CD24" s="1">
        <v>45741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5.0000000000000009</v>
      </c>
      <c r="CJ24">
        <f>SUMIFS(Table2[GamePredictionScore], Table2[HomeTeam], Table3[[#This Row],[Teams]])</f>
        <v>6.1000000000000005</v>
      </c>
      <c r="CK24">
        <f>Table3[[#This Row],[Column4]]+Table3[[#This Row],[Column3]]</f>
        <v>11.100000000000001</v>
      </c>
      <c r="CL24">
        <f>Table3[[#This Row],[Column5]]/Table3[[#This Row],[GP]]</f>
        <v>0.44400000000000006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26</v>
      </c>
      <c r="E25" s="10">
        <f>Table3[[#This Row],[Watched]]/Table3[[#This Row],[GP]]</f>
        <v>0.96296296296296291</v>
      </c>
      <c r="F25">
        <f>COUNTIFS(DataRegularSeason20242025!$N$3:$N$1315,1,DataRegularSeason20242025!$D$3:$D$1315,$A25)</f>
        <v>17</v>
      </c>
      <c r="G25">
        <f>41-Table3[[#This Row],[GP_A]]</f>
        <v>24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 t="shared" si="0"/>
        <v>27</v>
      </c>
      <c r="K25">
        <f>82-Table3[[#This Row],[GP]]</f>
        <v>55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11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5</v>
      </c>
      <c r="Y25">
        <f>COUNTIFS(DataRegularSeason20242025!$E$3:$E$1315,$A25, DataRegularSeason20242025!$S$3:$S$1315, $A25,DataRegularSeason20242025!$M$3:$M$1315,"REG")</f>
        <v>3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0.40740740740740738</v>
      </c>
      <c r="AC25">
        <f>Table3[[#This Row],[W_A]]+Table3[[#This Row],[W_H]]</f>
        <v>11</v>
      </c>
      <c r="AD25">
        <f>Table3[[#This Row],[L_A]]+Table3[[#This Row],[L_H]]</f>
        <v>16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5-5</v>
      </c>
      <c r="AL25">
        <f>SUM(Table3[[#This Row],[OTW]],Table3[[#This Row],[OTL]],Table3[[#This Row],[SOW]],Table3[[#This Row],[SOL]])</f>
        <v>10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0.37037037037037035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</v>
      </c>
      <c r="AR25" s="10">
        <f>Table3[[#This Row],[PTS2]]/(3*Table3[[#This Row],[GP]])</f>
        <v>0.40740740740740738</v>
      </c>
      <c r="AS25">
        <f>(2*Table3[[#This Row],[GR]])+Table3[[#This Row],[PTS]]</f>
        <v>137</v>
      </c>
      <c r="AT25">
        <f>(3*Table3[[#This Row],[GR]])+Table3[[#This Row],[PTS2]]</f>
        <v>198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100.22222222222221</v>
      </c>
      <c r="AW25" s="15" t="str">
        <f>_xlfn.CONCAT(TEXT(Table3[[#This Row],[W]], "0"), "-", TEXT(Table3[[#This Row],[RL]],"0"), "-", TEXT(Table3[[#This Row],[OTL]]+Table3[[#This Row],[SOL]], "0"))</f>
        <v>11-11-5</v>
      </c>
      <c r="AX25">
        <f>COUNTIFS(DataRegularSeason20242025!$D$3:$D$1315,Table3[[#This Row],[Teams]],DataRegularSeason20242025!$K$3:$K$1315,0)</f>
        <v>2</v>
      </c>
      <c r="AY25">
        <f>SUMIF(DataRegularSeason20242025!$D$3:$D$1315,$A25, DataRegularSeason20242025!$J$3:$J$1315)</f>
        <v>48</v>
      </c>
      <c r="AZ25">
        <f>SUMIF(DataRegularSeason20242025!$D$3:$D$1315,$A25, DataRegularSeason20242025!$K$3:$K$1315)</f>
        <v>55</v>
      </c>
      <c r="BA25">
        <f t="shared" si="3"/>
        <v>-7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33</v>
      </c>
      <c r="BD25">
        <f>SUMIF(DataRegularSeason20242025!$E$3:$E$1315,$A25,DataRegularSeason20242025!$J$3:$J$1315)</f>
        <v>41</v>
      </c>
      <c r="BE25">
        <f t="shared" si="4"/>
        <v>-8</v>
      </c>
      <c r="BF25">
        <f t="shared" si="5"/>
        <v>81</v>
      </c>
      <c r="BG25">
        <f t="shared" si="6"/>
        <v>96</v>
      </c>
      <c r="BH25">
        <f t="shared" si="7"/>
        <v>-15</v>
      </c>
      <c r="BI25" s="12">
        <f>Table3[[#This Row],[GF]]/Table3[[#This Row],[GP]]</f>
        <v>3</v>
      </c>
      <c r="BJ25" s="12">
        <f>Table3[[#This Row],[GA]]/Table3[[#This Row],[GP]]</f>
        <v>3.5555555555555554</v>
      </c>
      <c r="BK25" s="12">
        <f>(Table3[[#This Row],[GF]]-Table3[[#This Row],[GA]])/Table3[[#This Row],[GP]]</f>
        <v>-0.55555555555555558</v>
      </c>
      <c r="BL25" s="42" t="str">
        <f>_xlfn.CONCAT(TEXT(Table3[[#This Row],[W_H]], "0"), "-", TEXT(Table3[[#This Row],[RL_H]],"0"), "-", TEXT(Table3[[#This Row],[OTL_H]]+Table3[[#This Row],[SOL_H]], "0"))</f>
        <v>5-3-2</v>
      </c>
      <c r="BM25" s="42" t="str">
        <f>_xlfn.CONCAT(TEXT(Table3[[#This Row],[W_A]], "0"), "-", TEXT(Table3[[#This Row],[RL_A]],"0"), "-", TEXT(Table3[[#This Row],[OTL_A]]+Table3[[#This Row],[SOL_A]], "0"))</f>
        <v>6-8-3</v>
      </c>
      <c r="BN25" s="42">
        <f>((2*(Table3[[#This Row],[W_H]]))+Table3[[#This Row],[OTL_H]]+Table3[[#This Row],[SOL_H]])/(2*Table3[[#This Row],[GP_H]])</f>
        <v>0.6</v>
      </c>
      <c r="BO25" s="42">
        <f>((2*(Table3[[#This Row],[W_A]]))+Table3[[#This Row],[OTL_A]]+Table3[[#This Row],[SOL_A]])/(2*Table3[[#This Row],[GP_A]])</f>
        <v>0.44117647058823528</v>
      </c>
      <c r="BP25" s="16">
        <f>(Table3[[#This Row],[W]]*$CX$3)+(Table3[[#This Row],[L]]*$CX$4)+(Table3[[#This Row],[GF]]*$CX$5)+(Table3[[#This Row],[GA]]*$CX$6)</f>
        <v>32.050000000000004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99.32037037037037</v>
      </c>
      <c r="BR25" s="16">
        <f>(Table3[[#This Row],[W]]*0.7) + ((Table3[[#This Row],[GF]] - Table3[[#This Row],[GA]])*0.25)+(Table3[[#This Row],[GF]]*0.1)+(Table3[[#This Row],[GA]]*0.05)+(Table3[[#This Row],[L]]*0.3)</f>
        <v>21.650000000000002</v>
      </c>
      <c r="BS25" s="16">
        <f>Table3[[#This Row],[TeamCost83]]/Table3[[#This Row],[GP]]</f>
        <v>0.80185185185185193</v>
      </c>
      <c r="BT25">
        <f>COUNTIFS(Table2[AwayTeam],$A25,Table2[PredictedWinner], $A25, Table2[GameIsOver], 1)</f>
        <v>10</v>
      </c>
      <c r="BU25">
        <f>COUNTIFS(Table2[HomeTeam],$A25,Table2[PredictedWinner], $A25, Table2[GameIsOver], 1)</f>
        <v>6</v>
      </c>
      <c r="BV25">
        <f t="shared" si="8"/>
        <v>16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0.59259259259259256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9.5</v>
      </c>
      <c r="CJ25">
        <f>SUMIFS(Table2[GamePredictionScore], Table2[HomeTeam], Table3[[#This Row],[Teams]])</f>
        <v>4.3</v>
      </c>
      <c r="CK25">
        <f>Table3[[#This Row],[Column4]]+Table3[[#This Row],[Column3]]</f>
        <v>13.8</v>
      </c>
      <c r="CL25">
        <f>Table3[[#This Row],[Column5]]/Table3[[#This Row],[GP]]</f>
        <v>0.51111111111111118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0.8928571428571429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12</v>
      </c>
      <c r="I26">
        <f>41-Table3[[#This Row],[GP_H]]</f>
        <v>29</v>
      </c>
      <c r="J26">
        <f t="shared" si="0"/>
        <v>28</v>
      </c>
      <c r="K26">
        <f>82-Table3[[#This Row],[GP]]</f>
        <v>54</v>
      </c>
      <c r="L26">
        <f>COUNTIFS(DataRegularSeason20242025!$D$3:$D$1315,$A26, DataRegularSeason20242025!$L$3:$L$1315, $A26,DataRegularSeason20242025!$N$3:$N$1315,1)</f>
        <v>11</v>
      </c>
      <c r="M26">
        <f>COUNTIFS(DataRegularSeason20242025!$D$3:$D$1315,$A26, DataRegularSeason20242025!$L$3:$L$1315, $A26,DataRegularSeason20242025!$N$3:$N$1315,1,DataRegularSeason20242025!$M$3:$M$1315,"REG")</f>
        <v>8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 t="shared" si="1"/>
        <v>5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8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0.5</v>
      </c>
      <c r="AC26">
        <f>Table3[[#This Row],[W_A]]+Table3[[#This Row],[W_H]]</f>
        <v>14</v>
      </c>
      <c r="AD26">
        <f>Table3[[#This Row],[L_A]]+Table3[[#This Row],[L_H]]</f>
        <v>14</v>
      </c>
      <c r="AE26">
        <f>Table3[[#This Row],[RW_A]]+Table3[[#This Row],[RW_H]]</f>
        <v>10</v>
      </c>
      <c r="AF26">
        <f>Table3[[#This Row],[RL_A]]+Table3[[#This Row],[RL_H]]</f>
        <v>12</v>
      </c>
      <c r="AG26">
        <f>Table3[[#This Row],[OTW_A]]+Table3[[#This Row],[OTW_H]]</f>
        <v>3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4-2</v>
      </c>
      <c r="AL26">
        <f>SUM(Table3[[#This Row],[OTW]],Table3[[#This Row],[OTL]],Table3[[#This Row],[SOW]],Table3[[#This Row],[SOL]])</f>
        <v>6</v>
      </c>
      <c r="AM26">
        <f>(Table3[[#This Row],[OTW]]+Table3[[#This Row],[SOW]])/IF(Table3[[#This Row],[Total_ExtraTimes]]=0,1,Table3[[#This Row],[Total_ExtraTimes]])</f>
        <v>0.66666666666666663</v>
      </c>
      <c r="AN26">
        <f>Table3[[#This Row],[Total_ExtraTimes]]/MAX(1,Table3[[#This Row],[GP]])</f>
        <v>0.21428571428571427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6" s="10">
        <f>Table3[[#This Row],[PTS]]/(2*Table3[[#This Row],[GP]])</f>
        <v>0.5357142857142857</v>
      </c>
      <c r="AR26" s="10">
        <f>Table3[[#This Row],[PTS2]]/(3*Table3[[#This Row],[GP]])</f>
        <v>0.47619047619047616</v>
      </c>
      <c r="AS26">
        <f>(2*Table3[[#This Row],[GR]])+Table3[[#This Row],[PTS]]</f>
        <v>138</v>
      </c>
      <c r="AT26">
        <f>(3*Table3[[#This Row],[GR]])+Table3[[#This Row],[PTS2]]</f>
        <v>202</v>
      </c>
      <c r="AU26">
        <f>Table3[[#This Row],[PTS]]+(2 * Table3[[#This Row],[GR]] * Table3[[#This Row],[PTS%]])</f>
        <v>87.857142857142861</v>
      </c>
      <c r="AV26">
        <f>Table3[[#This Row],[PTS2]]+(3 * Table3[[#This Row],[GR]] * Table3[[#This Row],[PTS%2]])</f>
        <v>117.14285714285714</v>
      </c>
      <c r="AW26" s="15" t="str">
        <f>_xlfn.CONCAT(TEXT(Table3[[#This Row],[W]], "0"), "-", TEXT(Table3[[#This Row],[RL]],"0"), "-", TEXT(Table3[[#This Row],[OTL]]+Table3[[#This Row],[SOL]], "0"))</f>
        <v>14-12-2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37</v>
      </c>
      <c r="BA26">
        <f t="shared" si="3"/>
        <v>18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20</v>
      </c>
      <c r="BD26">
        <f>SUMIF(DataRegularSeason20242025!$E$3:$E$1315,$A26,DataRegularSeason20242025!$J$3:$J$1315)</f>
        <v>36</v>
      </c>
      <c r="BE26">
        <f t="shared" si="4"/>
        <v>-16</v>
      </c>
      <c r="BF26">
        <f t="shared" si="5"/>
        <v>75</v>
      </c>
      <c r="BG26">
        <f t="shared" si="6"/>
        <v>73</v>
      </c>
      <c r="BH26">
        <f t="shared" si="7"/>
        <v>2</v>
      </c>
      <c r="BI26" s="12">
        <f>Table3[[#This Row],[GF]]/Table3[[#This Row],[GP]]</f>
        <v>2.6785714285714284</v>
      </c>
      <c r="BJ26" s="12">
        <f>Table3[[#This Row],[GA]]/Table3[[#This Row],[GP]]</f>
        <v>2.6071428571428572</v>
      </c>
      <c r="BK26" s="12">
        <f>(Table3[[#This Row],[GF]]-Table3[[#This Row],[GA]])/Table3[[#This Row],[GP]]</f>
        <v>7.1428571428571425E-2</v>
      </c>
      <c r="BL26" s="42" t="str">
        <f>_xlfn.CONCAT(TEXT(Table3[[#This Row],[W_H]], "0"), "-", TEXT(Table3[[#This Row],[RL_H]],"0"), "-", TEXT(Table3[[#This Row],[OTL_H]]+Table3[[#This Row],[SOL_H]], "0"))</f>
        <v>3-8-1</v>
      </c>
      <c r="BM26" s="42" t="str">
        <f>_xlfn.CONCAT(TEXT(Table3[[#This Row],[W_A]], "0"), "-", TEXT(Table3[[#This Row],[RL_A]],"0"), "-", TEXT(Table3[[#This Row],[OTL_A]]+Table3[[#This Row],[SOL_A]], "0"))</f>
        <v>11-4-1</v>
      </c>
      <c r="BN26" s="42">
        <f>((2*(Table3[[#This Row],[W_H]]))+Table3[[#This Row],[OTL_H]]+Table3[[#This Row],[SOL_H]])/(2*Table3[[#This Row],[GP_H]])</f>
        <v>0.29166666666666669</v>
      </c>
      <c r="BO26" s="42">
        <f>((2*(Table3[[#This Row],[W_A]]))+Table3[[#This Row],[OTL_A]]+Table3[[#This Row],[SOL_A]])/(2*Table3[[#This Row],[GP_A]])</f>
        <v>0.71875</v>
      </c>
      <c r="BP26" s="16">
        <f>(Table3[[#This Row],[W]]*$CX$3)+(Table3[[#This Row],[L]]*$CX$4)+(Table3[[#This Row],[GF]]*$CX$5)+(Table3[[#This Row],[GA]]*$CX$6)</f>
        <v>29.75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85.267346938775503</v>
      </c>
      <c r="BR26" s="16">
        <f>(Table3[[#This Row],[W]]*0.7) + ((Table3[[#This Row],[GF]] - Table3[[#This Row],[GA]])*0.25)+(Table3[[#This Row],[GF]]*0.1)+(Table3[[#This Row],[GA]]*0.05)+(Table3[[#This Row],[L]]*0.3)</f>
        <v>25.649999999999995</v>
      </c>
      <c r="BS26" s="16">
        <f>Table3[[#This Row],[TeamCost83]]/Table3[[#This Row],[GP]]</f>
        <v>0.91607142857142843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 t="shared" si="8"/>
        <v>9</v>
      </c>
      <c r="BW26">
        <f t="shared" si="9"/>
        <v>10</v>
      </c>
      <c r="BX26">
        <f t="shared" si="10"/>
        <v>9</v>
      </c>
      <c r="BY26">
        <f t="shared" si="11"/>
        <v>19</v>
      </c>
      <c r="BZ26">
        <f>Table3[[#This Row],[TimesPredictedWinner]]/Table3[[#This Row],[GP]]</f>
        <v>0.32142857142857145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6.6</v>
      </c>
      <c r="CK26">
        <f>Table3[[#This Row],[Column4]]+Table3[[#This Row],[Column3]]</f>
        <v>10.899999999999999</v>
      </c>
      <c r="CL26">
        <f>Table3[[#This Row],[Column5]]/Table3[[#This Row],[GP]]</f>
        <v>0.38928571428571423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0.44444444444444442</v>
      </c>
      <c r="AC27">
        <f>Table3[[#This Row],[W_A]]+Table3[[#This Row],[W_H]]</f>
        <v>12</v>
      </c>
      <c r="AD27">
        <f>Table3[[#This Row],[L_A]]+Table3[[#This Row],[L_H]]</f>
        <v>15</v>
      </c>
      <c r="AE27">
        <f>Table3[[#This Row],[RW_A]]+Table3[[#This Row],[RW_H]]</f>
        <v>9</v>
      </c>
      <c r="AF27">
        <f>Table3[[#This Row],[RL_A]]+Table3[[#This Row],[RL_H]]</f>
        <v>12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0.22222222222222221</v>
      </c>
      <c r="AO27">
        <f>(2*(Table3[[#This Row],[W_A]]+Table3[[#This Row],[W_H]]))+Table3[[#This Row],[OTL_A]]+Table3[[#This Row],[SOL_A]]+Table3[[#This Row],[OTL_H]]+Table3[[#This Row],[SOL_H]]</f>
        <v>27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7" s="10">
        <f>Table3[[#This Row],[PTS]]/(2*Table3[[#This Row],[GP]])</f>
        <v>0.5</v>
      </c>
      <c r="AR27" s="10">
        <f>Table3[[#This Row],[PTS2]]/(3*Table3[[#This Row],[GP]])</f>
        <v>0.44444444444444442</v>
      </c>
      <c r="AS27">
        <f>(2*Table3[[#This Row],[GR]])+Table3[[#This Row],[PTS]]</f>
        <v>137</v>
      </c>
      <c r="AT27">
        <f>(3*Table3[[#This Row],[GR]])+Table3[[#This Row],[PTS2]]</f>
        <v>201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109.33333333333333</v>
      </c>
      <c r="AW27" s="15" t="str">
        <f>_xlfn.CONCAT(TEXT(Table3[[#This Row],[W]], "0"), "-", TEXT(Table3[[#This Row],[RL]],"0"), "-", TEXT(Table3[[#This Row],[OTL]]+Table3[[#This Row],[SOL]], "0"))</f>
        <v>12-12-3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43</v>
      </c>
      <c r="AZ27">
        <f>SUMIF(DataRegularSeason20242025!$D$3:$D$1315,$A27, DataRegularSeason20242025!$K$3:$K$1315)</f>
        <v>54</v>
      </c>
      <c r="BA27">
        <f t="shared" si="3"/>
        <v>-11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 t="shared" si="4"/>
        <v>8</v>
      </c>
      <c r="BF27">
        <f t="shared" si="5"/>
        <v>80</v>
      </c>
      <c r="BG27">
        <f t="shared" si="6"/>
        <v>83</v>
      </c>
      <c r="BH27">
        <f t="shared" si="7"/>
        <v>-3</v>
      </c>
      <c r="BI27" s="12">
        <f>Table3[[#This Row],[GF]]/Table3[[#This Row],[GP]]</f>
        <v>2.9629629629629628</v>
      </c>
      <c r="BJ27" s="12">
        <f>Table3[[#This Row],[GA]]/Table3[[#This Row],[GP]]</f>
        <v>3.074074074074074</v>
      </c>
      <c r="BK27" s="12">
        <f>(Table3[[#This Row],[GF]]-Table3[[#This Row],[GA]])/Table3[[#This Row],[GP]]</f>
        <v>-0.1111111111111111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5-9-2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0.375</v>
      </c>
      <c r="BP27" s="16">
        <f>(Table3[[#This Row],[W]]*$CX$3)+(Table3[[#This Row],[L]]*$CX$4)+(Table3[[#This Row],[GF]]*$CX$5)+(Table3[[#This Row],[GA]]*$CX$6)</f>
        <v>30.8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93.666666666666671</v>
      </c>
      <c r="BR27" s="16">
        <f>(Table3[[#This Row],[W]]*0.7) + ((Table3[[#This Row],[GF]] - Table3[[#This Row],[GA]])*0.25)+(Table3[[#This Row],[GF]]*0.1)+(Table3[[#This Row],[GA]]*0.05)+(Table3[[#This Row],[L]]*0.3)</f>
        <v>24.299999999999997</v>
      </c>
      <c r="BS27" s="16">
        <f>Table3[[#This Row],[TeamCost83]]/Table3[[#This Row],[GP]]</f>
        <v>0.89999999999999991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5</v>
      </c>
      <c r="BV27">
        <f t="shared" si="8"/>
        <v>11</v>
      </c>
      <c r="BW27">
        <f t="shared" si="9"/>
        <v>10</v>
      </c>
      <c r="BX27">
        <f t="shared" si="10"/>
        <v>6</v>
      </c>
      <c r="BY27">
        <f t="shared" si="11"/>
        <v>16</v>
      </c>
      <c r="BZ27">
        <f>Table3[[#This Row],[TimesPredictedWinner]]/Table3[[#This Row],[GP]]</f>
        <v>0.40740740740740738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9.2000000000000011</v>
      </c>
      <c r="CJ27">
        <f>SUMIFS(Table2[GamePredictionScore], Table2[HomeTeam], Table3[[#This Row],[Teams]])</f>
        <v>2.9</v>
      </c>
      <c r="CK27">
        <f>Table3[[#This Row],[Column4]]+Table3[[#This Row],[Column3]]</f>
        <v>12.100000000000001</v>
      </c>
      <c r="CL27">
        <f>Table3[[#This Row],[Column5]]/Table3[[#This Row],[GP]]</f>
        <v>0.44814814814814818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24</v>
      </c>
      <c r="E28" s="10">
        <f>Table3[[#This Row],[Watched]]/Table3[[#This Row],[GP]]</f>
        <v>0.92307692307692313</v>
      </c>
      <c r="F28">
        <f>COUNTIFS(DataRegularSeason20242025!$N$3:$N$1315,1,DataRegularSeason20242025!$D$3:$D$1315,$A28)</f>
        <v>11</v>
      </c>
      <c r="G28">
        <f>41-Table3[[#This Row],[GP_A]]</f>
        <v>30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26</v>
      </c>
      <c r="K28">
        <f>82-Table3[[#This Row],[GP]]</f>
        <v>56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3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0.46153846153846156</v>
      </c>
      <c r="AC28">
        <f>Table3[[#This Row],[W_A]]+Table3[[#This Row],[W_H]]</f>
        <v>12</v>
      </c>
      <c r="AD28">
        <f>Table3[[#This Row],[L_A]]+Table3[[#This Row],[L_H]]</f>
        <v>14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0.26923076923076922</v>
      </c>
      <c r="AO28">
        <f>(2*(Table3[[#This Row],[W_A]]+Table3[[#This Row],[W_H]]))+Table3[[#This Row],[OTL_A]]+Table3[[#This Row],[SOL_A]]+Table3[[#This Row],[OTL_H]]+Table3[[#This Row],[SOL_H]]</f>
        <v>27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8" s="10">
        <f>Table3[[#This Row],[PTS]]/(2*Table3[[#This Row],[GP]])</f>
        <v>0.51923076923076927</v>
      </c>
      <c r="AR28" s="10">
        <f>Table3[[#This Row],[PTS2]]/(3*Table3[[#This Row],[GP]])</f>
        <v>0.44871794871794873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85.15384615384616</v>
      </c>
      <c r="AV28">
        <f>Table3[[#This Row],[PTS2]]+(3 * Table3[[#This Row],[GR]] * Table3[[#This Row],[PTS%2]])</f>
        <v>110.38461538461539</v>
      </c>
      <c r="AW28" s="15" t="str">
        <f>_xlfn.CONCAT(TEXT(Table3[[#This Row],[W]], "0"), "-", TEXT(Table3[[#This Row],[RL]],"0"), "-", TEXT(Table3[[#This Row],[OTL]]+Table3[[#This Row],[SOL]], "0"))</f>
        <v>12-11-3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36</v>
      </c>
      <c r="AZ28">
        <f>SUMIF(DataRegularSeason20242025!$D$3:$D$1315,$A28, DataRegularSeason20242025!$K$3:$K$1315)</f>
        <v>40</v>
      </c>
      <c r="BA28">
        <f t="shared" si="3"/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 t="shared" si="4"/>
        <v>3</v>
      </c>
      <c r="BF28">
        <f t="shared" si="5"/>
        <v>89</v>
      </c>
      <c r="BG28">
        <f t="shared" si="6"/>
        <v>90</v>
      </c>
      <c r="BH28">
        <f t="shared" si="7"/>
        <v>-1</v>
      </c>
      <c r="BI28" s="12">
        <f>Table3[[#This Row],[GF]]/Table3[[#This Row],[GP]]</f>
        <v>3.4230769230769229</v>
      </c>
      <c r="BJ28" s="12">
        <f>Table3[[#This Row],[GA]]/Table3[[#This Row],[GP]]</f>
        <v>3.4615384615384617</v>
      </c>
      <c r="BK28" s="12">
        <f>(Table3[[#This Row],[GF]]-Table3[[#This Row],[GA]])/Table3[[#This Row],[GP]]</f>
        <v>-3.8461538461538464E-2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4-7-0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0.36363636363636365</v>
      </c>
      <c r="BP28" s="16">
        <f>(Table3[[#This Row],[W]]*$CX$3)+(Table3[[#This Row],[L]]*$CX$4)+(Table3[[#This Row],[GF]]*$CX$5)+(Table3[[#This Row],[GA]]*$CX$6)</f>
        <v>32.549999999999997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104.31213017751479</v>
      </c>
      <c r="BR28" s="16">
        <f>(Table3[[#This Row],[W]]*0.7) + ((Table3[[#This Row],[GF]] - Table3[[#This Row],[GA]])*0.25)+(Table3[[#This Row],[GF]]*0.1)+(Table3[[#This Row],[GA]]*0.05)+(Table3[[#This Row],[L]]*0.3)</f>
        <v>25.749999999999996</v>
      </c>
      <c r="BS28" s="16">
        <f>Table3[[#This Row],[TeamCost83]]/Table3[[#This Row],[GP]]</f>
        <v>0.9903846153846152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7</v>
      </c>
      <c r="BV28">
        <f t="shared" si="8"/>
        <v>14</v>
      </c>
      <c r="BW28">
        <f t="shared" si="9"/>
        <v>4</v>
      </c>
      <c r="BX28">
        <f t="shared" si="10"/>
        <v>8</v>
      </c>
      <c r="BY28">
        <f t="shared" si="11"/>
        <v>12</v>
      </c>
      <c r="BZ28">
        <f>Table3[[#This Row],[TimesPredictedWinner]]/Table3[[#This Row],[GP]]</f>
        <v>0.53846153846153844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3.6</v>
      </c>
      <c r="CJ28">
        <f>SUMIFS(Table2[GamePredictionScore], Table2[HomeTeam], Table3[[#This Row],[Teams]])</f>
        <v>7.2</v>
      </c>
      <c r="CK28">
        <f>Table3[[#This Row],[Column4]]+Table3[[#This Row],[Column3]]</f>
        <v>10.8</v>
      </c>
      <c r="CL28">
        <f>Table3[[#This Row],[Column5]]/Table3[[#This Row],[GP]]</f>
        <v>0.41538461538461541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22</v>
      </c>
      <c r="E29" s="10">
        <f>Table3[[#This Row],[Watched]]/Table3[[#This Row],[GP]]</f>
        <v>0.84615384615384615</v>
      </c>
      <c r="F29">
        <f>COUNTIFS(DataRegularSeason20242025!$N$3:$N$1315,1,DataRegularSeason20242025!$D$3:$D$1315,$A29)</f>
        <v>10</v>
      </c>
      <c r="G29">
        <f>41-Table3[[#This Row],[GP_A]]</f>
        <v>31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2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8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0.42307692307692307</v>
      </c>
      <c r="AC29">
        <f>Table3[[#This Row],[W_A]]+Table3[[#This Row],[W_H]]</f>
        <v>11</v>
      </c>
      <c r="AD29">
        <f>Table3[[#This Row],[L_A]]+Table3[[#This Row],[L_H]]</f>
        <v>15</v>
      </c>
      <c r="AE29">
        <f>Table3[[#This Row],[RW_A]]+Table3[[#This Row],[RW_H]]</f>
        <v>8</v>
      </c>
      <c r="AF29">
        <f>Table3[[#This Row],[RL_A]]+Table3[[#This Row],[RL_H]]</f>
        <v>11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3-4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0.42857142857142855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9" s="10">
        <f>Table3[[#This Row],[PTS]]/(2*Table3[[#This Row],[GP]])</f>
        <v>0.5</v>
      </c>
      <c r="AR29" s="10">
        <f>Table3[[#This Row],[PTS2]]/(3*Table3[[#This Row],[GP]])</f>
        <v>0.4358974358974359</v>
      </c>
      <c r="AS29">
        <f>(2*Table3[[#This Row],[GR]])+Table3[[#This Row],[PTS]]</f>
        <v>138</v>
      </c>
      <c r="AT29">
        <f>(3*Table3[[#This Row],[GR]])+Table3[[#This Row],[PTS2]]</f>
        <v>202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107.23076923076923</v>
      </c>
      <c r="AW29" s="15" t="str">
        <f>_xlfn.CONCAT(TEXT(Table3[[#This Row],[W]], "0"), "-", TEXT(Table3[[#This Row],[RL]],"0"), "-", TEXT(Table3[[#This Row],[OTL]]+Table3[[#This Row],[SOL]], "0"))</f>
        <v>11-11-4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29</v>
      </c>
      <c r="AZ29">
        <f>SUMIF(DataRegularSeason20242025!$D$3:$D$1315,$A29, DataRegularSeason20242025!$K$3:$K$1315)</f>
        <v>47</v>
      </c>
      <c r="BA29">
        <f t="shared" si="3"/>
        <v>-18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83</v>
      </c>
      <c r="BG29">
        <f t="shared" si="6"/>
        <v>92</v>
      </c>
      <c r="BH29">
        <f t="shared" si="7"/>
        <v>-9</v>
      </c>
      <c r="BI29" s="12">
        <f>Table3[[#This Row],[GF]]/Table3[[#This Row],[GP]]</f>
        <v>3.1923076923076925</v>
      </c>
      <c r="BJ29" s="12">
        <f>Table3[[#This Row],[GA]]/Table3[[#This Row],[GP]]</f>
        <v>3.5384615384615383</v>
      </c>
      <c r="BK29" s="12">
        <f>(Table3[[#This Row],[GF]]-Table3[[#This Row],[GA]])/Table3[[#This Row],[GP]]</f>
        <v>-0.34615384615384615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2-6-2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31.65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101.19230769230769</v>
      </c>
      <c r="BR29" s="16">
        <f>(Table3[[#This Row],[W]]*0.7) + ((Table3[[#This Row],[GF]] - Table3[[#This Row],[GA]])*0.25)+(Table3[[#This Row],[GF]]*0.1)+(Table3[[#This Row],[GA]]*0.05)+(Table3[[#This Row],[L]]*0.3)</f>
        <v>22.85</v>
      </c>
      <c r="BS29" s="16">
        <f>Table3[[#This Row],[TeamCost83]]/Table3[[#This Row],[GP]]</f>
        <v>0.87884615384615394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 t="shared" si="8"/>
        <v>9</v>
      </c>
      <c r="BW29">
        <f t="shared" si="9"/>
        <v>8</v>
      </c>
      <c r="BX29">
        <f t="shared" si="10"/>
        <v>9</v>
      </c>
      <c r="BY29">
        <f t="shared" si="11"/>
        <v>17</v>
      </c>
      <c r="BZ29">
        <f>Table3[[#This Row],[TimesPredictedWinner]]/Table3[[#This Row],[GP]]</f>
        <v>0.34615384615384615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</v>
      </c>
      <c r="CJ29">
        <f>SUMIFS(Table2[GamePredictionScore], Table2[HomeTeam], Table3[[#This Row],[Teams]])</f>
        <v>6.6</v>
      </c>
      <c r="CK29">
        <f>Table3[[#This Row],[Column4]]+Table3[[#This Row],[Column3]]</f>
        <v>11.6</v>
      </c>
      <c r="CL29">
        <f>Table3[[#This Row],[Column5]]/Table3[[#This Row],[GP]]</f>
        <v>0.44615384615384612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22</v>
      </c>
      <c r="E30" s="10">
        <f>Table3[[#This Row],[Watched]]/Table3[[#This Row],[GP]]</f>
        <v>0.81481481481481477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 t="shared" si="0"/>
        <v>27</v>
      </c>
      <c r="K30">
        <f>82-Table3[[#This Row],[GP]]</f>
        <v>55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9</v>
      </c>
      <c r="Y30">
        <f>COUNTIFS(DataRegularSeason20242025!$E$3:$E$1315,$A30, DataRegularSeason20242025!$S$3:$S$1315, $A30,DataRegularSeason20242025!$M$3:$M$1315,"REG")</f>
        <v>6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0.37037037037037035</v>
      </c>
      <c r="AC30">
        <f>Table3[[#This Row],[W_A]]+Table3[[#This Row],[W_H]]</f>
        <v>10</v>
      </c>
      <c r="AD30">
        <f>Table3[[#This Row],[L_A]]+Table3[[#This Row],[L_H]]</f>
        <v>17</v>
      </c>
      <c r="AE30">
        <f>Table3[[#This Row],[RW_A]]+Table3[[#This Row],[RW_H]]</f>
        <v>9</v>
      </c>
      <c r="AF30">
        <f>Table3[[#This Row],[RL_A]]+Table3[[#This Row],[RL_H]]</f>
        <v>11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0.25925925925925924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0" s="10">
        <f>Table3[[#This Row],[PTS]]/(2*Table3[[#This Row],[GP]])</f>
        <v>0.48148148148148145</v>
      </c>
      <c r="AR30" s="10">
        <f>Table3[[#This Row],[PTS2]]/(3*Table3[[#This Row],[GP]])</f>
        <v>0.43209876543209874</v>
      </c>
      <c r="AS30">
        <f>(2*Table3[[#This Row],[GR]])+Table3[[#This Row],[PTS]]</f>
        <v>136</v>
      </c>
      <c r="AT30">
        <f>(3*Table3[[#This Row],[GR]])+Table3[[#This Row],[PTS2]]</f>
        <v>200</v>
      </c>
      <c r="AU30">
        <f>Table3[[#This Row],[PTS]]+(2 * Table3[[#This Row],[GR]] * Table3[[#This Row],[PTS%]])</f>
        <v>78.962962962962962</v>
      </c>
      <c r="AV30">
        <f>Table3[[#This Row],[PTS2]]+(3 * Table3[[#This Row],[GR]] * Table3[[#This Row],[PTS%2]])</f>
        <v>106.29629629629629</v>
      </c>
      <c r="AW30" s="15" t="str">
        <f>_xlfn.CONCAT(TEXT(Table3[[#This Row],[W]], "0"), "-", TEXT(Table3[[#This Row],[RL]],"0"), "-", TEXT(Table3[[#This Row],[OTL]]+Table3[[#This Row],[SOL]], "0"))</f>
        <v>10-11-6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 t="shared" si="3"/>
        <v>-6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38</v>
      </c>
      <c r="BD30">
        <f>SUMIF(DataRegularSeason20242025!$E$3:$E$1315,$A30,DataRegularSeason20242025!$J$3:$J$1315)</f>
        <v>56</v>
      </c>
      <c r="BE30">
        <f t="shared" si="4"/>
        <v>-18</v>
      </c>
      <c r="BF30">
        <f t="shared" si="5"/>
        <v>70</v>
      </c>
      <c r="BG30">
        <f t="shared" si="6"/>
        <v>94</v>
      </c>
      <c r="BH30">
        <f t="shared" si="7"/>
        <v>-24</v>
      </c>
      <c r="BI30" s="12">
        <f>Table3[[#This Row],[GF]]/Table3[[#This Row],[GP]]</f>
        <v>2.5925925925925926</v>
      </c>
      <c r="BJ30" s="12">
        <f>Table3[[#This Row],[GA]]/Table3[[#This Row],[GP]]</f>
        <v>3.4814814814814814</v>
      </c>
      <c r="BK30" s="12">
        <f>(Table3[[#This Row],[GF]]-Table3[[#This Row],[GA]])/Table3[[#This Row],[GP]]</f>
        <v>-0.88888888888888884</v>
      </c>
      <c r="BL30" s="42" t="str">
        <f>_xlfn.CONCAT(TEXT(Table3[[#This Row],[W_H]], "0"), "-", TEXT(Table3[[#This Row],[RL_H]],"0"), "-", TEXT(Table3[[#This Row],[OTL_H]]+Table3[[#This Row],[SOL_H]], "0"))</f>
        <v>6-6-3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30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91.640603566529506</v>
      </c>
      <c r="BR30" s="16">
        <f>(Table3[[#This Row],[W]]*0.7) + ((Table3[[#This Row],[GF]] - Table3[[#This Row],[GA]])*0.25)+(Table3[[#This Row],[GF]]*0.1)+(Table3[[#This Row],[GA]]*0.05)+(Table3[[#This Row],[L]]*0.3)</f>
        <v>17.799999999999997</v>
      </c>
      <c r="BS30" s="16">
        <f>Table3[[#This Row],[TeamCost83]]/Table3[[#This Row],[GP]]</f>
        <v>0.6592592592592591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3</v>
      </c>
      <c r="BV30">
        <f t="shared" si="8"/>
        <v>7</v>
      </c>
      <c r="BW30">
        <f t="shared" si="9"/>
        <v>8</v>
      </c>
      <c r="BX30">
        <f t="shared" si="10"/>
        <v>12</v>
      </c>
      <c r="BY30">
        <f t="shared" si="11"/>
        <v>20</v>
      </c>
      <c r="BZ30">
        <f>Table3[[#This Row],[TimesPredictedWinner]]/Table3[[#This Row],[GP]]</f>
        <v>0.25925925925925924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6.8999999999999995</v>
      </c>
      <c r="CK30">
        <f>Table3[[#This Row],[Column4]]+Table3[[#This Row],[Column3]]</f>
        <v>13.7</v>
      </c>
      <c r="CL30">
        <f>Table3[[#This Row],[Column5]]/Table3[[#This Row],[GP]]</f>
        <v>0.50740740740740742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0.88888888888888884</v>
      </c>
      <c r="F31">
        <f>COUNTIFS(DataRegularSeason20242025!$N$3:$N$1315,1,DataRegularSeason20242025!$D$3:$D$1315,$A31)</f>
        <v>16</v>
      </c>
      <c r="G31">
        <f>41-Table3[[#This Row],[GP_A]]</f>
        <v>25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27</v>
      </c>
      <c r="K31">
        <f>82-Table3[[#This Row],[GP]]</f>
        <v>55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0.37037037037037035</v>
      </c>
      <c r="AC31">
        <f>Table3[[#This Row],[W_A]]+Table3[[#This Row],[W_H]]</f>
        <v>10</v>
      </c>
      <c r="AD31">
        <f>Table3[[#This Row],[L_A]]+Table3[[#This Row],[L_H]]</f>
        <v>17</v>
      </c>
      <c r="AE31">
        <f>Table3[[#This Row],[RW_A]]+Table3[[#This Row],[RW_H]]</f>
        <v>6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0.25925925925925924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0.42592592592592593</v>
      </c>
      <c r="AR31" s="10">
        <f>Table3[[#This Row],[PTS2]]/(3*Table3[[#This Row],[GP]])</f>
        <v>0.35802469135802467</v>
      </c>
      <c r="AS31">
        <f>(2*Table3[[#This Row],[GR]])+Table3[[#This Row],[PTS]]</f>
        <v>133</v>
      </c>
      <c r="AT31">
        <f>(3*Table3[[#This Row],[GR]])+Table3[[#This Row],[PTS2]]</f>
        <v>194</v>
      </c>
      <c r="AU31">
        <f>Table3[[#This Row],[PTS]]+(2 * Table3[[#This Row],[GR]] * Table3[[#This Row],[PTS%]])</f>
        <v>69.851851851851848</v>
      </c>
      <c r="AV31">
        <f>Table3[[#This Row],[PTS2]]+(3 * Table3[[#This Row],[GR]] * Table3[[#This Row],[PTS%2]])</f>
        <v>88.074074074074076</v>
      </c>
      <c r="AW31" s="15" t="str">
        <f>_xlfn.CONCAT(TEXT(Table3[[#This Row],[W]], "0"), "-", TEXT(Table3[[#This Row],[RL]],"0"), "-", TEXT(Table3[[#This Row],[OTL]]+Table3[[#This Row],[SOL]], "0"))</f>
        <v>10-14-3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49</v>
      </c>
      <c r="AZ31">
        <f>SUMIF(DataRegularSeason20242025!$D$3:$D$1315,$A31, DataRegularSeason20242025!$K$3:$K$1315)</f>
        <v>56</v>
      </c>
      <c r="BA31">
        <f t="shared" si="3"/>
        <v>-7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80</v>
      </c>
      <c r="BG31">
        <f t="shared" si="6"/>
        <v>98</v>
      </c>
      <c r="BH31">
        <f t="shared" si="7"/>
        <v>-18</v>
      </c>
      <c r="BI31" s="12">
        <f>Table3[[#This Row],[GF]]/Table3[[#This Row],[GP]]</f>
        <v>2.9629629629629628</v>
      </c>
      <c r="BJ31" s="12">
        <f>Table3[[#This Row],[GA]]/Table3[[#This Row],[GP]]</f>
        <v>3.6296296296296298</v>
      </c>
      <c r="BK31" s="12">
        <f>(Table3[[#This Row],[GF]]-Table3[[#This Row],[GA]])/Table3[[#This Row],[GP]]</f>
        <v>-0.66666666666666663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7-7-2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</v>
      </c>
      <c r="BP31" s="16">
        <f>(Table3[[#This Row],[W]]*$CX$3)+(Table3[[#This Row],[L]]*$CX$4)+(Table3[[#This Row],[GF]]*$CX$5)+(Table3[[#This Row],[GA]]*$CX$6)</f>
        <v>31.900000000000002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99.27722908093277</v>
      </c>
      <c r="BR31" s="16">
        <f>(Table3[[#This Row],[W]]*0.7) + ((Table3[[#This Row],[GF]] - Table3[[#This Row],[GA]])*0.25)+(Table3[[#This Row],[GF]]*0.1)+(Table3[[#This Row],[GA]]*0.05)+(Table3[[#This Row],[L]]*0.3)</f>
        <v>20.5</v>
      </c>
      <c r="BS31" s="16">
        <f>Table3[[#This Row],[TeamCost83]]/Table3[[#This Row],[GP]]</f>
        <v>0.7592592592592593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 t="shared" si="8"/>
        <v>10</v>
      </c>
      <c r="BW31">
        <f t="shared" si="9"/>
        <v>11</v>
      </c>
      <c r="BX31">
        <f t="shared" si="10"/>
        <v>6</v>
      </c>
      <c r="BY31">
        <f t="shared" si="11"/>
        <v>17</v>
      </c>
      <c r="BZ31">
        <f>Table3[[#This Row],[TimesPredictedWinner]]/Table3[[#This Row],[GP]]</f>
        <v>0.37037037037037035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10.3</v>
      </c>
      <c r="CJ31">
        <f>SUMIFS(Table2[GamePredictionScore], Table2[HomeTeam], Table3[[#This Row],[Teams]])</f>
        <v>6.4</v>
      </c>
      <c r="CK31">
        <f>Table3[[#This Row],[Column4]]+Table3[[#This Row],[Column3]]</f>
        <v>16.700000000000003</v>
      </c>
      <c r="CL31">
        <f>Table3[[#This Row],[Column5]]/Table3[[#This Row],[GP]]</f>
        <v>0.61851851851851858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28</v>
      </c>
      <c r="E32" s="10">
        <f>Table3[[#This Row],[Watched]]/Table3[[#This Row],[GP]]</f>
        <v>1</v>
      </c>
      <c r="F32">
        <f>COUNTIFS(DataRegularSeason20242025!$N$3:$N$1315,1,DataRegularSeason20242025!$D$3:$D$1315,$A32)</f>
        <v>18</v>
      </c>
      <c r="G32">
        <f>41-Table3[[#This Row],[GP_A]]</f>
        <v>23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28</v>
      </c>
      <c r="K32">
        <f>82-Table3[[#This Row],[GP]]</f>
        <v>54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0.32142857142857145</v>
      </c>
      <c r="AC32">
        <f>Table3[[#This Row],[W_A]]+Table3[[#This Row],[W_H]]</f>
        <v>9</v>
      </c>
      <c r="AD32">
        <f>Table3[[#This Row],[L_A]]+Table3[[#This Row],[L_H]]</f>
        <v>19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0.21428571428571427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0.39285714285714285</v>
      </c>
      <c r="AR32" s="10">
        <f>Table3[[#This Row],[PTS2]]/(3*Table3[[#This Row],[GP]])</f>
        <v>0.34523809523809523</v>
      </c>
      <c r="AS32">
        <f>(2*Table3[[#This Row],[GR]])+Table3[[#This Row],[PTS]]</f>
        <v>130</v>
      </c>
      <c r="AT32">
        <f>(3*Table3[[#This Row],[GR]])+Table3[[#This Row],[PTS2]]</f>
        <v>191</v>
      </c>
      <c r="AU32">
        <f>Table3[[#This Row],[PTS]]+(2 * Table3[[#This Row],[GR]] * Table3[[#This Row],[PTS%]])</f>
        <v>64.428571428571431</v>
      </c>
      <c r="AV32">
        <f>Table3[[#This Row],[PTS2]]+(3 * Table3[[#This Row],[GR]] * Table3[[#This Row],[PTS%2]])</f>
        <v>84.928571428571431</v>
      </c>
      <c r="AW32" s="15" t="str">
        <f>_xlfn.CONCAT(TEXT(Table3[[#This Row],[W]], "0"), "-", TEXT(Table3[[#This Row],[RL]],"0"), "-", TEXT(Table3[[#This Row],[OTL]]+Table3[[#This Row],[SOL]], "0"))</f>
        <v>9-15-4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42</v>
      </c>
      <c r="AZ32">
        <f>SUMIF(DataRegularSeason20242025!$D$3:$D$1315,$A32, DataRegularSeason20242025!$K$3:$K$1315)</f>
        <v>63</v>
      </c>
      <c r="BA32">
        <f t="shared" si="3"/>
        <v>-21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66</v>
      </c>
      <c r="BG32">
        <f t="shared" si="6"/>
        <v>87</v>
      </c>
      <c r="BH32">
        <f t="shared" si="7"/>
        <v>-21</v>
      </c>
      <c r="BI32" s="12">
        <f>Table3[[#This Row],[GF]]/Table3[[#This Row],[GP]]</f>
        <v>2.3571428571428572</v>
      </c>
      <c r="BJ32" s="12">
        <f>Table3[[#This Row],[GA]]/Table3[[#This Row],[GP]]</f>
        <v>3.1071428571428572</v>
      </c>
      <c r="BK32" s="12">
        <f>(Table3[[#This Row],[GF]]-Table3[[#This Row],[GA]])/Table3[[#This Row],[GP]]</f>
        <v>-0.75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5-11-2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28.800000000000004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84.380102040816325</v>
      </c>
      <c r="BR32" s="16">
        <f>(Table3[[#This Row],[W]]*0.7) + ((Table3[[#This Row],[GF]] - Table3[[#This Row],[GA]])*0.25)+(Table3[[#This Row],[GF]]*0.1)+(Table3[[#This Row],[GA]]*0.05)+(Table3[[#This Row],[L]]*0.3)</f>
        <v>17.7</v>
      </c>
      <c r="BS32" s="16">
        <f>Table3[[#This Row],[TeamCost83]]/Table3[[#This Row],[GP]]</f>
        <v>0.63214285714285712</v>
      </c>
      <c r="BT32">
        <f>COUNTIFS(Table2[AwayTeam],$A32,Table2[PredictedWinner], $A32, Table2[GameIsOver], 1)</f>
        <v>15</v>
      </c>
      <c r="BU32">
        <f>COUNTIFS(Table2[HomeTeam],$A32,Table2[PredictedWinner], $A32, Table2[GameIsOver], 1)</f>
        <v>10</v>
      </c>
      <c r="BV32">
        <f t="shared" si="8"/>
        <v>25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0.8928571428571429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0.31071428571428567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8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20</v>
      </c>
      <c r="E33" s="10">
        <f>Table3[[#This Row],[Watched]]/Table3[[#This Row],[GP]]</f>
        <v>0.76923076923076927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 t="shared" si="0"/>
        <v>26</v>
      </c>
      <c r="K33">
        <f>82-Table3[[#This Row],[GP]]</f>
        <v>56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0.34615384615384615</v>
      </c>
      <c r="AC33">
        <f>Table3[[#This Row],[W_A]]+Table3[[#This Row],[W_H]]</f>
        <v>9</v>
      </c>
      <c r="AD33">
        <f>Table3[[#This Row],[L_A]]+Table3[[#This Row],[L_H]]</f>
        <v>17</v>
      </c>
      <c r="AE33">
        <f>Table3[[#This Row],[RW_A]]+Table3[[#This Row],[RW_H]]</f>
        <v>7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0.23076923076923078</v>
      </c>
      <c r="AO33">
        <f>(2*(Table3[[#This Row],[W_A]]+Table3[[#This Row],[W_H]]))+Table3[[#This Row],[OTL_A]]+Table3[[#This Row],[SOL_A]]+Table3[[#This Row],[OTL_H]]+Table3[[#This Row],[SOL_H]]</f>
        <v>22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3" s="10">
        <f>Table3[[#This Row],[PTS]]/(2*Table3[[#This Row],[GP]])</f>
        <v>0.42307692307692307</v>
      </c>
      <c r="AR33" s="10">
        <f>Table3[[#This Row],[PTS2]]/(3*Table3[[#This Row],[GP]])</f>
        <v>0.37179487179487181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69.384615384615387</v>
      </c>
      <c r="AV33">
        <f>Table3[[#This Row],[PTS2]]+(3 * Table3[[#This Row],[GR]] * Table3[[#This Row],[PTS%2]])</f>
        <v>91.461538461538467</v>
      </c>
      <c r="AW33" s="15" t="str">
        <f>_xlfn.CONCAT(TEXT(Table3[[#This Row],[W]], "0"), "-", TEXT(Table3[[#This Row],[RL]],"0"), "-", TEXT(Table3[[#This Row],[OTL]]+Table3[[#This Row],[SOL]], "0"))</f>
        <v>9-13-4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 t="shared" si="3"/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 t="shared" si="4"/>
        <v>-13</v>
      </c>
      <c r="BF33">
        <f t="shared" si="5"/>
        <v>69</v>
      </c>
      <c r="BG33">
        <f t="shared" si="6"/>
        <v>93</v>
      </c>
      <c r="BH33">
        <f t="shared" si="7"/>
        <v>-24</v>
      </c>
      <c r="BI33" s="12">
        <f>Table3[[#This Row],[GF]]/Table3[[#This Row],[GP]]</f>
        <v>2.6538461538461537</v>
      </c>
      <c r="BJ33" s="12">
        <f>Table3[[#This Row],[GA]]/Table3[[#This Row],[GP]]</f>
        <v>3.5769230769230771</v>
      </c>
      <c r="BK33" s="12">
        <f>(Table3[[#This Row],[GF]]-Table3[[#This Row],[GA]])/Table3[[#This Row],[GP]]</f>
        <v>-0.92307692307692313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29.25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92.436094674556202</v>
      </c>
      <c r="BR33" s="16">
        <f>(Table3[[#This Row],[W]]*0.7) + ((Table3[[#This Row],[GF]] - Table3[[#This Row],[GA]])*0.25)+(Table3[[#This Row],[GF]]*0.1)+(Table3[[#This Row],[GA]]*0.05)+(Table3[[#This Row],[L]]*0.3)</f>
        <v>16.950000000000003</v>
      </c>
      <c r="BS33" s="16">
        <f>Table3[[#This Row],[TeamCost83]]/Table3[[#This Row],[GP]]</f>
        <v>0.65192307692307705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9</v>
      </c>
      <c r="BX33">
        <f t="shared" si="10"/>
        <v>12</v>
      </c>
      <c r="BY33">
        <f t="shared" si="11"/>
        <v>21</v>
      </c>
      <c r="BZ33">
        <f>Table3[[#This Row],[TimesPredictedWinner]]/Table3[[#This Row],[GP]]</f>
        <v>0.19230769230769232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0.52307692307692311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15</v>
      </c>
      <c r="DQ33" s="14">
        <f>COUNTIFS(Table2[[ActualHomeScore]:[ActualHomeScore]],$DK33, Table2[[ActualAwayScore]:[ActualAwayScore]],DQ$31)</f>
        <v>7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706</v>
      </c>
      <c r="E35">
        <f t="shared" ref="E35:CA35" si="25">SUM(E$2:E$33)</f>
        <v>26.828219373219373</v>
      </c>
      <c r="F35">
        <f t="shared" si="25"/>
        <v>421</v>
      </c>
      <c r="G35">
        <f t="shared" si="25"/>
        <v>891</v>
      </c>
      <c r="H35">
        <f t="shared" si="25"/>
        <v>421</v>
      </c>
      <c r="I35">
        <f t="shared" si="25"/>
        <v>891</v>
      </c>
      <c r="J35">
        <f t="shared" si="25"/>
        <v>842</v>
      </c>
      <c r="K35">
        <f t="shared" si="25"/>
        <v>1782</v>
      </c>
      <c r="L35">
        <f t="shared" si="25"/>
        <v>200</v>
      </c>
      <c r="M35">
        <f t="shared" si="25"/>
        <v>143</v>
      </c>
      <c r="N35">
        <f t="shared" si="25"/>
        <v>38</v>
      </c>
      <c r="O35">
        <f t="shared" si="25"/>
        <v>19</v>
      </c>
      <c r="P35">
        <f t="shared" si="25"/>
        <v>221</v>
      </c>
      <c r="Q35">
        <f t="shared" si="25"/>
        <v>163</v>
      </c>
      <c r="R35">
        <f t="shared" si="25"/>
        <v>38</v>
      </c>
      <c r="S35">
        <f t="shared" si="25"/>
        <v>20</v>
      </c>
      <c r="T35">
        <f t="shared" si="25"/>
        <v>221</v>
      </c>
      <c r="U35">
        <f t="shared" si="25"/>
        <v>163</v>
      </c>
      <c r="V35">
        <f t="shared" si="25"/>
        <v>38</v>
      </c>
      <c r="W35">
        <f t="shared" si="25"/>
        <v>20</v>
      </c>
      <c r="X35">
        <f t="shared" si="25"/>
        <v>200</v>
      </c>
      <c r="Y35">
        <f t="shared" si="25"/>
        <v>143</v>
      </c>
      <c r="Z35">
        <f t="shared" si="25"/>
        <v>38</v>
      </c>
      <c r="AA35">
        <f t="shared" si="25"/>
        <v>19</v>
      </c>
      <c r="AC35">
        <f t="shared" si="25"/>
        <v>421</v>
      </c>
      <c r="AD35">
        <f t="shared" si="25"/>
        <v>421</v>
      </c>
      <c r="AE35">
        <f t="shared" si="25"/>
        <v>306</v>
      </c>
      <c r="AF35">
        <f t="shared" si="25"/>
        <v>306</v>
      </c>
      <c r="AG35">
        <f t="shared" si="25"/>
        <v>76</v>
      </c>
      <c r="AH35">
        <f t="shared" si="25"/>
        <v>76</v>
      </c>
      <c r="AI35">
        <f t="shared" si="25"/>
        <v>39</v>
      </c>
      <c r="AJ35">
        <f t="shared" si="25"/>
        <v>39</v>
      </c>
      <c r="AO35">
        <f t="shared" si="25"/>
        <v>957</v>
      </c>
      <c r="AP35">
        <f t="shared" si="25"/>
        <v>1263</v>
      </c>
      <c r="AQ35">
        <f t="shared" si="25"/>
        <v>18.20426332926333</v>
      </c>
      <c r="AR35">
        <f t="shared" si="25"/>
        <v>16.016744675078005</v>
      </c>
      <c r="AS35">
        <f t="shared" si="25"/>
        <v>4521</v>
      </c>
      <c r="AT35">
        <f t="shared" si="25"/>
        <v>6609</v>
      </c>
      <c r="AU35">
        <f t="shared" si="25"/>
        <v>2985.499185999186</v>
      </c>
      <c r="AV35">
        <f t="shared" si="25"/>
        <v>3940.1191900691897</v>
      </c>
      <c r="AX35">
        <f t="shared" si="25"/>
        <v>25</v>
      </c>
      <c r="AY35">
        <f t="shared" si="25"/>
        <v>1285</v>
      </c>
      <c r="AZ35">
        <f t="shared" si="25"/>
        <v>1308</v>
      </c>
      <c r="BA35">
        <f t="shared" si="25"/>
        <v>-23</v>
      </c>
      <c r="BB35">
        <f t="shared" si="25"/>
        <v>17</v>
      </c>
      <c r="BC35">
        <f t="shared" si="25"/>
        <v>1308</v>
      </c>
      <c r="BD35">
        <f t="shared" si="25"/>
        <v>1285</v>
      </c>
      <c r="BE35">
        <f t="shared" si="25"/>
        <v>23</v>
      </c>
      <c r="BF35">
        <f t="shared" si="25"/>
        <v>2593</v>
      </c>
      <c r="BG35">
        <f t="shared" si="25"/>
        <v>2593</v>
      </c>
      <c r="BH35">
        <f t="shared" si="25"/>
        <v>0</v>
      </c>
      <c r="BI35">
        <f t="shared" si="25"/>
        <v>98.626432641432658</v>
      </c>
      <c r="BJ35">
        <f t="shared" si="25"/>
        <v>98.554350834350842</v>
      </c>
      <c r="BK35">
        <f t="shared" si="25"/>
        <v>7.2081807081806337E-2</v>
      </c>
      <c r="BL35">
        <f t="shared" si="25"/>
        <v>0</v>
      </c>
      <c r="BM35">
        <f t="shared" si="25"/>
        <v>0</v>
      </c>
      <c r="BN35">
        <f t="shared" si="25"/>
        <v>18.897157009657008</v>
      </c>
      <c r="BO35">
        <f t="shared" si="25"/>
        <v>17.323046683708444</v>
      </c>
      <c r="BP35">
        <f t="shared" si="25"/>
        <v>985.04999999999961</v>
      </c>
      <c r="BQ35">
        <f t="shared" si="25"/>
        <v>3047.6379619824011</v>
      </c>
      <c r="BR35">
        <f t="shared" si="25"/>
        <v>809.94999999999993</v>
      </c>
      <c r="BS35">
        <f t="shared" si="25"/>
        <v>30.81245533170533</v>
      </c>
      <c r="BT35">
        <f t="shared" si="25"/>
        <v>186</v>
      </c>
      <c r="BU35">
        <f t="shared" si="25"/>
        <v>235</v>
      </c>
      <c r="BV35">
        <f t="shared" si="25"/>
        <v>421</v>
      </c>
      <c r="BW35">
        <f t="shared" si="25"/>
        <v>235</v>
      </c>
      <c r="BX35">
        <f t="shared" si="25"/>
        <v>186</v>
      </c>
      <c r="BY35">
        <f t="shared" si="25"/>
        <v>421</v>
      </c>
      <c r="BZ35">
        <f t="shared" si="25"/>
        <v>15.976096866096864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35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22.0625</v>
      </c>
      <c r="E36">
        <f t="shared" ref="E36:CA36" si="26">AVERAGE(E$2:E$33)</f>
        <v>0.83838185541310539</v>
      </c>
      <c r="F36">
        <f t="shared" si="26"/>
        <v>13.15625</v>
      </c>
      <c r="G36">
        <f t="shared" si="26"/>
        <v>27.84375</v>
      </c>
      <c r="H36">
        <f t="shared" si="26"/>
        <v>13.15625</v>
      </c>
      <c r="I36">
        <f t="shared" si="26"/>
        <v>27.84375</v>
      </c>
      <c r="J36">
        <f t="shared" si="26"/>
        <v>26.3125</v>
      </c>
      <c r="K36">
        <f t="shared" si="26"/>
        <v>55.6875</v>
      </c>
      <c r="L36">
        <f t="shared" si="26"/>
        <v>6.25</v>
      </c>
      <c r="M36">
        <f t="shared" si="26"/>
        <v>4.46875</v>
      </c>
      <c r="N36">
        <f t="shared" si="26"/>
        <v>1.1875</v>
      </c>
      <c r="O36">
        <f t="shared" si="26"/>
        <v>0.59375</v>
      </c>
      <c r="P36">
        <f t="shared" si="26"/>
        <v>6.90625</v>
      </c>
      <c r="Q36">
        <f t="shared" si="26"/>
        <v>5.09375</v>
      </c>
      <c r="R36">
        <f t="shared" si="26"/>
        <v>1.1875</v>
      </c>
      <c r="S36">
        <f t="shared" si="26"/>
        <v>0.625</v>
      </c>
      <c r="T36">
        <f t="shared" si="26"/>
        <v>6.90625</v>
      </c>
      <c r="U36">
        <f t="shared" si="26"/>
        <v>5.09375</v>
      </c>
      <c r="V36">
        <f t="shared" si="26"/>
        <v>1.1875</v>
      </c>
      <c r="W36">
        <f t="shared" si="26"/>
        <v>0.625</v>
      </c>
      <c r="X36">
        <f t="shared" si="26"/>
        <v>6.25</v>
      </c>
      <c r="Y36">
        <f t="shared" si="26"/>
        <v>4.46875</v>
      </c>
      <c r="Z36">
        <f t="shared" si="26"/>
        <v>1.1875</v>
      </c>
      <c r="AA36">
        <f t="shared" si="26"/>
        <v>0.59375</v>
      </c>
      <c r="AC36">
        <f t="shared" si="26"/>
        <v>13.15625</v>
      </c>
      <c r="AD36">
        <f t="shared" si="26"/>
        <v>13.15625</v>
      </c>
      <c r="AE36">
        <f t="shared" si="26"/>
        <v>9.5625</v>
      </c>
      <c r="AF36">
        <f t="shared" si="26"/>
        <v>9.5625</v>
      </c>
      <c r="AG36">
        <f t="shared" si="26"/>
        <v>2.375</v>
      </c>
      <c r="AH36">
        <f t="shared" si="26"/>
        <v>2.375</v>
      </c>
      <c r="AI36">
        <f t="shared" si="26"/>
        <v>1.21875</v>
      </c>
      <c r="AJ36">
        <f t="shared" si="26"/>
        <v>1.21875</v>
      </c>
      <c r="AO36">
        <f t="shared" si="26"/>
        <v>29.90625</v>
      </c>
      <c r="AP36">
        <f t="shared" si="26"/>
        <v>39.46875</v>
      </c>
      <c r="AQ36">
        <f t="shared" si="26"/>
        <v>0.56888322903947908</v>
      </c>
      <c r="AR36">
        <f t="shared" si="26"/>
        <v>0.50052327109618766</v>
      </c>
      <c r="AS36">
        <f t="shared" si="26"/>
        <v>141.28125</v>
      </c>
      <c r="AT36">
        <f t="shared" si="26"/>
        <v>206.53125</v>
      </c>
      <c r="AU36">
        <f t="shared" si="26"/>
        <v>93.296849562474563</v>
      </c>
      <c r="AV36">
        <f t="shared" si="26"/>
        <v>123.12872468966218</v>
      </c>
      <c r="AX36">
        <f t="shared" si="26"/>
        <v>0.78125</v>
      </c>
      <c r="AY36">
        <f t="shared" si="26"/>
        <v>40.15625</v>
      </c>
      <c r="AZ36">
        <f t="shared" si="26"/>
        <v>40.875</v>
      </c>
      <c r="BA36">
        <f t="shared" si="26"/>
        <v>-0.71875</v>
      </c>
      <c r="BB36">
        <f t="shared" si="26"/>
        <v>0.53125</v>
      </c>
      <c r="BC36">
        <f t="shared" si="26"/>
        <v>40.875</v>
      </c>
      <c r="BD36">
        <f t="shared" si="26"/>
        <v>40.15625</v>
      </c>
      <c r="BE36">
        <f t="shared" si="26"/>
        <v>0.71875</v>
      </c>
      <c r="BF36">
        <f t="shared" si="26"/>
        <v>81.03125</v>
      </c>
      <c r="BG36">
        <f t="shared" si="26"/>
        <v>81.03125</v>
      </c>
      <c r="BH36">
        <f t="shared" si="26"/>
        <v>0</v>
      </c>
      <c r="BI36">
        <f t="shared" si="26"/>
        <v>3.0820760200447705</v>
      </c>
      <c r="BJ36">
        <f t="shared" si="26"/>
        <v>3.0798234635734638</v>
      </c>
      <c r="BK36">
        <f t="shared" si="26"/>
        <v>2.252556471306448E-3</v>
      </c>
      <c r="BL36" t="e">
        <f t="shared" si="26"/>
        <v>#DIV/0!</v>
      </c>
      <c r="BM36" t="e">
        <f t="shared" si="26"/>
        <v>#DIV/0!</v>
      </c>
      <c r="BN36">
        <f t="shared" si="26"/>
        <v>0.59053615655178149</v>
      </c>
      <c r="BO36">
        <f t="shared" si="26"/>
        <v>0.54134520886588888</v>
      </c>
      <c r="BP36">
        <f t="shared" si="26"/>
        <v>30.782812499999988</v>
      </c>
      <c r="BQ36">
        <f t="shared" si="26"/>
        <v>95.238686311950033</v>
      </c>
      <c r="BR36">
        <f t="shared" si="26"/>
        <v>25.310937499999998</v>
      </c>
      <c r="BS36">
        <f t="shared" si="26"/>
        <v>0.96288922911579156</v>
      </c>
      <c r="BT36">
        <f t="shared" si="26"/>
        <v>5.8125</v>
      </c>
      <c r="BU36">
        <f t="shared" si="26"/>
        <v>7.34375</v>
      </c>
      <c r="BV36">
        <f t="shared" si="26"/>
        <v>13.15625</v>
      </c>
      <c r="BW36">
        <f t="shared" si="26"/>
        <v>7.34375</v>
      </c>
      <c r="BX36">
        <f t="shared" si="26"/>
        <v>5.8125</v>
      </c>
      <c r="BY36">
        <f t="shared" si="26"/>
        <v>13.15625</v>
      </c>
      <c r="BZ36">
        <f t="shared" si="26"/>
        <v>0.49925302706552699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37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2.357667014232502</v>
      </c>
      <c r="E37">
        <f t="shared" ref="E37:CA37" si="27">_xlfn.STDEV.P(E$2:E$33)</f>
        <v>8.1672148562429298E-2</v>
      </c>
      <c r="F37">
        <f t="shared" si="27"/>
        <v>2.0932835301267718</v>
      </c>
      <c r="G37">
        <f t="shared" si="27"/>
        <v>2.0932835301267718</v>
      </c>
      <c r="H37">
        <f t="shared" si="27"/>
        <v>1.8558922214126552</v>
      </c>
      <c r="I37">
        <f t="shared" si="27"/>
        <v>1.8558922214126552</v>
      </c>
      <c r="J37">
        <f t="shared" si="27"/>
        <v>1.0135796712641785</v>
      </c>
      <c r="K37">
        <f t="shared" si="27"/>
        <v>1.0135796712641785</v>
      </c>
      <c r="L37">
        <f t="shared" si="27"/>
        <v>1.9525624189766635</v>
      </c>
      <c r="M37">
        <f t="shared" si="27"/>
        <v>1.8871998933605312</v>
      </c>
      <c r="N37">
        <f t="shared" si="27"/>
        <v>1.0135796712641785</v>
      </c>
      <c r="O37">
        <f t="shared" si="27"/>
        <v>0.70086442162518137</v>
      </c>
      <c r="P37">
        <f t="shared" si="27"/>
        <v>1.9261258882793721</v>
      </c>
      <c r="Q37">
        <f t="shared" si="27"/>
        <v>2.2688016523045818</v>
      </c>
      <c r="R37">
        <f t="shared" si="27"/>
        <v>1.0734727523323542</v>
      </c>
      <c r="S37">
        <f t="shared" si="27"/>
        <v>0.8926785535678563</v>
      </c>
      <c r="T37">
        <f t="shared" si="27"/>
        <v>1.9741988090108857</v>
      </c>
      <c r="U37">
        <f t="shared" si="27"/>
        <v>1.9261258882793721</v>
      </c>
      <c r="V37">
        <f t="shared" si="27"/>
        <v>1.1301963325015703</v>
      </c>
      <c r="W37">
        <f t="shared" si="27"/>
        <v>0.73950997288745202</v>
      </c>
      <c r="X37">
        <f t="shared" si="27"/>
        <v>1.7853571071357126</v>
      </c>
      <c r="Y37">
        <f t="shared" si="27"/>
        <v>1.6390617552429194</v>
      </c>
      <c r="Z37">
        <f t="shared" si="27"/>
        <v>0.91642989366344874</v>
      </c>
      <c r="AA37">
        <f t="shared" si="27"/>
        <v>0.65476021374240512</v>
      </c>
      <c r="AC37">
        <f t="shared" si="27"/>
        <v>2.4252496649829682</v>
      </c>
      <c r="AD37">
        <f t="shared" si="27"/>
        <v>2.5138289395859856</v>
      </c>
      <c r="AE37">
        <f t="shared" si="27"/>
        <v>2.7149758286216841</v>
      </c>
      <c r="AF37">
        <f t="shared" si="27"/>
        <v>2.8277365064659046</v>
      </c>
      <c r="AG37">
        <f t="shared" si="27"/>
        <v>1.5562374497485916</v>
      </c>
      <c r="AH37">
        <f t="shared" si="27"/>
        <v>1.5562374497485916</v>
      </c>
      <c r="AI37">
        <f t="shared" si="27"/>
        <v>1.0820806058237991</v>
      </c>
      <c r="AJ37">
        <f t="shared" si="27"/>
        <v>1.2433416415048602</v>
      </c>
      <c r="AO37">
        <f t="shared" si="27"/>
        <v>4.6861456376749535</v>
      </c>
      <c r="AP37">
        <f t="shared" si="27"/>
        <v>6.9775728901603031</v>
      </c>
      <c r="AQ37">
        <f t="shared" si="27"/>
        <v>8.92126054320211E-2</v>
      </c>
      <c r="AR37">
        <f t="shared" si="27"/>
        <v>8.8326433989144401E-2</v>
      </c>
      <c r="AS37">
        <f t="shared" si="27"/>
        <v>4.9701255957470529</v>
      </c>
      <c r="AT37">
        <f t="shared" si="27"/>
        <v>7.4329686826664352</v>
      </c>
      <c r="AU37">
        <f t="shared" si="27"/>
        <v>14.630867290851537</v>
      </c>
      <c r="AV37">
        <f t="shared" si="27"/>
        <v>21.728302761329527</v>
      </c>
      <c r="AX37">
        <f t="shared" si="27"/>
        <v>0.99166447828890192</v>
      </c>
      <c r="AY37">
        <f t="shared" si="27"/>
        <v>7.9258649961691878</v>
      </c>
      <c r="AZ37">
        <f t="shared" si="27"/>
        <v>9.3833296329181568</v>
      </c>
      <c r="BA37">
        <f t="shared" si="27"/>
        <v>9.7635622821539894</v>
      </c>
      <c r="BB37">
        <f t="shared" si="27"/>
        <v>0.61157455596190391</v>
      </c>
      <c r="BC37">
        <f t="shared" si="27"/>
        <v>9.6331134634654862</v>
      </c>
      <c r="BD37">
        <f t="shared" si="27"/>
        <v>8.6462035563303736</v>
      </c>
      <c r="BE37">
        <f t="shared" si="27"/>
        <v>9.628195492276836</v>
      </c>
      <c r="BF37">
        <f t="shared" si="27"/>
        <v>9.1189513343092248</v>
      </c>
      <c r="BG37">
        <f t="shared" si="27"/>
        <v>10.138060634929149</v>
      </c>
      <c r="BH37">
        <f t="shared" si="27"/>
        <v>14.788086421170252</v>
      </c>
      <c r="BI37">
        <f t="shared" si="27"/>
        <v>0.35009074583336314</v>
      </c>
      <c r="BJ37">
        <f t="shared" si="27"/>
        <v>0.36969892508348656</v>
      </c>
      <c r="BK37">
        <f t="shared" si="27"/>
        <v>0.55939827406564879</v>
      </c>
      <c r="BL37" t="e">
        <f t="shared" si="27"/>
        <v>#DIV/0!</v>
      </c>
      <c r="BM37" t="e">
        <f t="shared" si="27"/>
        <v>#DIV/0!</v>
      </c>
      <c r="BN37">
        <f t="shared" si="27"/>
        <v>0.12050908722034893</v>
      </c>
      <c r="BO37">
        <f t="shared" si="27"/>
        <v>0.13176895590171048</v>
      </c>
      <c r="BP37">
        <f t="shared" si="27"/>
        <v>1.867635929415514</v>
      </c>
      <c r="BQ37">
        <f t="shared" si="27"/>
        <v>6.2732346936176473</v>
      </c>
      <c r="BR37">
        <f t="shared" si="27"/>
        <v>4.9572033190190838</v>
      </c>
      <c r="BS37">
        <f t="shared" si="27"/>
        <v>0.18878426898140396</v>
      </c>
      <c r="BT37">
        <f t="shared" si="27"/>
        <v>3.263792847286727</v>
      </c>
      <c r="BU37">
        <f t="shared" si="27"/>
        <v>2.8130207851169531</v>
      </c>
      <c r="BV37">
        <f t="shared" si="27"/>
        <v>5.1424056566455354</v>
      </c>
      <c r="BW37">
        <f t="shared" si="27"/>
        <v>2.9539102791892646</v>
      </c>
      <c r="BX37">
        <f t="shared" si="27"/>
        <v>3.1567140747935976</v>
      </c>
      <c r="BY37">
        <f t="shared" si="27"/>
        <v>5.0380388979740918</v>
      </c>
      <c r="BZ37">
        <f t="shared" si="27"/>
        <v>0.19191404427569542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14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15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</v>
      </c>
      <c r="DO46" s="131">
        <f t="shared" si="29"/>
        <v>4.8000000000000007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8.4499999999999993</v>
      </c>
      <c r="DO47" s="131">
        <f t="shared" si="31"/>
        <v>7.5</v>
      </c>
      <c r="DP47" s="131">
        <f t="shared" si="31"/>
        <v>12.750000000000002</v>
      </c>
      <c r="DQ47" s="131">
        <f t="shared" si="31"/>
        <v>6.6499999999999995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19.8</v>
      </c>
      <c r="DN48" s="127"/>
      <c r="DO48" s="131">
        <f t="shared" si="33"/>
        <v>26.100000000000005</v>
      </c>
      <c r="DP48" s="131">
        <f t="shared" si="33"/>
        <v>9</v>
      </c>
      <c r="DQ48" s="131">
        <f t="shared" si="33"/>
        <v>15.400000000000002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40.25</v>
      </c>
      <c r="DO49" s="127"/>
      <c r="DP49" s="131">
        <f t="shared" si="35"/>
        <v>35.65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11.700000000000001</v>
      </c>
      <c r="DO50" s="131">
        <f t="shared" si="37"/>
        <v>51.8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20.3</v>
      </c>
      <c r="DO51" s="131">
        <f t="shared" si="39"/>
        <v>13.950000000000001</v>
      </c>
      <c r="DP51" s="131">
        <f t="shared" si="39"/>
        <v>9.8999999999999986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1.4</v>
      </c>
      <c r="DM52" s="131">
        <f t="shared" si="41"/>
        <v>4.5</v>
      </c>
      <c r="DN52" s="131">
        <f t="shared" si="41"/>
        <v>4.8</v>
      </c>
      <c r="DO52" s="131">
        <f t="shared" si="41"/>
        <v>25.5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28.8</v>
      </c>
      <c r="DW57" s="88">
        <f>SUM(DL46:DV56)</f>
        <v>495.19999999999993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29</v>
      </c>
      <c r="E6" s="62">
        <f>INDEX(Table3[PTS], MATCH(Table6[[#This Row],[Teams]], Table3[Teams],0))</f>
        <v>29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28</v>
      </c>
      <c r="E8" s="62">
        <f>INDEX(Table3[PTS], MATCH(Table6[[#This Row],[Teams]], Table3[Teams],0))</f>
        <v>28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44</v>
      </c>
      <c r="E9" s="62">
        <f>INDEX(Table3[PTS], MATCH(Table6[[#This Row],[Teams]], Table3[Teams],0))</f>
        <v>44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41</v>
      </c>
      <c r="E10" s="62">
        <f>INDEX(Table3[PTS], MATCH(Table6[[#This Row],[Teams]], Table3[Teams],0))</f>
        <v>41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30</v>
      </c>
      <c r="E11" s="62">
        <f>INDEX(Table3[PTS], MATCH(Table6[[#This Row],[Teams]], Table3[Teams],0))</f>
        <v>30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41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44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22</v>
      </c>
      <c r="E18" s="62">
        <f>INDEX(Table3[PTS], MATCH(Table6[[#This Row],[Teams]], Table3[Teams],0))</f>
        <v>22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31</v>
      </c>
      <c r="E19" s="62">
        <f>INDEX(Table3[PTS], MATCH(Table6[[#This Row],[Teams]], Table3[Teams],0))</f>
        <v>31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28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30</v>
      </c>
      <c r="E20" s="62">
        <f>INDEX(Table3[PTS], MATCH(Table6[[#This Row],[Teams]], Table3[Teams],0))</f>
        <v>30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34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31</v>
      </c>
      <c r="E23" s="62">
        <f>INDEX(Table3[PTS], MATCH(Table6[[#This Row],[Teams]], Table3[Teams],0))</f>
        <v>31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29</v>
      </c>
      <c r="E25" s="62">
        <f>INDEX(Table3[PTS], MATCH(Table6[[#This Row],[Teams]], Table3[Teams],0))</f>
        <v>29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30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2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29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27</v>
      </c>
      <c r="E28" s="62">
        <f>INDEX(Table3[PTS], MATCH(Table6[[#This Row],[Teams]], Table3[Teams],0))</f>
        <v>27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32</v>
      </c>
      <c r="E31" s="62">
        <f>INDEX(Table3[PTS], MATCH(Table6[[#This Row],[Teams]], Table3[Teams],0))</f>
        <v>32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34</v>
      </c>
      <c r="E33" s="116">
        <f>INDEX(Table3[PTS], MATCH(Table6[[#This Row],[Teams]], Table3[Teams],0))</f>
        <v>34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30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28</v>
      </c>
      <c r="BQ5" s="168">
        <f t="shared" ref="BQ5" si="2">82-BP5</f>
        <v>54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27</v>
      </c>
      <c r="BQ7" s="168">
        <f t="shared" ref="BQ7" si="4">82-BP7</f>
        <v>55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10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72">
        <f t="shared" ref="BP9" si="5">BO9+BO10</f>
        <v>26</v>
      </c>
      <c r="BQ9" s="168">
        <f t="shared" ref="BQ9" si="6">82-BP9</f>
        <v>56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11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24</v>
      </c>
      <c r="BQ11" s="168">
        <f t="shared" ref="BQ11" si="8">82-BP11</f>
        <v>58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72">
        <f t="shared" ref="BP13" si="9">BO13+BO14</f>
        <v>27</v>
      </c>
      <c r="BQ13" s="168">
        <f t="shared" ref="BQ13" si="10">82-BP13</f>
        <v>55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16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27</v>
      </c>
      <c r="BQ15" s="168">
        <f t="shared" ref="BQ15" si="12">82-BP15</f>
        <v>55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26</v>
      </c>
      <c r="BQ17" s="168">
        <f t="shared" ref="BQ17" si="14">82-BP17</f>
        <v>56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12</v>
      </c>
      <c r="BP19" s="172">
        <f t="shared" ref="BP19" si="15">BO19+BO20</f>
        <v>26</v>
      </c>
      <c r="BQ19" s="168">
        <f t="shared" ref="BQ19" si="16">82-BP19</f>
        <v>56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72">
        <f t="shared" ref="BP21" si="17">BO21+BO22</f>
        <v>26</v>
      </c>
      <c r="BQ21" s="168">
        <f t="shared" ref="BQ21" si="18">82-BP21</f>
        <v>56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72">
        <f t="shared" ref="BP23" si="19">BO23+BO24</f>
        <v>28</v>
      </c>
      <c r="BQ23" s="168">
        <f t="shared" ref="BQ23" si="20">82-BP23</f>
        <v>54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12</v>
      </c>
      <c r="BP25" s="172">
        <f t="shared" ref="BP25" si="21">BO25+BO26</f>
        <v>27</v>
      </c>
      <c r="BQ25" s="168">
        <f t="shared" ref="BQ25" si="22">82-BP25</f>
        <v>55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72">
        <f t="shared" ref="BP27" si="23">BO27+BO28</f>
        <v>26</v>
      </c>
      <c r="BQ27" s="168">
        <f t="shared" ref="BQ27" si="24">82-BP27</f>
        <v>56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72">
        <f t="shared" ref="BP29" si="25">BO29+BO30</f>
        <v>27</v>
      </c>
      <c r="BQ29" s="168">
        <f t="shared" ref="BQ29" si="26">82-BP29</f>
        <v>55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16</v>
      </c>
      <c r="BP31" s="172">
        <f t="shared" ref="BP31" si="27">BO31+BO32</f>
        <v>27</v>
      </c>
      <c r="BQ31" s="168">
        <f t="shared" ref="BQ31" si="28">82-BP31</f>
        <v>55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14</v>
      </c>
      <c r="BP33" s="172">
        <f t="shared" ref="BP33" si="29">BO33+BO34</f>
        <v>25</v>
      </c>
      <c r="BQ33" s="168">
        <f t="shared" ref="BQ33" si="30">82-BP33</f>
        <v>57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15</v>
      </c>
      <c r="BP37" s="172">
        <f t="shared" ref="BP37" si="33">BO37+BO38</f>
        <v>26</v>
      </c>
      <c r="BQ37" s="168">
        <f t="shared" ref="BQ37" si="34">82-BP37</f>
        <v>56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72">
        <f t="shared" ref="BP39" si="35">BO39+BO40</f>
        <v>27</v>
      </c>
      <c r="BQ39" s="168">
        <f t="shared" ref="BQ39" si="36">82-BP39</f>
        <v>55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13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27</v>
      </c>
      <c r="BQ41" s="168">
        <f t="shared" ref="BQ41" si="38">82-BP41</f>
        <v>55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14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72">
        <f t="shared" ref="BP43" si="39">BO43+BO44</f>
        <v>28</v>
      </c>
      <c r="BQ43" s="168">
        <f t="shared" ref="BQ43" si="40">82-BP43</f>
        <v>54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12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25</v>
      </c>
      <c r="BQ45" s="168">
        <f t="shared" ref="BQ45" si="42">82-BP45</f>
        <v>57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14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13</v>
      </c>
      <c r="BP47" s="172">
        <f t="shared" ref="BP47" si="43">BO47+BO48</f>
        <v>25</v>
      </c>
      <c r="BQ47" s="168">
        <f t="shared" ref="BQ47" si="44">82-BP47</f>
        <v>57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12</v>
      </c>
      <c r="BP49" s="172">
        <f t="shared" ref="BP49" si="45">BO49+BO50</f>
        <v>27</v>
      </c>
      <c r="BQ49" s="168">
        <f t="shared" ref="BQ49" si="46">82-BP49</f>
        <v>55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72">
        <f t="shared" ref="BP51" si="47">BO51+BO52</f>
        <v>28</v>
      </c>
      <c r="BQ51" s="168">
        <f t="shared" ref="BQ51" si="48">82-BP51</f>
        <v>54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72">
        <f t="shared" ref="BP53" si="49">BO53+BO54</f>
        <v>26</v>
      </c>
      <c r="BQ53" s="168">
        <f t="shared" ref="BQ53" si="50">82-BP53</f>
        <v>56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72">
        <f t="shared" ref="BP55" si="51">BO55+BO56</f>
        <v>27</v>
      </c>
      <c r="BQ55" s="168">
        <f t="shared" ref="BQ55" si="52">82-BP55</f>
        <v>55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25</v>
      </c>
      <c r="BQ57" s="168">
        <f t="shared" ref="BQ57" si="54">82-BP57</f>
        <v>57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15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72">
        <f t="shared" ref="BP59" si="55">BO59+BO60</f>
        <v>25</v>
      </c>
      <c r="BQ59" s="168">
        <f t="shared" ref="BQ59" si="56">82-BP59</f>
        <v>57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13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26</v>
      </c>
      <c r="BQ61" s="168">
        <f t="shared" ref="BQ61" si="58">82-BP61</f>
        <v>56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72">
        <f t="shared" ref="BP63" si="59">BO63+BO64</f>
        <v>26</v>
      </c>
      <c r="BQ63" s="168">
        <f t="shared" ref="BQ63" si="60">82-BP63</f>
        <v>56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11</v>
      </c>
      <c r="BP65" s="172">
        <f t="shared" ref="BP65" si="61">BO65+BO66</f>
        <v>26</v>
      </c>
      <c r="BQ65" s="168">
        <f t="shared" ref="BQ65" si="62">82-BP65</f>
        <v>56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421</v>
      </c>
      <c r="BQ67" s="27">
        <f>SUM(BQ3:BQ66)/2</f>
        <v>891</v>
      </c>
    </row>
    <row r="68" spans="1:69" x14ac:dyDescent="0.25">
      <c r="BP68" s="43">
        <f>2*BP67/SUM(BP3:BQ66)</f>
        <v>0.32088414634146339</v>
      </c>
      <c r="BQ68" s="43">
        <f>2*BQ67/SUM(BP3:BQ66)</f>
        <v>0.67911585365853655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1-0-0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0-1-0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0.53846153846153844</v>
      </c>
      <c r="AJ37" s="103">
        <f>AVERAGE($Z37:$AG37)</f>
        <v>0.45</v>
      </c>
      <c r="AK37" s="103">
        <f>AVERAGE($R37:$Y37)</f>
        <v>0.5</v>
      </c>
      <c r="AL37" s="103">
        <f>AVERAGE($J37:$Q37)</f>
        <v>0.53125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0.44444444444444442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0.41666666666666669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0.4333333333333334</v>
      </c>
      <c r="AJ42" s="103">
        <f t="shared" si="2"/>
        <v>0.5</v>
      </c>
      <c r="AK42" s="103">
        <f t="shared" si="3"/>
        <v>0.45</v>
      </c>
      <c r="AL42" s="103">
        <f t="shared" si="4"/>
        <v>0.52083333333333326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0.47916666666666669</v>
      </c>
      <c r="AJ43" s="103">
        <f t="shared" si="2"/>
        <v>0.5</v>
      </c>
      <c r="AK43" s="103">
        <f t="shared" si="3"/>
        <v>0.5</v>
      </c>
      <c r="AL43" s="103">
        <f t="shared" si="4"/>
        <v>0.5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0.51923076923076927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0.5357142857142857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0.75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0.61363636363636365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0.5714285714285714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0.5892857142857143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0.5714285714285714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0.54545454545454541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0.46527777777777773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0.36666666666666664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0.4642857142857143</v>
      </c>
      <c r="AI52" s="102">
        <f t="shared" si="1"/>
        <v>0.48484848484848492</v>
      </c>
      <c r="AJ52" s="104">
        <f t="shared" si="2"/>
        <v>0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0.5625</v>
      </c>
      <c r="AI55" s="101">
        <f t="shared" si="1"/>
        <v>0.5</v>
      </c>
      <c r="AJ55" s="103">
        <f t="shared" si="2"/>
        <v>0.625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0.56818181818181823</v>
      </c>
      <c r="AI56" s="101">
        <f t="shared" si="1"/>
        <v>0.6</v>
      </c>
      <c r="AJ56" s="103">
        <f t="shared" si="2"/>
        <v>0.64583333333333326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0.4375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0.33333333333333331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0.61111111111111116</v>
      </c>
      <c r="AI59" s="101">
        <f t="shared" si="1"/>
        <v>0.5</v>
      </c>
      <c r="AJ59" s="103">
        <f t="shared" si="2"/>
        <v>0.58333333333333337</v>
      </c>
      <c r="AK59" s="103">
        <f t="shared" si="3"/>
        <v>0.625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0.46875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0.59090909090909094</v>
      </c>
      <c r="AI61" s="101">
        <f t="shared" si="1"/>
        <v>0.2857142857142857</v>
      </c>
      <c r="AJ61" s="103">
        <f t="shared" si="2"/>
        <v>0.52380952380952384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0.40833333333333333</v>
      </c>
      <c r="AI64" s="101">
        <f t="shared" si="1"/>
        <v>0.55000000000000004</v>
      </c>
      <c r="AJ64" s="103">
        <f t="shared" si="2"/>
        <v>0.41666666666666669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0.5625</v>
      </c>
      <c r="AI66" s="101">
        <f t="shared" si="1"/>
        <v>0.5</v>
      </c>
      <c r="AJ66" s="103">
        <f t="shared" si="2"/>
        <v>0.45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0.56666666666666665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0.40277777777777773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0.47916666666666669</v>
      </c>
      <c r="AI68" s="102">
        <f t="shared" si="1"/>
        <v>0.42857142857142855</v>
      </c>
      <c r="AJ68" s="104">
        <f t="shared" si="2"/>
        <v>0.4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2025-12-04T10:34:23Z</dcterms:modified>
</cp:coreProperties>
</file>