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D3D5695F-FB28-4ADE-8B32-F846E11451AB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7" i="7"/>
  <c r="D12" i="7"/>
  <c r="E12" i="7"/>
  <c r="F12" i="7"/>
  <c r="G12" i="7"/>
  <c r="H12" i="7"/>
  <c r="I12" i="7"/>
  <c r="D14" i="7"/>
  <c r="E14" i="7"/>
  <c r="F14" i="7"/>
  <c r="G14" i="7"/>
  <c r="H14" i="7"/>
  <c r="I14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29" i="7"/>
  <c r="E29" i="7"/>
  <c r="F29" i="7"/>
  <c r="G29" i="7"/>
  <c r="H29" i="7"/>
  <c r="D6" i="7"/>
  <c r="E6" i="7"/>
  <c r="F6" i="7"/>
  <c r="G6" i="7"/>
  <c r="D28" i="7"/>
  <c r="E28" i="7"/>
  <c r="F28" i="7"/>
  <c r="G28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7" i="7"/>
  <c r="E17" i="7"/>
  <c r="F17" i="7"/>
  <c r="G17" i="7"/>
  <c r="H17" i="7"/>
  <c r="I17" i="7"/>
  <c r="D16" i="7"/>
  <c r="E16" i="7"/>
  <c r="F16" i="7"/>
  <c r="G16" i="7"/>
  <c r="D4" i="7"/>
  <c r="E4" i="7"/>
  <c r="F4" i="7"/>
  <c r="G4" i="7"/>
  <c r="H4" i="7"/>
  <c r="I4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30" i="7"/>
  <c r="F30" i="7"/>
  <c r="G30" i="7"/>
  <c r="H30" i="7"/>
  <c r="I30" i="7"/>
  <c r="D30" i="7"/>
  <c r="CR34" i="2" a="1"/>
  <c r="BB20" i="2"/>
  <c r="BB9" i="2"/>
  <c r="BB33" i="2"/>
  <c r="BB26" i="2"/>
  <c r="BB28" i="2"/>
  <c r="BB4" i="2"/>
  <c r="BB15" i="2"/>
  <c r="BB30" i="2"/>
  <c r="BB22" i="2"/>
  <c r="BB21" i="2"/>
  <c r="BB10" i="2"/>
  <c r="BB5" i="2"/>
  <c r="BB6" i="2"/>
  <c r="BB24" i="2"/>
  <c r="BB14" i="2"/>
  <c r="BB25" i="2"/>
  <c r="BB13" i="2"/>
  <c r="BB18" i="2"/>
  <c r="BB8" i="2"/>
  <c r="BB2" i="2"/>
  <c r="BB19" i="2"/>
  <c r="BB29" i="2"/>
  <c r="BB17" i="2"/>
  <c r="BB12" i="2"/>
  <c r="BB3" i="2"/>
  <c r="BB11" i="2"/>
  <c r="BB23" i="2"/>
  <c r="BB31" i="2"/>
  <c r="BB7" i="2"/>
  <c r="BB32" i="2"/>
  <c r="BB27" i="2"/>
  <c r="BB16" i="2"/>
  <c r="AX20" i="2"/>
  <c r="AX9" i="2"/>
  <c r="AX33" i="2"/>
  <c r="AX26" i="2"/>
  <c r="AX28" i="2"/>
  <c r="AX4" i="2"/>
  <c r="AX15" i="2"/>
  <c r="AX30" i="2"/>
  <c r="AX22" i="2"/>
  <c r="AX21" i="2"/>
  <c r="AX10" i="2"/>
  <c r="AX5" i="2"/>
  <c r="AX6" i="2"/>
  <c r="AX24" i="2"/>
  <c r="AX14" i="2"/>
  <c r="AX25" i="2"/>
  <c r="AX13" i="2"/>
  <c r="AX18" i="2"/>
  <c r="AX8" i="2"/>
  <c r="AX2" i="2"/>
  <c r="AX19" i="2"/>
  <c r="AX29" i="2"/>
  <c r="AX17" i="2"/>
  <c r="AX12" i="2"/>
  <c r="AX3" i="2"/>
  <c r="AX11" i="2"/>
  <c r="AX23" i="2"/>
  <c r="AX31" i="2"/>
  <c r="AX7" i="2"/>
  <c r="AX32" i="2"/>
  <c r="AX27" i="2"/>
  <c r="AX16" i="2"/>
  <c r="AY28" i="2"/>
  <c r="AZ28" i="2"/>
  <c r="BC28" i="2"/>
  <c r="BD28" i="2"/>
  <c r="AY24" i="2"/>
  <c r="AZ24" i="2"/>
  <c r="BC24" i="2"/>
  <c r="BD24" i="2"/>
  <c r="AY10" i="2"/>
  <c r="AZ10" i="2"/>
  <c r="BC10" i="2"/>
  <c r="BD10" i="2"/>
  <c r="AY17" i="2"/>
  <c r="AZ17" i="2"/>
  <c r="BC17" i="2"/>
  <c r="BD17" i="2"/>
  <c r="AY33" i="2"/>
  <c r="AZ33" i="2"/>
  <c r="BC33" i="2"/>
  <c r="BD33" i="2"/>
  <c r="AY15" i="2"/>
  <c r="AZ15" i="2"/>
  <c r="BC15" i="2"/>
  <c r="BD15" i="2"/>
  <c r="AY5" i="2"/>
  <c r="AZ5" i="2"/>
  <c r="BC5" i="2"/>
  <c r="BD5" i="2"/>
  <c r="AY12" i="2"/>
  <c r="AZ12" i="2"/>
  <c r="BC12" i="2"/>
  <c r="BD12" i="2"/>
  <c r="AY8" i="2"/>
  <c r="AZ8" i="2"/>
  <c r="BC8" i="2"/>
  <c r="BD8" i="2"/>
  <c r="AY20" i="2"/>
  <c r="AZ20" i="2"/>
  <c r="BC20" i="2"/>
  <c r="BD20" i="2"/>
  <c r="AY26" i="2"/>
  <c r="AZ26" i="2"/>
  <c r="BC26" i="2"/>
  <c r="BD26" i="2"/>
  <c r="AY18" i="2"/>
  <c r="AZ18" i="2"/>
  <c r="BC18" i="2"/>
  <c r="BD18" i="2"/>
  <c r="AY29" i="2"/>
  <c r="AZ29" i="2"/>
  <c r="BC29" i="2"/>
  <c r="BD29" i="2"/>
  <c r="AY7" i="2"/>
  <c r="AZ7" i="2"/>
  <c r="BC7" i="2"/>
  <c r="BD7" i="2"/>
  <c r="AY2" i="2"/>
  <c r="AZ2" i="2"/>
  <c r="BC2" i="2"/>
  <c r="BD2" i="2"/>
  <c r="AY27" i="2"/>
  <c r="AZ27" i="2"/>
  <c r="BC27" i="2"/>
  <c r="BD27" i="2"/>
  <c r="AY25" i="2"/>
  <c r="AZ25" i="2"/>
  <c r="BC25" i="2"/>
  <c r="BD25" i="2"/>
  <c r="AY30" i="2"/>
  <c r="AZ30" i="2"/>
  <c r="BC30" i="2"/>
  <c r="BD30" i="2"/>
  <c r="AY23" i="2"/>
  <c r="AZ23" i="2"/>
  <c r="BC23" i="2"/>
  <c r="BD23" i="2"/>
  <c r="AY13" i="2"/>
  <c r="AZ13" i="2"/>
  <c r="BC13" i="2"/>
  <c r="BD13" i="2"/>
  <c r="AY6" i="2"/>
  <c r="AZ6" i="2"/>
  <c r="BC6" i="2"/>
  <c r="BD6" i="2"/>
  <c r="AY11" i="2"/>
  <c r="AZ11" i="2"/>
  <c r="BC11" i="2"/>
  <c r="BD11" i="2"/>
  <c r="AY32" i="2"/>
  <c r="AZ32" i="2"/>
  <c r="BC32" i="2"/>
  <c r="BD32" i="2"/>
  <c r="AY31" i="2"/>
  <c r="AZ31" i="2"/>
  <c r="BC31" i="2"/>
  <c r="BD31" i="2"/>
  <c r="AY22" i="2"/>
  <c r="AZ22" i="2"/>
  <c r="BC22" i="2"/>
  <c r="BD22" i="2"/>
  <c r="AY19" i="2"/>
  <c r="AZ19" i="2"/>
  <c r="BC19" i="2"/>
  <c r="BD19" i="2"/>
  <c r="AY4" i="2"/>
  <c r="AZ4" i="2"/>
  <c r="BC4" i="2"/>
  <c r="BD4" i="2"/>
  <c r="AY21" i="2"/>
  <c r="AZ21" i="2"/>
  <c r="BC21" i="2"/>
  <c r="BD21" i="2"/>
  <c r="AY3" i="2"/>
  <c r="AZ3" i="2"/>
  <c r="BC3" i="2"/>
  <c r="BD3" i="2"/>
  <c r="AY9" i="2"/>
  <c r="AZ9" i="2"/>
  <c r="BC9" i="2"/>
  <c r="BD9" i="2"/>
  <c r="AY16" i="2"/>
  <c r="AZ16" i="2"/>
  <c r="BC16" i="2"/>
  <c r="BD16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7" i="7"/>
  <c r="E45" i="7"/>
  <c r="I48" i="7"/>
  <c r="H48" i="7"/>
  <c r="G48" i="7"/>
  <c r="F48" i="7"/>
  <c r="E48" i="7"/>
  <c r="BS5" i="1" a="1"/>
  <c r="I27" i="7"/>
  <c r="I25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6" i="2"/>
  <c r="CE16" i="2" s="1"/>
  <c r="CF9" i="2"/>
  <c r="CE9" i="2" s="1"/>
  <c r="CF3" i="2"/>
  <c r="CE3" i="2" s="1"/>
  <c r="CF20" i="2"/>
  <c r="CE20" i="2" s="1"/>
  <c r="CF18" i="2"/>
  <c r="CE18" i="2" s="1"/>
  <c r="CF29" i="2"/>
  <c r="CE29" i="2" s="1"/>
  <c r="CF12" i="2"/>
  <c r="CE12" i="2" s="1"/>
  <c r="CF19" i="2"/>
  <c r="CE19" i="2" s="1"/>
  <c r="CF10" i="2"/>
  <c r="CE10" i="2" s="1"/>
  <c r="CF5" i="2"/>
  <c r="CE5" i="2" s="1"/>
  <c r="CF2" i="2"/>
  <c r="CE2" i="2" s="1"/>
  <c r="CF26" i="2"/>
  <c r="CE26" i="2" s="1"/>
  <c r="CF22" i="2"/>
  <c r="CE22" i="2" s="1"/>
  <c r="CF33" i="2"/>
  <c r="CE33" i="2" s="1"/>
  <c r="CF17" i="2"/>
  <c r="CE17" i="2" s="1"/>
  <c r="CF23" i="2"/>
  <c r="CE23" i="2" s="1"/>
  <c r="CF21" i="2"/>
  <c r="CE21" i="2" s="1"/>
  <c r="CF7" i="2"/>
  <c r="CE7" i="2" s="1"/>
  <c r="CF28" i="2"/>
  <c r="CE28" i="2" s="1"/>
  <c r="CF8" i="2"/>
  <c r="CE8" i="2" s="1"/>
  <c r="CF31" i="2"/>
  <c r="CE31" i="2" s="1"/>
  <c r="CF30" i="2"/>
  <c r="CE30" i="2" s="1"/>
  <c r="CF13" i="2"/>
  <c r="CE13" i="2" s="1"/>
  <c r="CF6" i="2"/>
  <c r="CE6" i="2" s="1"/>
  <c r="CF4" i="2"/>
  <c r="CE4" i="2" s="1"/>
  <c r="CF14" i="2"/>
  <c r="CE14" i="2" s="1"/>
  <c r="CF25" i="2"/>
  <c r="CE25" i="2" s="1"/>
  <c r="CF11" i="2"/>
  <c r="CE11" i="2" s="1"/>
  <c r="CF24" i="2"/>
  <c r="CE24" i="2" s="1"/>
  <c r="CF27" i="2"/>
  <c r="CE27" i="2" s="1"/>
  <c r="CF32" i="2"/>
  <c r="CE32" i="2" s="1"/>
  <c r="CF15" i="2"/>
  <c r="CE15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17" i="2" l="1"/>
  <c r="D2" i="2"/>
  <c r="D29" i="2"/>
  <c r="D25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4" i="2"/>
  <c r="W4" i="2"/>
  <c r="U4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14" i="2"/>
  <c r="W14" i="2"/>
  <c r="U14" i="2"/>
  <c r="O10" i="2"/>
  <c r="N10" i="2"/>
  <c r="M10" i="2"/>
  <c r="W12" i="2"/>
  <c r="V12" i="2"/>
  <c r="U12" i="2"/>
  <c r="AN23" i="5"/>
  <c r="W40" i="5"/>
  <c r="BN53" i="5"/>
  <c r="BA66" i="5"/>
  <c r="AI56" i="5"/>
  <c r="BD35" i="5"/>
  <c r="AU32" i="5"/>
  <c r="AF47" i="5"/>
  <c r="N20" i="2"/>
  <c r="O20" i="2"/>
  <c r="M20" i="2"/>
  <c r="N11" i="2"/>
  <c r="W7" i="2"/>
  <c r="U7" i="2"/>
  <c r="O11" i="2"/>
  <c r="M11" i="2"/>
  <c r="V7" i="2"/>
  <c r="W18" i="2"/>
  <c r="T18" i="2"/>
  <c r="U18" i="2"/>
  <c r="V18" i="2"/>
  <c r="S66" i="1"/>
  <c r="T2" i="2"/>
  <c r="AA62" i="5"/>
  <c r="BJ27" i="5"/>
  <c r="E66" i="5"/>
  <c r="BN5" i="5"/>
  <c r="S62" i="1"/>
  <c r="T4" i="2"/>
  <c r="S77" i="1"/>
  <c r="L32" i="2"/>
  <c r="AH23" i="8"/>
  <c r="S58" i="1"/>
  <c r="T14" i="2"/>
  <c r="S57" i="1"/>
  <c r="L10" i="2"/>
  <c r="T3" i="2"/>
  <c r="V3" i="2"/>
  <c r="W3" i="2"/>
  <c r="U3" i="2"/>
  <c r="T12" i="2"/>
  <c r="U16" i="2"/>
  <c r="V16" i="2"/>
  <c r="O28" i="2"/>
  <c r="W16" i="2"/>
  <c r="N28" i="2"/>
  <c r="T16" i="2"/>
  <c r="S53" i="1"/>
  <c r="L20" i="2"/>
  <c r="S52" i="1"/>
  <c r="T7" i="2"/>
  <c r="L11" i="2"/>
  <c r="N6" i="2"/>
  <c r="O6" i="2"/>
  <c r="AY60" i="5"/>
  <c r="BH51" i="5"/>
  <c r="U56" i="5"/>
  <c r="BD21" i="5"/>
  <c r="BE16" i="5"/>
  <c r="P57" i="5"/>
  <c r="AA30" i="5"/>
  <c r="AD27" i="5"/>
  <c r="L33" i="5"/>
  <c r="AG12" i="5"/>
  <c r="AR25" i="5"/>
  <c r="Y44" i="5"/>
  <c r="U17" i="2"/>
  <c r="T17" i="2"/>
  <c r="V17" i="2"/>
  <c r="W17" i="2"/>
  <c r="S46" i="1"/>
  <c r="M26" i="2"/>
  <c r="W13" i="2"/>
  <c r="L26" i="2"/>
  <c r="T13" i="2"/>
  <c r="U13" i="2"/>
  <c r="O26" i="2"/>
  <c r="V13" i="2"/>
  <c r="N26" i="2"/>
  <c r="AP35" i="5"/>
  <c r="AI42" i="5"/>
  <c r="F53" i="5"/>
  <c r="BA6" i="5"/>
  <c r="AL63" i="5"/>
  <c r="BK38" i="5"/>
  <c r="D24" i="2"/>
  <c r="Q8" i="5"/>
  <c r="H17" i="5"/>
  <c r="S45" i="1"/>
  <c r="N8" i="2"/>
  <c r="W19" i="2"/>
  <c r="O8" i="2"/>
  <c r="L8" i="2"/>
  <c r="V19" i="2"/>
  <c r="M8" i="2"/>
  <c r="S44" i="1"/>
  <c r="N9" i="2"/>
  <c r="M9" i="2"/>
  <c r="O9" i="2"/>
  <c r="L9" i="2"/>
  <c r="S43" i="1"/>
  <c r="W23" i="2"/>
  <c r="O27" i="2"/>
  <c r="M27" i="2"/>
  <c r="V23" i="2"/>
  <c r="U23" i="2"/>
  <c r="T23" i="2"/>
  <c r="L27" i="2"/>
  <c r="N27" i="2"/>
  <c r="M22" i="2"/>
  <c r="L22" i="2"/>
  <c r="O22" i="2"/>
  <c r="N22" i="2"/>
  <c r="S41" i="1"/>
  <c r="O5" i="2"/>
  <c r="N5" i="2"/>
  <c r="BM40" i="5"/>
  <c r="AN65" i="5"/>
  <c r="D16" i="2"/>
  <c r="U30" i="2"/>
  <c r="T30" i="2"/>
  <c r="W30" i="2"/>
  <c r="V30" i="2"/>
  <c r="BI48" i="5"/>
  <c r="AV61" i="5"/>
  <c r="BG24" i="5"/>
  <c r="X59" i="5"/>
  <c r="S18" i="5"/>
  <c r="R19" i="5"/>
  <c r="D12" i="2"/>
  <c r="C50" i="5"/>
  <c r="AX3" i="5"/>
  <c r="AD11" i="5"/>
  <c r="K30" i="5"/>
  <c r="BE36" i="5"/>
  <c r="AJ57" i="5"/>
  <c r="D27" i="2"/>
  <c r="N21" i="2"/>
  <c r="M21" i="2"/>
  <c r="L21" i="2"/>
  <c r="U20" i="2"/>
  <c r="W20" i="2"/>
  <c r="O21" i="2"/>
  <c r="V20" i="2"/>
  <c r="T20" i="2"/>
  <c r="V29" i="2"/>
  <c r="T29" i="2"/>
  <c r="U29" i="2"/>
  <c r="W29" i="2"/>
  <c r="BM38" i="5"/>
  <c r="AL65" i="5"/>
  <c r="M16" i="2"/>
  <c r="O16" i="2"/>
  <c r="V25" i="2"/>
  <c r="L16" i="2"/>
  <c r="T25" i="2"/>
  <c r="N16" i="2"/>
  <c r="U25" i="2"/>
  <c r="W25" i="2"/>
  <c r="AO26" i="5"/>
  <c r="Z41" i="5"/>
  <c r="AM46" i="5"/>
  <c r="AT39" i="5"/>
  <c r="AG54" i="5"/>
  <c r="BB33" i="5"/>
  <c r="AQ10" i="5"/>
  <c r="D10" i="2"/>
  <c r="J43" i="5"/>
  <c r="D13" i="2"/>
  <c r="AE16" i="5"/>
  <c r="P31" i="5"/>
  <c r="G6" i="5"/>
  <c r="F7" i="5"/>
  <c r="S26" i="1"/>
  <c r="L24" i="2"/>
  <c r="M24" i="2"/>
  <c r="O24" i="2"/>
  <c r="N24" i="2"/>
  <c r="S33" i="1"/>
  <c r="V15" i="2"/>
  <c r="U15" i="2"/>
  <c r="W15" i="2"/>
  <c r="T15" i="2"/>
  <c r="BC22" i="5"/>
  <c r="V55" i="5"/>
  <c r="S27" i="1"/>
  <c r="L19" i="2"/>
  <c r="O19" i="2"/>
  <c r="N19" i="2"/>
  <c r="M19" i="2"/>
  <c r="AY14" i="5"/>
  <c r="N51" i="5"/>
  <c r="D31" i="2"/>
  <c r="W33" i="2"/>
  <c r="N31" i="2"/>
  <c r="M31" i="2"/>
  <c r="L31" i="2"/>
  <c r="O31" i="2"/>
  <c r="U33" i="2"/>
  <c r="T33" i="2"/>
  <c r="V33" i="2"/>
  <c r="BL27" i="5"/>
  <c r="AA64" i="5"/>
  <c r="D9" i="2"/>
  <c r="M18" i="2"/>
  <c r="N18" i="2"/>
  <c r="BH13" i="5"/>
  <c r="D21" i="2"/>
  <c r="M60" i="5"/>
  <c r="BI50" i="5"/>
  <c r="AX61" i="5"/>
  <c r="C48" i="5"/>
  <c r="AV3" i="5"/>
  <c r="D11" i="2"/>
  <c r="D14" i="2"/>
  <c r="U32" i="2"/>
  <c r="L3" i="2"/>
  <c r="M3" i="2"/>
  <c r="T32" i="2"/>
  <c r="V32" i="2"/>
  <c r="W32" i="2"/>
  <c r="N3" i="2"/>
  <c r="O3" i="2"/>
  <c r="S23" i="1"/>
  <c r="W11" i="2"/>
  <c r="U11" i="2"/>
  <c r="M14" i="2"/>
  <c r="N14" i="2"/>
  <c r="O14" i="2"/>
  <c r="T11" i="2"/>
  <c r="L14" i="2"/>
  <c r="V11" i="2"/>
  <c r="BE18" i="5"/>
  <c r="R57" i="5"/>
  <c r="D4" i="2"/>
  <c r="S21" i="1"/>
  <c r="M33" i="2"/>
  <c r="V21" i="2"/>
  <c r="W21" i="2"/>
  <c r="N33" i="2"/>
  <c r="U21" i="2"/>
  <c r="T21" i="2"/>
  <c r="L4" i="2"/>
  <c r="O4" i="2"/>
  <c r="W5" i="2"/>
  <c r="T5" i="2"/>
  <c r="U5" i="2"/>
  <c r="M4" i="2"/>
  <c r="V5" i="2"/>
  <c r="N4" i="2"/>
  <c r="BL19" i="5"/>
  <c r="S64" i="5"/>
  <c r="W9" i="2"/>
  <c r="O12" i="2"/>
  <c r="N12" i="2"/>
  <c r="M12" i="2"/>
  <c r="T9" i="2"/>
  <c r="U9" i="2"/>
  <c r="V9" i="2"/>
  <c r="L12" i="2"/>
  <c r="AJ11" i="5"/>
  <c r="K36" i="5"/>
  <c r="N17" i="2"/>
  <c r="M17" i="2"/>
  <c r="U27" i="2"/>
  <c r="L17" i="2"/>
  <c r="O17" i="2"/>
  <c r="V27" i="2"/>
  <c r="T27" i="2"/>
  <c r="W27" i="2"/>
  <c r="AG10" i="5"/>
  <c r="J33" i="5"/>
  <c r="W10" i="2"/>
  <c r="T10" i="2"/>
  <c r="U10" i="2"/>
  <c r="O2" i="2"/>
  <c r="M2" i="2"/>
  <c r="L2" i="2"/>
  <c r="N2" i="2"/>
  <c r="V10" i="2"/>
  <c r="AQ26" i="5"/>
  <c r="Z43" i="5"/>
  <c r="M13" i="2"/>
  <c r="W26" i="2"/>
  <c r="N13" i="2"/>
  <c r="O13" i="2"/>
  <c r="V26" i="2"/>
  <c r="L13" i="2"/>
  <c r="AO54" i="5"/>
  <c r="D23" i="2"/>
  <c r="D22" i="2"/>
  <c r="BB41" i="5"/>
  <c r="N23" i="2"/>
  <c r="T22" i="2"/>
  <c r="L23" i="2"/>
  <c r="W22" i="2"/>
  <c r="O23" i="2"/>
  <c r="U22" i="2"/>
  <c r="M23" i="2"/>
  <c r="V22" i="2"/>
  <c r="AE22" i="5"/>
  <c r="V31" i="5"/>
  <c r="D8" i="2"/>
  <c r="W8" i="2"/>
  <c r="L7" i="2"/>
  <c r="U8" i="2"/>
  <c r="T8" i="2"/>
  <c r="O7" i="2"/>
  <c r="V8" i="2"/>
  <c r="N7" i="2"/>
  <c r="M7" i="2"/>
  <c r="AM8" i="5"/>
  <c r="H39" i="5"/>
  <c r="N30" i="2"/>
  <c r="V24" i="2"/>
  <c r="O30" i="2"/>
  <c r="U24" i="2"/>
  <c r="T24" i="2"/>
  <c r="W24" i="2"/>
  <c r="M30" i="2"/>
  <c r="L30" i="2"/>
  <c r="O6" i="5"/>
  <c r="F15" i="5"/>
  <c r="D28" i="2"/>
  <c r="O15" i="2"/>
  <c r="W28" i="2"/>
  <c r="V28" i="2"/>
  <c r="U28" i="2"/>
  <c r="T28" i="2"/>
  <c r="L15" i="2"/>
  <c r="N15" i="2"/>
  <c r="M15" i="2"/>
  <c r="AK46" i="5"/>
  <c r="AT37" i="5"/>
  <c r="O25" i="2"/>
  <c r="N25" i="2"/>
  <c r="T6" i="2"/>
  <c r="V6" i="2"/>
  <c r="W6" i="2"/>
  <c r="M25" i="2"/>
  <c r="U6" i="2"/>
  <c r="L25" i="2"/>
  <c r="AC52" i="5"/>
  <c r="AZ29" i="5"/>
  <c r="S17" i="1"/>
  <c r="W31" i="2"/>
  <c r="U31" i="2"/>
  <c r="L29" i="2"/>
  <c r="N29" i="2"/>
  <c r="O29" i="2"/>
  <c r="M29" i="2"/>
  <c r="V31" i="2"/>
  <c r="T31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17" i="2"/>
  <c r="I17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6" i="2"/>
  <c r="I6" i="2" s="1"/>
  <c r="F25" i="2"/>
  <c r="G25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4" i="2"/>
  <c r="I4" i="2" s="1"/>
  <c r="BF13" i="4"/>
  <c r="M58" i="4"/>
  <c r="AT57" i="10"/>
  <c r="BE46" i="10"/>
  <c r="AT57" i="8"/>
  <c r="BE46" i="8"/>
  <c r="H13" i="2"/>
  <c r="I13" i="2" s="1"/>
  <c r="F26" i="2"/>
  <c r="G26" i="2" s="1"/>
  <c r="AR25" i="4"/>
  <c r="Y44" i="4"/>
  <c r="AP49" i="10"/>
  <c r="AW42" i="10"/>
  <c r="AP49" i="8"/>
  <c r="AW42" i="8"/>
  <c r="F16" i="2"/>
  <c r="G16" i="2" s="1"/>
  <c r="H25" i="2"/>
  <c r="I25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8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22" i="2"/>
  <c r="I22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8" i="2"/>
  <c r="I8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7" i="2"/>
  <c r="G27" i="2" s="1"/>
  <c r="H23" i="2"/>
  <c r="I23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30" i="2"/>
  <c r="G30" i="2" s="1"/>
  <c r="H24" i="2"/>
  <c r="I24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10" i="2"/>
  <c r="I10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22" i="2"/>
  <c r="G22" i="2" s="1"/>
  <c r="BA6" i="4"/>
  <c r="F53" i="4"/>
  <c r="BA52" i="10"/>
  <c r="AZ53" i="10"/>
  <c r="AZ53" i="8"/>
  <c r="BA52" i="8"/>
  <c r="F24" i="2"/>
  <c r="G24" i="2" s="1"/>
  <c r="G6" i="4"/>
  <c r="F7" i="4"/>
  <c r="S52" i="10"/>
  <c r="AZ19" i="10"/>
  <c r="AZ19" i="8"/>
  <c r="S52" i="8"/>
  <c r="H28" i="2"/>
  <c r="I2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10" i="2"/>
  <c r="G10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31" i="2"/>
  <c r="G31" i="2" s="1"/>
  <c r="H33" i="2"/>
  <c r="I33" i="2" s="1"/>
  <c r="AY14" i="4"/>
  <c r="N51" i="4"/>
  <c r="I18" i="10"/>
  <c r="R9" i="10"/>
  <c r="R9" i="8"/>
  <c r="I18" i="8"/>
  <c r="H3" i="2"/>
  <c r="I3" i="2" s="1"/>
  <c r="F18" i="2"/>
  <c r="G18" i="2" s="1"/>
  <c r="L18" i="2"/>
  <c r="O18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0" i="2"/>
  <c r="H20" i="2"/>
  <c r="I20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1" i="2"/>
  <c r="I11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2" i="2"/>
  <c r="I1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8" i="2"/>
  <c r="G28" i="2" s="1"/>
  <c r="E66" i="4"/>
  <c r="BN5" i="4"/>
  <c r="H16" i="2"/>
  <c r="I16" i="2" s="1"/>
  <c r="L28" i="2"/>
  <c r="M2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0" i="2"/>
  <c r="G20" i="2" s="1"/>
  <c r="AN23" i="4"/>
  <c r="W40" i="4"/>
  <c r="H15" i="10"/>
  <c r="O8" i="10"/>
  <c r="O8" i="8"/>
  <c r="H15" i="8"/>
  <c r="F21" i="2"/>
  <c r="G21" i="2" s="1"/>
  <c r="BG24" i="4"/>
  <c r="X59" i="4"/>
  <c r="E16" i="10"/>
  <c r="P5" i="10"/>
  <c r="P5" i="8"/>
  <c r="E16" i="8"/>
  <c r="H21" i="2"/>
  <c r="I21" i="2" s="1"/>
  <c r="BH13" i="4"/>
  <c r="M60" i="4"/>
  <c r="J21" i="10"/>
  <c r="U10" i="10"/>
  <c r="J21" i="8"/>
  <c r="U10" i="8"/>
  <c r="H18" i="2"/>
  <c r="I18" i="2" s="1"/>
  <c r="AB17" i="4"/>
  <c r="Q28" i="4"/>
  <c r="D5" i="2"/>
  <c r="F5" i="2"/>
  <c r="G5" i="2" s="1"/>
  <c r="L5" i="2"/>
  <c r="AB17" i="5"/>
  <c r="M5" i="2"/>
  <c r="Q28" i="5"/>
  <c r="D18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1" i="2"/>
  <c r="G11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5" i="2"/>
  <c r="I5" i="2" s="1"/>
  <c r="F4" i="2"/>
  <c r="G4" i="2" s="1"/>
  <c r="BE18" i="4"/>
  <c r="R57" i="4"/>
  <c r="AU44" i="10"/>
  <c r="AR47" i="10"/>
  <c r="AU44" i="8"/>
  <c r="AR47" i="8"/>
  <c r="D30" i="2"/>
  <c r="AS40" i="5"/>
  <c r="AN45" i="5"/>
  <c r="M6" i="2"/>
  <c r="F6" i="2"/>
  <c r="G6" i="2" s="1"/>
  <c r="H30" i="2"/>
  <c r="I30" i="2" s="1"/>
  <c r="D6" i="2"/>
  <c r="L6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2" i="2"/>
  <c r="G1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17" i="2"/>
  <c r="G17" i="2" s="1"/>
  <c r="H27" i="2"/>
  <c r="I27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9" i="2"/>
  <c r="I29" i="2" s="1"/>
  <c r="K30" i="4"/>
  <c r="AD11" i="4"/>
  <c r="S58" i="10"/>
  <c r="BF19" i="10"/>
  <c r="BF19" i="8"/>
  <c r="S58" i="8"/>
  <c r="BD12" i="1"/>
  <c r="BD13" i="1"/>
  <c r="Z15" i="5"/>
  <c r="D26" i="2"/>
  <c r="O26" i="5"/>
  <c r="D15" i="2"/>
  <c r="CS10" i="2"/>
  <c r="F15" i="2"/>
  <c r="G15" i="2" s="1"/>
  <c r="CS9" i="2"/>
  <c r="Z15" i="4"/>
  <c r="U26" i="2"/>
  <c r="O26" i="4"/>
  <c r="H26" i="2"/>
  <c r="I26" i="2" s="1"/>
  <c r="T26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5" i="2"/>
  <c r="I15" i="2" s="1"/>
  <c r="BG20" i="8"/>
  <c r="AE16" i="4"/>
  <c r="Y30" i="10"/>
  <c r="AD25" i="10"/>
  <c r="AD25" i="8"/>
  <c r="Y30" i="8"/>
  <c r="F29" i="2"/>
  <c r="G29" i="2" s="1"/>
  <c r="H31" i="2"/>
  <c r="I31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5" i="2"/>
  <c r="BU29" i="2"/>
  <c r="O991" i="1"/>
  <c r="AD991" i="1" s="1"/>
  <c r="BU20" i="2"/>
  <c r="BU12" i="2"/>
  <c r="BU19" i="2"/>
  <c r="BU21" i="2"/>
  <c r="BU31" i="2"/>
  <c r="BU23" i="2"/>
  <c r="BU9" i="2"/>
  <c r="BU15" i="2"/>
  <c r="BU17" i="2"/>
  <c r="BU2" i="2"/>
  <c r="BU24" i="2"/>
  <c r="BU3" i="2"/>
  <c r="BU27" i="2"/>
  <c r="BU33" i="2"/>
  <c r="BU10" i="2"/>
  <c r="BU28" i="2"/>
  <c r="BU4" i="2"/>
  <c r="BU32" i="2"/>
  <c r="BU25" i="2"/>
  <c r="BU26" i="2"/>
  <c r="BU30" i="2"/>
  <c r="BU6" i="2"/>
  <c r="BU22" i="2"/>
  <c r="BU11" i="2"/>
  <c r="BU16" i="2"/>
  <c r="BU14" i="2"/>
  <c r="BU13" i="2"/>
  <c r="BU8" i="2"/>
  <c r="O989" i="1"/>
  <c r="AD989" i="1" s="1"/>
  <c r="BU18" i="2"/>
  <c r="O984" i="1"/>
  <c r="AD984" i="1" s="1"/>
  <c r="BT25" i="2"/>
  <c r="O953" i="1"/>
  <c r="AD953" i="1" s="1"/>
  <c r="BT26" i="2"/>
  <c r="BT18" i="2"/>
  <c r="O977" i="1"/>
  <c r="AD977" i="1" s="1"/>
  <c r="BT3" i="2"/>
  <c r="BT20" i="2"/>
  <c r="BT7" i="2"/>
  <c r="BT5" i="2"/>
  <c r="BT27" i="2"/>
  <c r="BT21" i="2"/>
  <c r="BT29" i="2"/>
  <c r="BT23" i="2"/>
  <c r="BT10" i="2"/>
  <c r="BT16" i="2"/>
  <c r="BT6" i="2"/>
  <c r="BT33" i="2"/>
  <c r="BT9" i="2"/>
  <c r="BT30" i="2"/>
  <c r="BT24" i="2"/>
  <c r="BT11" i="2"/>
  <c r="BT31" i="2"/>
  <c r="BT19" i="2"/>
  <c r="BT28" i="2"/>
  <c r="BT17" i="2"/>
  <c r="BT22" i="2"/>
  <c r="BT14" i="2"/>
  <c r="BT2" i="2"/>
  <c r="BT15" i="2"/>
  <c r="BT12" i="2"/>
  <c r="BT4" i="2"/>
  <c r="BT13" i="2"/>
  <c r="BT8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31" i="2"/>
  <c r="BE31" i="2"/>
  <c r="BF25" i="2"/>
  <c r="BE21" i="2"/>
  <c r="BA32" i="2"/>
  <c r="BG28" i="2"/>
  <c r="BA16" i="2"/>
  <c r="BF4" i="2"/>
  <c r="BG11" i="2"/>
  <c r="BE16" i="2"/>
  <c r="BF19" i="2"/>
  <c r="BG22" i="2"/>
  <c r="BA25" i="2"/>
  <c r="BA3" i="2"/>
  <c r="BG21" i="2"/>
  <c r="BE19" i="2"/>
  <c r="BF12" i="2"/>
  <c r="BA33" i="2"/>
  <c r="BA17" i="2"/>
  <c r="BF10" i="2"/>
  <c r="BA11" i="2"/>
  <c r="BF13" i="2"/>
  <c r="BG27" i="2"/>
  <c r="BA18" i="2"/>
  <c r="BF7" i="2"/>
  <c r="BG20" i="2"/>
  <c r="BE8" i="2"/>
  <c r="BA15" i="2"/>
  <c r="BG4" i="2"/>
  <c r="BG6" i="2"/>
  <c r="BG2" i="2"/>
  <c r="BE29" i="2"/>
  <c r="BA26" i="2"/>
  <c r="BF20" i="2"/>
  <c r="BF33" i="2"/>
  <c r="BG24" i="2"/>
  <c r="BA20" i="2"/>
  <c r="BE33" i="2"/>
  <c r="BA6" i="2"/>
  <c r="BA23" i="2"/>
  <c r="BF2" i="2"/>
  <c r="BE26" i="2"/>
  <c r="BG5" i="2"/>
  <c r="BE5" i="2"/>
  <c r="BA28" i="2"/>
  <c r="BF3" i="2"/>
  <c r="BG9" i="2"/>
  <c r="BE3" i="2"/>
  <c r="BA21" i="2"/>
  <c r="BF6" i="2"/>
  <c r="BA13" i="2"/>
  <c r="BA30" i="2"/>
  <c r="BE24" i="2"/>
  <c r="BE25" i="2"/>
  <c r="BA27" i="2"/>
  <c r="BF26" i="2"/>
  <c r="BA8" i="2"/>
  <c r="BE12" i="2"/>
  <c r="BE17" i="2"/>
  <c r="BA10" i="2"/>
  <c r="BE22" i="2"/>
  <c r="BF16" i="2"/>
  <c r="BA31" i="2"/>
  <c r="BF32" i="2"/>
  <c r="BE6" i="2"/>
  <c r="BE30" i="2"/>
  <c r="BG7" i="2"/>
  <c r="BF29" i="2"/>
  <c r="BE28" i="2"/>
  <c r="BF21" i="2"/>
  <c r="BE4" i="2"/>
  <c r="BA19" i="2"/>
  <c r="BF22" i="2"/>
  <c r="BE32" i="2"/>
  <c r="BE11" i="2"/>
  <c r="BG30" i="2"/>
  <c r="BE2" i="2"/>
  <c r="BE18" i="2"/>
  <c r="BG8" i="2"/>
  <c r="BA12" i="2"/>
  <c r="BA5" i="2"/>
  <c r="BE15" i="2"/>
  <c r="BG10" i="2"/>
  <c r="BF24" i="2"/>
  <c r="BG16" i="2"/>
  <c r="BE13" i="2"/>
  <c r="BG23" i="2"/>
  <c r="BG18" i="2"/>
  <c r="BG15" i="2"/>
  <c r="BG17" i="2"/>
  <c r="BE10" i="2"/>
  <c r="BA24" i="2"/>
  <c r="BA9" i="2"/>
  <c r="BE9" i="2"/>
  <c r="BA4" i="2"/>
  <c r="BE23" i="2"/>
  <c r="BE27" i="2"/>
  <c r="BE7" i="2"/>
  <c r="BG29" i="2"/>
  <c r="BA22" i="2"/>
  <c r="BG13" i="2"/>
  <c r="BA29" i="2"/>
  <c r="BE20" i="2"/>
  <c r="BF8" i="2"/>
  <c r="BG12" i="2"/>
  <c r="BF28" i="2"/>
  <c r="BF9" i="2"/>
  <c r="BG3" i="2"/>
  <c r="BF31" i="2"/>
  <c r="BG32" i="2"/>
  <c r="BF30" i="2"/>
  <c r="BG25" i="2"/>
  <c r="BF18" i="2"/>
  <c r="BG26" i="2"/>
  <c r="BF15" i="2"/>
  <c r="BG33" i="2"/>
  <c r="BF23" i="2"/>
  <c r="BF5" i="2"/>
  <c r="BA2" i="2"/>
  <c r="BF11" i="2"/>
  <c r="BF27" i="2"/>
  <c r="BA7" i="2"/>
  <c r="BF17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69" i="1" l="1"/>
  <c r="AD834" i="1"/>
  <c r="AD788" i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4" i="2"/>
  <c r="Z4" i="2"/>
  <c r="AA4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10" i="2"/>
  <c r="R10" i="2"/>
  <c r="S10" i="2"/>
  <c r="AA12" i="2"/>
  <c r="Z12" i="2"/>
  <c r="Y12" i="2"/>
  <c r="R20" i="2"/>
  <c r="Q20" i="2"/>
  <c r="S20" i="2"/>
  <c r="S11" i="2"/>
  <c r="R11" i="2"/>
  <c r="Q11" i="2"/>
  <c r="Y7" i="2"/>
  <c r="AA7" i="2"/>
  <c r="Z7" i="2"/>
  <c r="AD1133" i="1"/>
  <c r="AC1119" i="1"/>
  <c r="AD933" i="1"/>
  <c r="AC1135" i="1"/>
  <c r="AC1066" i="1"/>
  <c r="Z3" i="2"/>
  <c r="AA3" i="2"/>
  <c r="Y3" i="2"/>
  <c r="AC1094" i="1"/>
  <c r="AD902" i="1"/>
  <c r="AD747" i="1"/>
  <c r="R6" i="2"/>
  <c r="Q6" i="2"/>
  <c r="S6" i="2"/>
  <c r="AC1148" i="1"/>
  <c r="AC1162" i="1"/>
  <c r="Z18" i="2"/>
  <c r="AA18" i="2"/>
  <c r="Y18" i="2"/>
  <c r="S28" i="2"/>
  <c r="AA16" i="2"/>
  <c r="Y16" i="2"/>
  <c r="Z16" i="2"/>
  <c r="Q28" i="2"/>
  <c r="R28" i="2"/>
  <c r="Z17" i="2"/>
  <c r="AA17" i="2"/>
  <c r="Y17" i="2"/>
  <c r="R26" i="2"/>
  <c r="AA13" i="2"/>
  <c r="Z13" i="2"/>
  <c r="S26" i="2"/>
  <c r="Y13" i="2"/>
  <c r="Q26" i="2"/>
  <c r="AA19" i="2"/>
  <c r="Y19" i="2"/>
  <c r="Q8" i="2"/>
  <c r="Z19" i="2"/>
  <c r="S8" i="2"/>
  <c r="R8" i="2"/>
  <c r="R9" i="2"/>
  <c r="S9" i="2"/>
  <c r="Q9" i="2"/>
  <c r="R27" i="2"/>
  <c r="Y23" i="2"/>
  <c r="Q27" i="2"/>
  <c r="AA23" i="2"/>
  <c r="Z23" i="2"/>
  <c r="S27" i="2"/>
  <c r="Q22" i="2"/>
  <c r="R22" i="2"/>
  <c r="S22" i="2"/>
  <c r="Q5" i="2"/>
  <c r="R5" i="2"/>
  <c r="S5" i="2"/>
  <c r="Y30" i="2"/>
  <c r="Z30" i="2"/>
  <c r="AA30" i="2"/>
  <c r="Z20" i="2"/>
  <c r="R21" i="2"/>
  <c r="AA20" i="2"/>
  <c r="S21" i="2"/>
  <c r="Q21" i="2"/>
  <c r="Y20" i="2"/>
  <c r="AA29" i="2"/>
  <c r="Z29" i="2"/>
  <c r="Y29" i="2"/>
  <c r="S16" i="2"/>
  <c r="Y25" i="2"/>
  <c r="Z25" i="2"/>
  <c r="Q16" i="2"/>
  <c r="AA25" i="2"/>
  <c r="R16" i="2"/>
  <c r="Q24" i="2"/>
  <c r="S24" i="2"/>
  <c r="R24" i="2"/>
  <c r="Z15" i="2"/>
  <c r="Y15" i="2"/>
  <c r="AA15" i="2"/>
  <c r="R19" i="2"/>
  <c r="Q19" i="2"/>
  <c r="S19" i="2"/>
  <c r="R31" i="2"/>
  <c r="AA33" i="2"/>
  <c r="Q31" i="2"/>
  <c r="S31" i="2"/>
  <c r="Y33" i="2"/>
  <c r="Z33" i="2"/>
  <c r="Q18" i="2"/>
  <c r="R18" i="2"/>
  <c r="S18" i="2"/>
  <c r="J69" i="7"/>
  <c r="Y8" i="6"/>
  <c r="J32" i="7"/>
  <c r="AA32" i="2"/>
  <c r="S3" i="2"/>
  <c r="Q3" i="2"/>
  <c r="Z32" i="2"/>
  <c r="Y32" i="2"/>
  <c r="R3" i="2"/>
  <c r="J30" i="7"/>
  <c r="B8" i="6"/>
  <c r="J67" i="7"/>
  <c r="S14" i="2"/>
  <c r="Z11" i="2"/>
  <c r="R14" i="2"/>
  <c r="AA11" i="2"/>
  <c r="Q14" i="2"/>
  <c r="Y11" i="2"/>
  <c r="AD8" i="6"/>
  <c r="J31" i="7"/>
  <c r="J63" i="7"/>
  <c r="Q33" i="2"/>
  <c r="Y21" i="2"/>
  <c r="Z21" i="2"/>
  <c r="S33" i="2"/>
  <c r="AA21" i="2"/>
  <c r="R33" i="2"/>
  <c r="Z5" i="2"/>
  <c r="AA5" i="2"/>
  <c r="Q4" i="2"/>
  <c r="Y5" i="2"/>
  <c r="S4" i="2"/>
  <c r="R4" i="2"/>
  <c r="J18" i="7"/>
  <c r="AC8" i="6"/>
  <c r="J58" i="7"/>
  <c r="J55" i="7"/>
  <c r="J20" i="7"/>
  <c r="AF8" i="6"/>
  <c r="J8" i="6"/>
  <c r="J56" i="7"/>
  <c r="J21" i="7"/>
  <c r="Y9" i="2"/>
  <c r="Z9" i="2"/>
  <c r="AA9" i="2"/>
  <c r="S12" i="2"/>
  <c r="Q12" i="2"/>
  <c r="R12" i="2"/>
  <c r="R17" i="2"/>
  <c r="Q17" i="2"/>
  <c r="Z27" i="2"/>
  <c r="Y27" i="2"/>
  <c r="AA27" i="2"/>
  <c r="S17" i="2"/>
  <c r="Z10" i="2"/>
  <c r="R2" i="2"/>
  <c r="AA10" i="2"/>
  <c r="Y10" i="2"/>
  <c r="S2" i="2"/>
  <c r="Q2" i="2"/>
  <c r="S13" i="2"/>
  <c r="Q13" i="2"/>
  <c r="AA26" i="2"/>
  <c r="R13" i="2"/>
  <c r="Y26" i="2"/>
  <c r="Z26" i="2"/>
  <c r="Z22" i="2"/>
  <c r="Q23" i="2"/>
  <c r="AA22" i="2"/>
  <c r="Y22" i="2"/>
  <c r="R23" i="2"/>
  <c r="S23" i="2"/>
  <c r="Y8" i="2"/>
  <c r="R7" i="2"/>
  <c r="Q7" i="2"/>
  <c r="AA8" i="2"/>
  <c r="Z8" i="2"/>
  <c r="S7" i="2"/>
  <c r="AA24" i="2"/>
  <c r="Q30" i="2"/>
  <c r="Y24" i="2"/>
  <c r="S30" i="2"/>
  <c r="R30" i="2"/>
  <c r="Z24" i="2"/>
  <c r="AD10" i="1"/>
  <c r="BD22" i="1"/>
  <c r="Q15" i="2"/>
  <c r="R15" i="2"/>
  <c r="AA28" i="2"/>
  <c r="Z28" i="2"/>
  <c r="S15" i="2"/>
  <c r="Y28" i="2"/>
  <c r="AA6" i="2"/>
  <c r="Q25" i="2"/>
  <c r="Z6" i="2"/>
  <c r="Y6" i="2"/>
  <c r="S25" i="2"/>
  <c r="R25" i="2"/>
  <c r="AD17" i="1"/>
  <c r="BM6" i="1"/>
  <c r="BM7" i="1"/>
  <c r="Y31" i="2"/>
  <c r="Z31" i="2"/>
  <c r="S29" i="2"/>
  <c r="R29" i="2"/>
  <c r="AA31" i="2"/>
  <c r="Q29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6" i="7"/>
  <c r="I6" i="7"/>
  <c r="J41" i="7"/>
  <c r="I41" i="7"/>
  <c r="L41" i="7"/>
  <c r="M41" i="7"/>
  <c r="K41" i="7"/>
  <c r="J6" i="7"/>
  <c r="L6" i="7"/>
  <c r="K6" i="7"/>
  <c r="M6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8" i="7"/>
  <c r="J28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4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4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4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4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4" i="7"/>
  <c r="AQ4" i="7"/>
  <c r="DD4" i="7"/>
  <c r="AD4" i="7"/>
  <c r="DG4" i="7"/>
  <c r="GJ4" i="7"/>
  <c r="CT4" i="7"/>
  <c r="FW4" i="7"/>
  <c r="CG4" i="7"/>
  <c r="FJ4" i="7"/>
  <c r="BT4" i="7"/>
  <c r="EW4" i="7"/>
  <c r="EZ4" i="7"/>
  <c r="P4" i="7"/>
  <c r="BG4" i="7"/>
  <c r="DT4" i="7"/>
  <c r="AT4" i="7"/>
  <c r="DW4" i="7"/>
  <c r="AG4" i="7"/>
  <c r="DJ4" i="7"/>
  <c r="GM4" i="7"/>
  <c r="CW4" i="7"/>
  <c r="FZ4" i="7"/>
  <c r="CJ4" i="7"/>
  <c r="FM4" i="7"/>
  <c r="BM4" i="7"/>
  <c r="V4" i="7"/>
  <c r="BW4" i="7"/>
  <c r="EJ4" i="7"/>
  <c r="BJ4" i="7"/>
  <c r="EM4" i="7"/>
  <c r="AW4" i="7"/>
  <c r="DZ4" i="7"/>
  <c r="AJ4" i="7"/>
  <c r="DM4" i="7"/>
  <c r="GP4" i="7"/>
  <c r="CZ4" i="7"/>
  <c r="GC4" i="7"/>
  <c r="BZ4" i="7"/>
  <c r="O4" i="7"/>
  <c r="CM4" i="7"/>
  <c r="EC4" i="7"/>
  <c r="AM4" i="7"/>
  <c r="DP4" i="7"/>
  <c r="GS4" i="7"/>
  <c r="Q4" i="7"/>
  <c r="DC4" i="7"/>
  <c r="FP4" i="7"/>
  <c r="CP4" i="7"/>
  <c r="FS4" i="7"/>
  <c r="CC4" i="7"/>
  <c r="FF4" i="7"/>
  <c r="BP4" i="7"/>
  <c r="ES4" i="7"/>
  <c r="BC4" i="7"/>
  <c r="EF4" i="7"/>
  <c r="Z4" i="7"/>
  <c r="U4" i="7"/>
  <c r="DS4" i="7"/>
  <c r="GF4" i="7"/>
  <c r="DF4" i="7"/>
  <c r="GI4" i="7"/>
  <c r="CS4" i="7"/>
  <c r="FV4" i="7"/>
  <c r="CF4" i="7"/>
  <c r="FI4" i="7"/>
  <c r="BS4" i="7"/>
  <c r="EV4" i="7"/>
  <c r="AP4" i="7"/>
  <c r="W4" i="7"/>
  <c r="EI4" i="7"/>
  <c r="AC4" i="7"/>
  <c r="DV4" i="7"/>
  <c r="AF4" i="7"/>
  <c r="DI4" i="7"/>
  <c r="GL4" i="7"/>
  <c r="CV4" i="7"/>
  <c r="FY4" i="7"/>
  <c r="CI4" i="7"/>
  <c r="FL4" i="7"/>
  <c r="BF4" i="7"/>
  <c r="EY4" i="7"/>
  <c r="BI4" i="7"/>
  <c r="EL4" i="7"/>
  <c r="AV4" i="7"/>
  <c r="DY4" i="7"/>
  <c r="AI4" i="7"/>
  <c r="DL4" i="7"/>
  <c r="GO4" i="7"/>
  <c r="CY4" i="7"/>
  <c r="GB4" i="7"/>
  <c r="BV4" i="7"/>
  <c r="FO4" i="7"/>
  <c r="BY4" i="7"/>
  <c r="FB4" i="7"/>
  <c r="BL4" i="7"/>
  <c r="EO4" i="7"/>
  <c r="AY4" i="7"/>
  <c r="EB4" i="7"/>
  <c r="AL4" i="7"/>
  <c r="DO4" i="7"/>
  <c r="GR4" i="7"/>
  <c r="CL4" i="7"/>
  <c r="GE4" i="7"/>
  <c r="CO4" i="7"/>
  <c r="FR4" i="7"/>
  <c r="CB4" i="7"/>
  <c r="FE4" i="7"/>
  <c r="BO4" i="7"/>
  <c r="ER4" i="7"/>
  <c r="BB4" i="7"/>
  <c r="EE4" i="7"/>
  <c r="AO4" i="7"/>
  <c r="DB4" i="7"/>
  <c r="R4" i="7"/>
  <c r="GU4" i="7"/>
  <c r="DE4" i="7"/>
  <c r="GH4" i="7"/>
  <c r="CR4" i="7"/>
  <c r="FU4" i="7"/>
  <c r="CE4" i="7"/>
  <c r="FH4" i="7"/>
  <c r="BR4" i="7"/>
  <c r="EU4" i="7"/>
  <c r="BE4" i="7"/>
  <c r="DR4" i="7"/>
  <c r="X4" i="7"/>
  <c r="AB4" i="7"/>
  <c r="DU4" i="7"/>
  <c r="AE4" i="7"/>
  <c r="DH4" i="7"/>
  <c r="GK4" i="7"/>
  <c r="CU4" i="7"/>
  <c r="FX4" i="7"/>
  <c r="CH4" i="7"/>
  <c r="FK4" i="7"/>
  <c r="BU4" i="7"/>
  <c r="EH4" i="7"/>
  <c r="M4" i="7"/>
  <c r="AR4" i="7"/>
  <c r="EK4" i="7"/>
  <c r="AU4" i="7"/>
  <c r="DX4" i="7"/>
  <c r="AH4" i="7"/>
  <c r="DK4" i="7"/>
  <c r="GN4" i="7"/>
  <c r="CX4" i="7"/>
  <c r="GA4" i="7"/>
  <c r="CK4" i="7"/>
  <c r="EX4" i="7"/>
  <c r="S4" i="7"/>
  <c r="BH4" i="7"/>
  <c r="FA4" i="7"/>
  <c r="BK4" i="7"/>
  <c r="EN4" i="7"/>
  <c r="AX4" i="7"/>
  <c r="EA4" i="7"/>
  <c r="AK4" i="7"/>
  <c r="DN4" i="7"/>
  <c r="GQ4" i="7"/>
  <c r="DA4" i="7"/>
  <c r="FN4" i="7"/>
  <c r="FC4" i="7"/>
  <c r="Y4" i="7"/>
  <c r="BX4" i="7"/>
  <c r="FQ4" i="7"/>
  <c r="CA4" i="7"/>
  <c r="FD4" i="7"/>
  <c r="BN4" i="7"/>
  <c r="EQ4" i="7"/>
  <c r="BA4" i="7"/>
  <c r="ED4" i="7"/>
  <c r="AN4" i="7"/>
  <c r="DQ4" i="7"/>
  <c r="GD4" i="7"/>
  <c r="AZ4" i="7"/>
  <c r="N4" i="7"/>
  <c r="AA4" i="7"/>
  <c r="CN4" i="7"/>
  <c r="GG4" i="7"/>
  <c r="CQ4" i="7"/>
  <c r="FT4" i="7"/>
  <c r="CD4" i="7"/>
  <c r="FG4" i="7"/>
  <c r="BQ4" i="7"/>
  <c r="ET4" i="7"/>
  <c r="BD4" i="7"/>
  <c r="EG4" i="7"/>
  <c r="GT4" i="7"/>
  <c r="EP4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8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6" i="7"/>
  <c r="DS6" i="7"/>
  <c r="BL6" i="7"/>
  <c r="BT6" i="7"/>
  <c r="FL6" i="7"/>
  <c r="BV6" i="7"/>
  <c r="CQ6" i="7"/>
  <c r="CS6" i="7"/>
  <c r="CE6" i="7"/>
  <c r="BO6" i="7"/>
  <c r="BA6" i="7"/>
  <c r="EL6" i="7"/>
  <c r="AG6" i="7"/>
  <c r="DY6" i="7"/>
  <c r="BR6" i="7"/>
  <c r="BZ6" i="7"/>
  <c r="FR6" i="7"/>
  <c r="CB6" i="7"/>
  <c r="DC6" i="7"/>
  <c r="DE6" i="7"/>
  <c r="CV6" i="7"/>
  <c r="CG6" i="7"/>
  <c r="BS6" i="7"/>
  <c r="GH6" i="7"/>
  <c r="AM6" i="7"/>
  <c r="EE6" i="7"/>
  <c r="BX6" i="7"/>
  <c r="CF6" i="7"/>
  <c r="FX6" i="7"/>
  <c r="CH6" i="7"/>
  <c r="DO6" i="7"/>
  <c r="DQ6" i="7"/>
  <c r="DH6" i="7"/>
  <c r="CW6" i="7"/>
  <c r="CK6" i="7"/>
  <c r="BU6" i="7"/>
  <c r="AS6" i="7"/>
  <c r="EK6" i="7"/>
  <c r="CD6" i="7"/>
  <c r="CL6" i="7"/>
  <c r="GD6" i="7"/>
  <c r="CN6" i="7"/>
  <c r="EA6" i="7"/>
  <c r="EC6" i="7"/>
  <c r="DT6" i="7"/>
  <c r="DI6" i="7"/>
  <c r="CY6" i="7"/>
  <c r="EU6" i="7"/>
  <c r="AY6" i="7"/>
  <c r="EQ6" i="7"/>
  <c r="CJ6" i="7"/>
  <c r="CR6" i="7"/>
  <c r="GJ6" i="7"/>
  <c r="CT6" i="7"/>
  <c r="EM6" i="7"/>
  <c r="EO6" i="7"/>
  <c r="EF6" i="7"/>
  <c r="DU6" i="7"/>
  <c r="DK6" i="7"/>
  <c r="GO6" i="7"/>
  <c r="BE6" i="7"/>
  <c r="EW6" i="7"/>
  <c r="CP6" i="7"/>
  <c r="CX6" i="7"/>
  <c r="GP6" i="7"/>
  <c r="CZ6" i="7"/>
  <c r="EV6" i="7"/>
  <c r="EX6" i="7"/>
  <c r="EP6" i="7"/>
  <c r="EG6" i="7"/>
  <c r="DW6" i="7"/>
  <c r="CM6" i="7"/>
  <c r="BK6" i="7"/>
  <c r="FC6" i="7"/>
  <c r="DD6" i="7"/>
  <c r="N6" i="7"/>
  <c r="DF6" i="7"/>
  <c r="FE6" i="7"/>
  <c r="FG6" i="7"/>
  <c r="EY6" i="7"/>
  <c r="ER6" i="7"/>
  <c r="EI6" i="7"/>
  <c r="FD6" i="7"/>
  <c r="BQ6" i="7"/>
  <c r="FI6" i="7"/>
  <c r="R6" i="7"/>
  <c r="DJ6" i="7"/>
  <c r="T6" i="7"/>
  <c r="DL6" i="7"/>
  <c r="FN6" i="7"/>
  <c r="FO6" i="7"/>
  <c r="FH6" i="7"/>
  <c r="FA6" i="7"/>
  <c r="ES6" i="7"/>
  <c r="DB6" i="7"/>
  <c r="BW6" i="7"/>
  <c r="P6" i="7"/>
  <c r="X6" i="7"/>
  <c r="DP6" i="7"/>
  <c r="Z6" i="7"/>
  <c r="DR6" i="7"/>
  <c r="FU6" i="7"/>
  <c r="FV6" i="7"/>
  <c r="FP6" i="7"/>
  <c r="FJ6" i="7"/>
  <c r="FB6" i="7"/>
  <c r="FM6" i="7"/>
  <c r="CC6" i="7"/>
  <c r="V6" i="7"/>
  <c r="AD6" i="7"/>
  <c r="DV6" i="7"/>
  <c r="AF6" i="7"/>
  <c r="DX6" i="7"/>
  <c r="GB6" i="7"/>
  <c r="GC6" i="7"/>
  <c r="FW6" i="7"/>
  <c r="FQ6" i="7"/>
  <c r="FK6" i="7"/>
  <c r="S6" i="7"/>
  <c r="CI6" i="7"/>
  <c r="AB6" i="7"/>
  <c r="AJ6" i="7"/>
  <c r="EB6" i="7"/>
  <c r="AL6" i="7"/>
  <c r="ED6" i="7"/>
  <c r="GI6" i="7"/>
  <c r="GK6" i="7"/>
  <c r="GE6" i="7"/>
  <c r="FY6" i="7"/>
  <c r="FS6" i="7"/>
  <c r="DN6" i="7"/>
  <c r="CO6" i="7"/>
  <c r="AH6" i="7"/>
  <c r="AP6" i="7"/>
  <c r="EH6" i="7"/>
  <c r="AR6" i="7"/>
  <c r="EJ6" i="7"/>
  <c r="GQ6" i="7"/>
  <c r="GR6" i="7"/>
  <c r="GL6" i="7"/>
  <c r="GF6" i="7"/>
  <c r="FZ6" i="7"/>
  <c r="FT6" i="7"/>
  <c r="CU6" i="7"/>
  <c r="AN6" i="7"/>
  <c r="AV6" i="7"/>
  <c r="EN6" i="7"/>
  <c r="AX6" i="7"/>
  <c r="W6" i="7"/>
  <c r="Y6" i="7"/>
  <c r="GS6" i="7"/>
  <c r="GM6" i="7"/>
  <c r="GG6" i="7"/>
  <c r="AK6" i="7"/>
  <c r="DA6" i="7"/>
  <c r="AT6" i="7"/>
  <c r="BB6" i="7"/>
  <c r="ET6" i="7"/>
  <c r="BD6" i="7"/>
  <c r="AO6" i="7"/>
  <c r="AQ6" i="7"/>
  <c r="AC6" i="7"/>
  <c r="GT6" i="7"/>
  <c r="GN6" i="7"/>
  <c r="DZ6" i="7"/>
  <c r="O6" i="7"/>
  <c r="DG6" i="7"/>
  <c r="AZ6" i="7"/>
  <c r="BH6" i="7"/>
  <c r="EZ6" i="7"/>
  <c r="BJ6" i="7"/>
  <c r="BG6" i="7"/>
  <c r="BI6" i="7"/>
  <c r="AU6" i="7"/>
  <c r="AE6" i="7"/>
  <c r="Q6" i="7"/>
  <c r="GU6" i="7"/>
  <c r="GA6" i="7"/>
  <c r="U6" i="7"/>
  <c r="DM6" i="7"/>
  <c r="BF6" i="7"/>
  <c r="BN6" i="7"/>
  <c r="FF6" i="7"/>
  <c r="BP6" i="7"/>
  <c r="BY6" i="7"/>
  <c r="CA6" i="7"/>
  <c r="BM6" i="7"/>
  <c r="AW6" i="7"/>
  <c r="AI6" i="7"/>
  <c r="BC6" i="7"/>
  <c r="J59" i="7"/>
  <c r="J23" i="7"/>
  <c r="M59" i="7"/>
  <c r="L59" i="7"/>
  <c r="K59" i="7"/>
  <c r="L23" i="7"/>
  <c r="K23" i="7"/>
  <c r="M23" i="7"/>
  <c r="J52" i="7"/>
  <c r="EB52" i="7"/>
  <c r="BM52" i="7"/>
  <c r="J17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7" i="7"/>
  <c r="L52" i="7"/>
  <c r="K52" i="7"/>
  <c r="EY52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4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4" i="7"/>
  <c r="DZ14" i="7"/>
  <c r="CE14" i="7"/>
  <c r="FW14" i="7"/>
  <c r="BZ14" i="7"/>
  <c r="FR14" i="7"/>
  <c r="CA14" i="7"/>
  <c r="AG14" i="7"/>
  <c r="CN14" i="7"/>
  <c r="EQ14" i="7"/>
  <c r="FZ14" i="7"/>
  <c r="CH14" i="7"/>
  <c r="AN14" i="7"/>
  <c r="EF14" i="7"/>
  <c r="CK14" i="7"/>
  <c r="GC14" i="7"/>
  <c r="CF14" i="7"/>
  <c r="FX14" i="7"/>
  <c r="CG14" i="7"/>
  <c r="AY14" i="7"/>
  <c r="DF14" i="7"/>
  <c r="FD14" i="7"/>
  <c r="GH14" i="7"/>
  <c r="FT14" i="7"/>
  <c r="AT14" i="7"/>
  <c r="EL14" i="7"/>
  <c r="CQ14" i="7"/>
  <c r="GI14" i="7"/>
  <c r="CL14" i="7"/>
  <c r="GD14" i="7"/>
  <c r="CM14" i="7"/>
  <c r="BQ14" i="7"/>
  <c r="DX14" i="7"/>
  <c r="FO14" i="7"/>
  <c r="GR14" i="7"/>
  <c r="CZ14" i="7"/>
  <c r="AZ14" i="7"/>
  <c r="ER14" i="7"/>
  <c r="CW14" i="7"/>
  <c r="GO14" i="7"/>
  <c r="CR14" i="7"/>
  <c r="GJ14" i="7"/>
  <c r="CS14" i="7"/>
  <c r="CI14" i="7"/>
  <c r="EP14" i="7"/>
  <c r="FY14" i="7"/>
  <c r="AA14" i="7"/>
  <c r="GB14" i="7"/>
  <c r="BF14" i="7"/>
  <c r="K14" i="7"/>
  <c r="DC14" i="7"/>
  <c r="GU14" i="7"/>
  <c r="CX14" i="7"/>
  <c r="GP14" i="7"/>
  <c r="CY14" i="7"/>
  <c r="DA14" i="7"/>
  <c r="FC14" i="7"/>
  <c r="GG14" i="7"/>
  <c r="AS14" i="7"/>
  <c r="N14" i="7"/>
  <c r="BL14" i="7"/>
  <c r="Q14" i="7"/>
  <c r="DI14" i="7"/>
  <c r="L14" i="7"/>
  <c r="DD14" i="7"/>
  <c r="M14" i="7"/>
  <c r="DE14" i="7"/>
  <c r="DS14" i="7"/>
  <c r="FN14" i="7"/>
  <c r="GQ14" i="7"/>
  <c r="BK14" i="7"/>
  <c r="DR14" i="7"/>
  <c r="BR14" i="7"/>
  <c r="W14" i="7"/>
  <c r="DO14" i="7"/>
  <c r="R14" i="7"/>
  <c r="DJ14" i="7"/>
  <c r="S14" i="7"/>
  <c r="DK14" i="7"/>
  <c r="EK14" i="7"/>
  <c r="FV14" i="7"/>
  <c r="Z14" i="7"/>
  <c r="CC14" i="7"/>
  <c r="GL14" i="7"/>
  <c r="BX14" i="7"/>
  <c r="AC14" i="7"/>
  <c r="DU14" i="7"/>
  <c r="X14" i="7"/>
  <c r="DP14" i="7"/>
  <c r="Y14" i="7"/>
  <c r="DQ14" i="7"/>
  <c r="FB14" i="7"/>
  <c r="GF14" i="7"/>
  <c r="AR14" i="7"/>
  <c r="CU14" i="7"/>
  <c r="AF14" i="7"/>
  <c r="CD14" i="7"/>
  <c r="AI14" i="7"/>
  <c r="EA14" i="7"/>
  <c r="AD14" i="7"/>
  <c r="DV14" i="7"/>
  <c r="AE14" i="7"/>
  <c r="DW14" i="7"/>
  <c r="FM14" i="7"/>
  <c r="GN14" i="7"/>
  <c r="BJ14" i="7"/>
  <c r="DM14" i="7"/>
  <c r="EJ14" i="7"/>
  <c r="CJ14" i="7"/>
  <c r="AO14" i="7"/>
  <c r="EG14" i="7"/>
  <c r="AJ14" i="7"/>
  <c r="EB14" i="7"/>
  <c r="AK14" i="7"/>
  <c r="EC14" i="7"/>
  <c r="FU14" i="7"/>
  <c r="U14" i="7"/>
  <c r="CB14" i="7"/>
  <c r="EE14" i="7"/>
  <c r="GT14" i="7"/>
  <c r="CP14" i="7"/>
  <c r="AU14" i="7"/>
  <c r="EM14" i="7"/>
  <c r="AP14" i="7"/>
  <c r="EH14" i="7"/>
  <c r="AQ14" i="7"/>
  <c r="EI14" i="7"/>
  <c r="GE14" i="7"/>
  <c r="AM14" i="7"/>
  <c r="CT14" i="7"/>
  <c r="EW14" i="7"/>
  <c r="AX14" i="7"/>
  <c r="CV14" i="7"/>
  <c r="BA14" i="7"/>
  <c r="ES14" i="7"/>
  <c r="AV14" i="7"/>
  <c r="EN14" i="7"/>
  <c r="AW14" i="7"/>
  <c r="EO14" i="7"/>
  <c r="GM14" i="7"/>
  <c r="BE14" i="7"/>
  <c r="DL14" i="7"/>
  <c r="FI14" i="7"/>
  <c r="EX14" i="7"/>
  <c r="DB14" i="7"/>
  <c r="BG14" i="7"/>
  <c r="EY14" i="7"/>
  <c r="BB14" i="7"/>
  <c r="ET14" i="7"/>
  <c r="BC14" i="7"/>
  <c r="EU14" i="7"/>
  <c r="T14" i="7"/>
  <c r="BW14" i="7"/>
  <c r="ED14" i="7"/>
  <c r="FS14" i="7"/>
  <c r="BP14" i="7"/>
  <c r="P14" i="7"/>
  <c r="DH14" i="7"/>
  <c r="BM14" i="7"/>
  <c r="FE14" i="7"/>
  <c r="BH14" i="7"/>
  <c r="EZ14" i="7"/>
  <c r="BI14" i="7"/>
  <c r="FA14" i="7"/>
  <c r="AL14" i="7"/>
  <c r="CO14" i="7"/>
  <c r="EV14" i="7"/>
  <c r="GA14" i="7"/>
  <c r="FJ14" i="7"/>
  <c r="V14" i="7"/>
  <c r="DN14" i="7"/>
  <c r="BS14" i="7"/>
  <c r="FK14" i="7"/>
  <c r="BN14" i="7"/>
  <c r="FF14" i="7"/>
  <c r="BO14" i="7"/>
  <c r="FG14" i="7"/>
  <c r="BD14" i="7"/>
  <c r="DG14" i="7"/>
  <c r="FH14" i="7"/>
  <c r="GK14" i="7"/>
  <c r="AB14" i="7"/>
  <c r="DT14" i="7"/>
  <c r="BY14" i="7"/>
  <c r="FQ14" i="7"/>
  <c r="BT14" i="7"/>
  <c r="FL14" i="7"/>
  <c r="BU14" i="7"/>
  <c r="O14" i="7"/>
  <c r="BV14" i="7"/>
  <c r="DY14" i="7"/>
  <c r="FP14" i="7"/>
  <c r="GS14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5" i="2"/>
  <c r="BN19" i="2"/>
  <c r="BN15" i="2"/>
  <c r="BN31" i="2"/>
  <c r="BN18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5" i="2"/>
  <c r="BL15" i="2"/>
  <c r="BL18" i="2"/>
  <c r="AD225" i="1"/>
  <c r="AD164" i="1"/>
  <c r="AD168" i="1"/>
  <c r="AC170" i="1"/>
  <c r="AC156" i="1"/>
  <c r="AJ30" i="2"/>
  <c r="AC231" i="1"/>
  <c r="BL13" i="2"/>
  <c r="AD239" i="1"/>
  <c r="AC236" i="1"/>
  <c r="AC150" i="1"/>
  <c r="AC122" i="1"/>
  <c r="AD123" i="1"/>
  <c r="AC102" i="1"/>
  <c r="BL19" i="2"/>
  <c r="BL31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8" i="2"/>
  <c r="BO21" i="2"/>
  <c r="BO10" i="2"/>
  <c r="BO8" i="2"/>
  <c r="AJ6" i="2"/>
  <c r="AJ15" i="2"/>
  <c r="AH15" i="2"/>
  <c r="AH19" i="2"/>
  <c r="BO30" i="2"/>
  <c r="AJ32" i="2"/>
  <c r="AJ19" i="2"/>
  <c r="BO6" i="2"/>
  <c r="BN25" i="2"/>
  <c r="AJ10" i="2"/>
  <c r="AG28" i="2"/>
  <c r="BO53" i="5"/>
  <c r="CY6" i="2"/>
  <c r="CY5" i="2"/>
  <c r="AE25" i="2"/>
  <c r="AI18" i="2"/>
  <c r="AI12" i="2"/>
  <c r="BO46" i="5"/>
  <c r="AI14" i="2"/>
  <c r="AH7" i="2"/>
  <c r="AJ25" i="2"/>
  <c r="BO23" i="2"/>
  <c r="AE21" i="2"/>
  <c r="AF22" i="2"/>
  <c r="AF25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10" i="2"/>
  <c r="BO10" i="5"/>
  <c r="AF5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5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8" i="2"/>
  <c r="AH23" i="2"/>
  <c r="AF16" i="2"/>
  <c r="BN9" i="2"/>
  <c r="BO26" i="2"/>
  <c r="BO42" i="5"/>
  <c r="BO7" i="2"/>
  <c r="BO3" i="2"/>
  <c r="BO21" i="5"/>
  <c r="AJ31" i="2"/>
  <c r="AI33" i="2"/>
  <c r="AG13" i="2"/>
  <c r="AI30" i="2"/>
  <c r="AE2" i="2"/>
  <c r="AI8" i="2"/>
  <c r="AI29" i="2"/>
  <c r="AG33" i="2"/>
  <c r="AC24" i="2"/>
  <c r="AC3" i="2"/>
  <c r="AC15" i="2"/>
  <c r="AG18" i="2"/>
  <c r="AI24" i="2"/>
  <c r="AI3" i="2"/>
  <c r="AG24" i="2"/>
  <c r="AC30" i="2"/>
  <c r="AE7" i="2"/>
  <c r="AE22" i="2"/>
  <c r="AI5" i="2"/>
  <c r="AI17" i="2"/>
  <c r="AE27" i="2"/>
  <c r="AC2" i="2"/>
  <c r="AC28" i="2"/>
  <c r="AC26" i="2"/>
  <c r="AE15" i="2"/>
  <c r="AE5" i="2"/>
  <c r="AI4" i="2"/>
  <c r="AF19" i="2"/>
  <c r="AE9" i="2"/>
  <c r="AI21" i="2"/>
  <c r="AE6" i="2"/>
  <c r="AG31" i="2"/>
  <c r="AG29" i="2"/>
  <c r="AE23" i="2"/>
  <c r="AI10" i="2"/>
  <c r="AC14" i="2"/>
  <c r="AE30" i="2"/>
  <c r="AC33" i="2"/>
  <c r="AI9" i="2"/>
  <c r="AG27" i="2"/>
  <c r="AE12" i="2"/>
  <c r="AE13" i="2"/>
  <c r="AE4" i="2"/>
  <c r="AI6" i="2"/>
  <c r="AF18" i="2"/>
  <c r="AE8" i="2"/>
  <c r="AI11" i="2"/>
  <c r="AE17" i="2"/>
  <c r="AC25" i="2"/>
  <c r="AC7" i="2"/>
  <c r="AE24" i="2"/>
  <c r="AE19" i="2"/>
  <c r="AI28" i="2"/>
  <c r="AI23" i="2"/>
  <c r="AE18" i="2"/>
  <c r="AE28" i="2"/>
  <c r="AF15" i="2"/>
  <c r="AC4" i="2"/>
  <c r="AG22" i="2"/>
  <c r="AI31" i="2"/>
  <c r="AI26" i="2"/>
  <c r="AG15" i="2"/>
  <c r="AC13" i="2"/>
  <c r="AI22" i="2"/>
  <c r="AE26" i="2"/>
  <c r="AE29" i="2"/>
  <c r="AG4" i="2"/>
  <c r="AI32" i="2"/>
  <c r="AE31" i="2"/>
  <c r="AE11" i="2"/>
  <c r="AC23" i="2"/>
  <c r="AI27" i="2"/>
  <c r="AI2" i="2"/>
  <c r="AC12" i="2"/>
  <c r="AI7" i="2"/>
  <c r="AE3" i="2"/>
  <c r="AG7" i="2"/>
  <c r="AI25" i="2"/>
  <c r="AC9" i="2"/>
  <c r="AC5" i="2"/>
  <c r="AC6" i="2"/>
  <c r="AC21" i="2"/>
  <c r="AG5" i="2"/>
  <c r="AI15" i="2"/>
  <c r="AI16" i="2"/>
  <c r="AC32" i="2"/>
  <c r="AC20" i="2"/>
  <c r="AC16" i="2"/>
  <c r="AG32" i="2"/>
  <c r="AG8" i="2"/>
  <c r="AI19" i="2"/>
  <c r="AC29" i="2"/>
  <c r="AE14" i="2"/>
  <c r="AG6" i="2"/>
  <c r="AG2" i="2"/>
  <c r="AG23" i="2"/>
  <c r="AC11" i="2"/>
  <c r="AC27" i="2"/>
  <c r="AG14" i="2"/>
  <c r="AE33" i="2"/>
  <c r="AG11" i="2"/>
  <c r="AE32" i="2"/>
  <c r="AG30" i="2"/>
  <c r="AG20" i="2"/>
  <c r="AG17" i="2"/>
  <c r="AC10" i="2"/>
  <c r="AC19" i="2"/>
  <c r="AC22" i="2"/>
  <c r="AC31" i="2"/>
  <c r="AE10" i="2"/>
  <c r="AG26" i="2"/>
  <c r="AG19" i="2"/>
  <c r="AG21" i="2"/>
  <c r="AE20" i="2"/>
  <c r="AH9" i="2"/>
  <c r="AG25" i="2"/>
  <c r="AC18" i="2"/>
  <c r="AC8" i="2"/>
  <c r="AC17" i="2"/>
  <c r="AJ5" i="2"/>
  <c r="AG9" i="2"/>
  <c r="AG3" i="2"/>
  <c r="AG12" i="2"/>
  <c r="AI20" i="2"/>
  <c r="AG16" i="2"/>
  <c r="AE16" i="2"/>
  <c r="AH17" i="2"/>
  <c r="BX22" i="2"/>
  <c r="J2" i="2"/>
  <c r="G2" i="2"/>
  <c r="J8" i="2"/>
  <c r="G8" i="2"/>
  <c r="J25" i="2"/>
  <c r="BX13" i="2"/>
  <c r="J13" i="2"/>
  <c r="BV23" i="2"/>
  <c r="X13" i="2"/>
  <c r="BX23" i="2"/>
  <c r="BX18" i="2"/>
  <c r="J19" i="2"/>
  <c r="X19" i="2"/>
  <c r="X8" i="2"/>
  <c r="X29" i="2"/>
  <c r="BV18" i="2"/>
  <c r="J5" i="2"/>
  <c r="BV29" i="2"/>
  <c r="BX29" i="2"/>
  <c r="X26" i="2"/>
  <c r="BV27" i="2"/>
  <c r="X6" i="2"/>
  <c r="X32" i="2"/>
  <c r="BX12" i="2"/>
  <c r="BW22" i="2"/>
  <c r="AH11" i="2"/>
  <c r="BX21" i="2"/>
  <c r="X21" i="2"/>
  <c r="BW20" i="2"/>
  <c r="X17" i="2"/>
  <c r="BV20" i="2"/>
  <c r="BX17" i="2"/>
  <c r="BX32" i="2"/>
  <c r="BX27" i="2"/>
  <c r="X2" i="2"/>
  <c r="X16" i="2"/>
  <c r="BO28" i="2"/>
  <c r="X31" i="2"/>
  <c r="BX15" i="2"/>
  <c r="BX28" i="2"/>
  <c r="BX20" i="2"/>
  <c r="X24" i="2"/>
  <c r="BX30" i="2"/>
  <c r="BX24" i="2"/>
  <c r="BX2" i="2"/>
  <c r="X28" i="2"/>
  <c r="J18" i="2"/>
  <c r="X22" i="2"/>
  <c r="X27" i="2"/>
  <c r="BV16" i="2"/>
  <c r="BX16" i="2"/>
  <c r="BW29" i="2"/>
  <c r="BV6" i="2"/>
  <c r="BV15" i="2"/>
  <c r="BW15" i="2"/>
  <c r="BV21" i="2"/>
  <c r="BV30" i="2"/>
  <c r="BV32" i="2"/>
  <c r="X10" i="2"/>
  <c r="BX6" i="2"/>
  <c r="BV2" i="2"/>
  <c r="X15" i="2"/>
  <c r="X23" i="2"/>
  <c r="BW28" i="2"/>
  <c r="BX31" i="2"/>
  <c r="BX11" i="2"/>
  <c r="BX19" i="2"/>
  <c r="BV19" i="2"/>
  <c r="BV5" i="2"/>
  <c r="X30" i="2"/>
  <c r="BX25" i="2"/>
  <c r="X25" i="2"/>
  <c r="BX8" i="2"/>
  <c r="BX7" i="2"/>
  <c r="J11" i="2"/>
  <c r="E11" i="2" s="1"/>
  <c r="X33" i="2"/>
  <c r="BV28" i="2"/>
  <c r="AF17" i="2"/>
  <c r="AF20" i="2"/>
  <c r="AJ13" i="2"/>
  <c r="AF13" i="2"/>
  <c r="AF31" i="2"/>
  <c r="BN32" i="2"/>
  <c r="AF14" i="2"/>
  <c r="AH26" i="2"/>
  <c r="BV22" i="2"/>
  <c r="P31" i="2"/>
  <c r="BV24" i="2"/>
  <c r="BV7" i="2"/>
  <c r="X4" i="2"/>
  <c r="BX4" i="2"/>
  <c r="J20" i="2"/>
  <c r="X20" i="2"/>
  <c r="J9" i="2"/>
  <c r="X3" i="2"/>
  <c r="BX3" i="2"/>
  <c r="X9" i="2"/>
  <c r="P20" i="2"/>
  <c r="BW13" i="2"/>
  <c r="BX9" i="2"/>
  <c r="P8" i="2"/>
  <c r="X11" i="2"/>
  <c r="P16" i="2"/>
  <c r="X18" i="2"/>
  <c r="P21" i="2"/>
  <c r="P24" i="2"/>
  <c r="P6" i="2"/>
  <c r="X5" i="2"/>
  <c r="P26" i="2"/>
  <c r="P7" i="2"/>
  <c r="X7" i="2"/>
  <c r="P4" i="2"/>
  <c r="P32" i="2"/>
  <c r="BV11" i="2"/>
  <c r="BV13" i="2"/>
  <c r="BV3" i="2"/>
  <c r="BV31" i="2"/>
  <c r="BV9" i="2"/>
  <c r="BV33" i="2"/>
  <c r="BX5" i="2"/>
  <c r="BW8" i="2"/>
  <c r="BV26" i="2"/>
  <c r="BV25" i="2"/>
  <c r="BV17" i="2"/>
  <c r="BW30" i="2"/>
  <c r="BW23" i="2"/>
  <c r="BV8" i="2"/>
  <c r="BW10" i="2"/>
  <c r="BV10" i="2"/>
  <c r="BV4" i="2"/>
  <c r="BW27" i="2"/>
  <c r="BW17" i="2"/>
  <c r="BW12" i="2"/>
  <c r="BV12" i="2"/>
  <c r="BX10" i="2"/>
  <c r="AH21" i="2"/>
  <c r="X12" i="2"/>
  <c r="P3" i="2"/>
  <c r="BX26" i="2"/>
  <c r="J6" i="2"/>
  <c r="BW31" i="2"/>
  <c r="J29" i="2"/>
  <c r="P17" i="2"/>
  <c r="BX33" i="2"/>
  <c r="BW19" i="2"/>
  <c r="P19" i="2"/>
  <c r="J4" i="2"/>
  <c r="BW4" i="2"/>
  <c r="BW16" i="2"/>
  <c r="J10" i="2"/>
  <c r="P10" i="2"/>
  <c r="BW25" i="2"/>
  <c r="P25" i="2"/>
  <c r="J17" i="2"/>
  <c r="J22" i="2"/>
  <c r="J24" i="2"/>
  <c r="BW18" i="2"/>
  <c r="J27" i="2"/>
  <c r="P27" i="2"/>
  <c r="P13" i="2"/>
  <c r="BW7" i="2"/>
  <c r="BW24" i="2"/>
  <c r="J28" i="2"/>
  <c r="J26" i="2"/>
  <c r="J16" i="2"/>
  <c r="P22" i="2"/>
  <c r="P18" i="2"/>
  <c r="BW6" i="2"/>
  <c r="J33" i="2"/>
  <c r="BW3" i="2"/>
  <c r="J21" i="2"/>
  <c r="P28" i="2"/>
  <c r="BW2" i="2"/>
  <c r="P11" i="2"/>
  <c r="J12" i="2"/>
  <c r="J3" i="2"/>
  <c r="J7" i="2"/>
  <c r="P12" i="2"/>
  <c r="J32" i="2"/>
  <c r="J15" i="2"/>
  <c r="J30" i="2"/>
  <c r="BW11" i="2"/>
  <c r="P29" i="2"/>
  <c r="BW32" i="2"/>
  <c r="P2" i="2"/>
  <c r="J31" i="2"/>
  <c r="P23" i="2"/>
  <c r="P30" i="2"/>
  <c r="P9" i="2"/>
  <c r="P5" i="2"/>
  <c r="BW5" i="2"/>
  <c r="J23" i="2"/>
  <c r="BW26" i="2"/>
  <c r="BW9" i="2"/>
  <c r="P33" i="2"/>
  <c r="BW21" i="2"/>
  <c r="BW33" i="2"/>
  <c r="P15" i="2"/>
  <c r="BH2" i="2"/>
  <c r="BH26" i="2"/>
  <c r="BH3" i="2"/>
  <c r="BH20" i="2"/>
  <c r="BH4" i="2"/>
  <c r="BH11" i="2"/>
  <c r="BH12" i="2"/>
  <c r="BH24" i="2"/>
  <c r="BH22" i="2"/>
  <c r="BH25" i="2"/>
  <c r="BH31" i="2"/>
  <c r="BH28" i="2"/>
  <c r="BH10" i="2"/>
  <c r="BH17" i="2"/>
  <c r="BH19" i="2"/>
  <c r="BH5" i="2"/>
  <c r="BH6" i="2"/>
  <c r="BH23" i="2"/>
  <c r="BH30" i="2"/>
  <c r="BH13" i="2"/>
  <c r="BH29" i="2"/>
  <c r="BH32" i="2"/>
  <c r="BH18" i="2"/>
  <c r="BH9" i="2"/>
  <c r="BH8" i="2"/>
  <c r="BH7" i="2"/>
  <c r="BH27" i="2"/>
  <c r="BH21" i="2"/>
  <c r="BH33" i="2"/>
  <c r="BH15" i="2"/>
  <c r="BH16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8" i="2"/>
  <c r="AL18" i="2" s="1"/>
  <c r="AH13" i="2"/>
  <c r="AL13" i="2" s="1"/>
  <c r="BO11" i="2"/>
  <c r="BL17" i="2"/>
  <c r="BN17" i="2"/>
  <c r="BD17" i="1"/>
  <c r="BD18" i="1" s="1"/>
  <c r="AO102" i="1"/>
  <c r="AO821" i="1"/>
  <c r="AO449" i="1"/>
  <c r="AO852" i="1"/>
  <c r="AO104" i="1"/>
  <c r="AO513" i="1"/>
  <c r="BP35" i="8"/>
  <c r="BQ35" i="8" s="1"/>
  <c r="BR35" i="8" s="1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BI18" i="1" s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5" i="2"/>
  <c r="AL19" i="2"/>
  <c r="AL15" i="2"/>
  <c r="AP1009" i="1"/>
  <c r="AP990" i="1"/>
  <c r="AP855" i="1"/>
  <c r="AP989" i="1"/>
  <c r="AP1012" i="1"/>
  <c r="BZ21" i="2"/>
  <c r="AO1113" i="1"/>
  <c r="BZ19" i="2"/>
  <c r="BZ12" i="2"/>
  <c r="BZ9" i="2"/>
  <c r="BZ2" i="2"/>
  <c r="BZ3" i="2"/>
  <c r="BZ30" i="2"/>
  <c r="CJ31" i="2"/>
  <c r="CJ16" i="2"/>
  <c r="CJ15" i="2"/>
  <c r="BZ13" i="2"/>
  <c r="BZ5" i="2"/>
  <c r="BZ25" i="2"/>
  <c r="CI13" i="2"/>
  <c r="CI8" i="2"/>
  <c r="CJ27" i="2"/>
  <c r="BZ26" i="2"/>
  <c r="BZ16" i="2"/>
  <c r="BZ10" i="2"/>
  <c r="BZ23" i="2"/>
  <c r="BZ31" i="2"/>
  <c r="BZ18" i="2"/>
  <c r="BZ22" i="2"/>
  <c r="BZ8" i="2"/>
  <c r="BZ11" i="2"/>
  <c r="BZ15" i="2"/>
  <c r="BZ29" i="2"/>
  <c r="BZ33" i="2"/>
  <c r="BZ28" i="2"/>
  <c r="BZ6" i="2"/>
  <c r="BZ4" i="2"/>
  <c r="BZ17" i="2"/>
  <c r="BZ24" i="2"/>
  <c r="BZ32" i="2"/>
  <c r="BZ7" i="2"/>
  <c r="BZ27" i="2"/>
  <c r="BZ20" i="2"/>
  <c r="AO958" i="1"/>
  <c r="CJ25" i="2"/>
  <c r="CI19" i="2"/>
  <c r="CI9" i="2"/>
  <c r="CJ30" i="2"/>
  <c r="CI7" i="2"/>
  <c r="CJ2" i="2"/>
  <c r="CJ21" i="2"/>
  <c r="CI31" i="2"/>
  <c r="CI2" i="2"/>
  <c r="CI14" i="2"/>
  <c r="CI25" i="2"/>
  <c r="CJ17" i="2"/>
  <c r="CJ19" i="2"/>
  <c r="CJ13" i="2"/>
  <c r="CI23" i="2"/>
  <c r="CI11" i="2"/>
  <c r="CI18" i="2"/>
  <c r="CJ28" i="2"/>
  <c r="CJ12" i="2"/>
  <c r="CJ9" i="2"/>
  <c r="AP762" i="1"/>
  <c r="CI10" i="2"/>
  <c r="CI24" i="2"/>
  <c r="CJ5" i="2"/>
  <c r="CJ18" i="2"/>
  <c r="CI3" i="2"/>
  <c r="CI21" i="2"/>
  <c r="CJ3" i="2"/>
  <c r="CI17" i="2"/>
  <c r="CI29" i="2"/>
  <c r="CJ20" i="2"/>
  <c r="CI12" i="2"/>
  <c r="CI33" i="2"/>
  <c r="CI4" i="2"/>
  <c r="CJ8" i="2"/>
  <c r="CI6" i="2"/>
  <c r="CJ32" i="2"/>
  <c r="CJ4" i="2"/>
  <c r="CI15" i="2"/>
  <c r="CI5" i="2"/>
  <c r="CJ10" i="2"/>
  <c r="CI22" i="2"/>
  <c r="CI26" i="2"/>
  <c r="CJ26" i="2"/>
  <c r="CI28" i="2"/>
  <c r="CJ33" i="2"/>
  <c r="CJ29" i="2"/>
  <c r="CI30" i="2"/>
  <c r="CJ7" i="2"/>
  <c r="CI32" i="2"/>
  <c r="CJ6" i="2"/>
  <c r="CJ23" i="2"/>
  <c r="CJ24" i="2"/>
  <c r="CI27" i="2"/>
  <c r="CI20" i="2"/>
  <c r="CI16" i="2"/>
  <c r="CJ14" i="2"/>
  <c r="CJ11" i="2"/>
  <c r="CJ22" i="2"/>
  <c r="E27" i="2"/>
  <c r="BK25" i="2"/>
  <c r="E18" i="2"/>
  <c r="E32" i="2"/>
  <c r="E22" i="2"/>
  <c r="BK8" i="2"/>
  <c r="E3" i="2"/>
  <c r="E26" i="2"/>
  <c r="E17" i="2"/>
  <c r="E29" i="2"/>
  <c r="E30" i="2"/>
  <c r="E12" i="2"/>
  <c r="E28" i="2"/>
  <c r="E6" i="2"/>
  <c r="E5" i="2"/>
  <c r="E23" i="2"/>
  <c r="E31" i="2"/>
  <c r="E15" i="2"/>
  <c r="E24" i="2"/>
  <c r="E10" i="2"/>
  <c r="E7" i="2"/>
  <c r="E21" i="2"/>
  <c r="E16" i="2"/>
  <c r="E4" i="2"/>
  <c r="E13" i="2"/>
  <c r="BK2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AK19" i="2"/>
  <c r="AK13" i="2"/>
  <c r="AK18" i="2"/>
  <c r="AK5" i="2"/>
  <c r="AK15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2" i="2"/>
  <c r="BO12" i="2"/>
  <c r="BN22" i="2"/>
  <c r="BN10" i="2"/>
  <c r="BN8" i="2"/>
  <c r="BO29" i="2"/>
  <c r="BN16" i="2"/>
  <c r="BO25" i="2"/>
  <c r="BN4" i="2"/>
  <c r="BN30" i="2"/>
  <c r="BO31" i="2"/>
  <c r="BO27" i="2"/>
  <c r="BN27" i="2"/>
  <c r="BN33" i="2"/>
  <c r="BO2" i="2"/>
  <c r="BN20" i="2"/>
  <c r="BN29" i="2"/>
  <c r="BN6" i="2"/>
  <c r="BO22" i="2"/>
  <c r="BO24" i="2"/>
  <c r="BO4" i="2"/>
  <c r="BO20" i="2"/>
  <c r="BN3" i="2"/>
  <c r="BN24" i="2"/>
  <c r="BO16" i="2"/>
  <c r="BO32" i="2"/>
  <c r="BN23" i="2"/>
  <c r="BO13" i="2"/>
  <c r="BO14" i="2"/>
  <c r="BN28" i="2"/>
  <c r="BO17" i="2"/>
  <c r="BN7" i="2"/>
  <c r="BN26" i="2"/>
  <c r="BN21" i="2"/>
  <c r="BO5" i="2"/>
  <c r="BO18" i="2"/>
  <c r="BO19" i="2"/>
  <c r="BO15" i="2"/>
  <c r="BN11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30" i="2"/>
  <c r="BL30" i="2"/>
  <c r="BM25" i="2"/>
  <c r="BL3" i="2"/>
  <c r="BL11" i="2"/>
  <c r="BM30" i="2"/>
  <c r="BM21" i="2"/>
  <c r="BM3" i="2"/>
  <c r="BL28" i="2"/>
  <c r="BL24" i="2"/>
  <c r="BM27" i="2"/>
  <c r="BL32" i="2"/>
  <c r="BM26" i="2"/>
  <c r="BM7" i="2"/>
  <c r="BL23" i="2"/>
  <c r="BM29" i="2"/>
  <c r="BM32" i="2"/>
  <c r="BM8" i="2"/>
  <c r="BL12" i="2"/>
  <c r="BM28" i="2"/>
  <c r="BM16" i="2"/>
  <c r="BM10" i="2"/>
  <c r="BL27" i="2"/>
  <c r="BM20" i="2"/>
  <c r="BL7" i="2"/>
  <c r="BL4" i="2"/>
  <c r="BL21" i="2"/>
  <c r="BM24" i="2"/>
  <c r="BM2" i="2"/>
  <c r="BM6" i="2"/>
  <c r="BM22" i="2"/>
  <c r="BM11" i="2"/>
  <c r="BL29" i="2"/>
  <c r="BL6" i="2"/>
  <c r="BM12" i="2"/>
  <c r="BL26" i="2"/>
  <c r="BM33" i="2"/>
  <c r="BL33" i="2"/>
  <c r="BL2" i="2"/>
  <c r="BM23" i="2"/>
  <c r="BL8" i="2"/>
  <c r="BL10" i="2"/>
  <c r="BM4" i="2"/>
  <c r="BM31" i="2"/>
  <c r="BM17" i="2"/>
  <c r="BL9" i="2"/>
  <c r="BL20" i="2"/>
  <c r="BM13" i="2"/>
  <c r="BL16" i="2"/>
  <c r="BM18" i="2"/>
  <c r="BM14" i="2"/>
  <c r="BM5" i="2"/>
  <c r="BM19" i="2"/>
  <c r="BL25" i="2"/>
  <c r="BL22" i="2"/>
  <c r="BM15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8" i="2"/>
  <c r="AF10" i="2"/>
  <c r="AH20" i="2"/>
  <c r="AP18" i="2"/>
  <c r="AF6" i="2"/>
  <c r="AO30" i="2"/>
  <c r="AF8" i="2"/>
  <c r="AH6" i="2"/>
  <c r="AK6" i="2" s="1"/>
  <c r="AF4" i="2"/>
  <c r="AP19" i="2"/>
  <c r="AH10" i="2"/>
  <c r="AK10" i="2" s="1"/>
  <c r="AF11" i="2"/>
  <c r="AO19" i="2"/>
  <c r="AJ21" i="2"/>
  <c r="AK21" i="2" s="1"/>
  <c r="AJ11" i="2"/>
  <c r="AK11" i="2" s="1"/>
  <c r="AP15" i="2"/>
  <c r="AF30" i="2"/>
  <c r="AO20" i="2"/>
  <c r="AP32" i="2"/>
  <c r="AO8" i="2"/>
  <c r="AJ8" i="2"/>
  <c r="AO15" i="2"/>
  <c r="AH30" i="2"/>
  <c r="AK30" i="2" s="1"/>
  <c r="AH2" i="2"/>
  <c r="AF32" i="2"/>
  <c r="AO6" i="2"/>
  <c r="AO10" i="2"/>
  <c r="AP10" i="2"/>
  <c r="AP6" i="2"/>
  <c r="AJ22" i="2"/>
  <c r="BP47" i="5"/>
  <c r="BP13" i="5"/>
  <c r="AO22" i="2"/>
  <c r="BP45" i="5"/>
  <c r="BP53" i="5"/>
  <c r="AF27" i="2"/>
  <c r="AF12" i="2"/>
  <c r="AJ16" i="2"/>
  <c r="AJ27" i="2"/>
  <c r="AW19" i="2"/>
  <c r="AW15" i="2"/>
  <c r="AW18" i="2"/>
  <c r="AW5" i="2"/>
  <c r="AW13" i="2"/>
  <c r="AW14" i="2"/>
  <c r="AH27" i="2"/>
  <c r="AF7" i="2"/>
  <c r="AP25" i="2"/>
  <c r="BP61" i="5"/>
  <c r="BP7" i="5"/>
  <c r="BP19" i="5"/>
  <c r="BP35" i="5"/>
  <c r="BP33" i="5"/>
  <c r="BP29" i="5"/>
  <c r="AO5" i="2"/>
  <c r="BP15" i="5"/>
  <c r="BP59" i="5"/>
  <c r="AP22" i="2"/>
  <c r="BP57" i="5"/>
  <c r="AH12" i="2"/>
  <c r="AF2" i="2"/>
  <c r="AJ9" i="2"/>
  <c r="AK9" i="2" s="1"/>
  <c r="BP21" i="5"/>
  <c r="E33" i="2"/>
  <c r="CY2" i="2"/>
  <c r="CZ5" i="2" s="1"/>
  <c r="AO9" i="2"/>
  <c r="AH22" i="2"/>
  <c r="AD26" i="2"/>
  <c r="BP26" i="2" s="1"/>
  <c r="AJ24" i="2"/>
  <c r="AH8" i="2"/>
  <c r="AP8" i="2"/>
  <c r="AH3" i="2"/>
  <c r="AP16" i="2"/>
  <c r="AJ26" i="2"/>
  <c r="AK26" i="2" s="1"/>
  <c r="DA5" i="2"/>
  <c r="DA6" i="2"/>
  <c r="AF21" i="2"/>
  <c r="AF24" i="2"/>
  <c r="CY3" i="2"/>
  <c r="DA3" i="2" s="1"/>
  <c r="AP5" i="2"/>
  <c r="AJ4" i="2"/>
  <c r="AF29" i="2"/>
  <c r="AJ23" i="2"/>
  <c r="AK23" i="2" s="1"/>
  <c r="AF26" i="2"/>
  <c r="AO7" i="2"/>
  <c r="AO4" i="2"/>
  <c r="AH4" i="2"/>
  <c r="AP4" i="2"/>
  <c r="AO23" i="2"/>
  <c r="AH24" i="2"/>
  <c r="AP23" i="2"/>
  <c r="AJ7" i="2"/>
  <c r="AK7" i="2" s="1"/>
  <c r="BP27" i="5"/>
  <c r="BP3" i="5"/>
  <c r="BP11" i="5"/>
  <c r="BP25" i="5"/>
  <c r="AD4" i="2"/>
  <c r="BP4" i="2" s="1"/>
  <c r="AF28" i="2"/>
  <c r="AF3" i="2"/>
  <c r="AO16" i="2"/>
  <c r="AO25" i="2"/>
  <c r="AH25" i="2"/>
  <c r="AW25" i="2" s="1"/>
  <c r="CS8" i="2"/>
  <c r="CS7" i="2"/>
  <c r="AF23" i="2"/>
  <c r="AJ2" i="2"/>
  <c r="AJ12" i="2"/>
  <c r="BP5" i="5"/>
  <c r="BP17" i="5"/>
  <c r="BP37" i="5"/>
  <c r="BP9" i="5"/>
  <c r="AH29" i="2"/>
  <c r="BP55" i="5"/>
  <c r="BP23" i="5"/>
  <c r="BP63" i="5"/>
  <c r="BP51" i="5"/>
  <c r="BP65" i="5"/>
  <c r="BP31" i="5"/>
  <c r="BP41" i="5"/>
  <c r="AO3" i="2"/>
  <c r="BP43" i="5"/>
  <c r="BP49" i="5"/>
  <c r="AH16" i="2"/>
  <c r="BP39" i="5"/>
  <c r="AP7" i="2"/>
  <c r="E20" i="2"/>
  <c r="BK10" i="2"/>
  <c r="BK20" i="2"/>
  <c r="BK17" i="2"/>
  <c r="BK6" i="2"/>
  <c r="BK3" i="2"/>
  <c r="BK13" i="2"/>
  <c r="BK7" i="2"/>
  <c r="BK12" i="2"/>
  <c r="BK26" i="2"/>
  <c r="BK32" i="2"/>
  <c r="BK21" i="2"/>
  <c r="BK22" i="2"/>
  <c r="BK33" i="2"/>
  <c r="BK16" i="2"/>
  <c r="BK28" i="2"/>
  <c r="BK5" i="2"/>
  <c r="BK31" i="2"/>
  <c r="BK29" i="2"/>
  <c r="BK30" i="2"/>
  <c r="BK24" i="2"/>
  <c r="BK15" i="2"/>
  <c r="BK9" i="2"/>
  <c r="BK4" i="2"/>
  <c r="BK23" i="2"/>
  <c r="BK11" i="2"/>
  <c r="BK27" i="2"/>
  <c r="BK18" i="2"/>
  <c r="K2" i="2"/>
  <c r="E2" i="2"/>
  <c r="BI19" i="2"/>
  <c r="E19" i="2"/>
  <c r="K25" i="2"/>
  <c r="E25" i="2"/>
  <c r="K8" i="2"/>
  <c r="E8" i="2"/>
  <c r="BJ8" i="2"/>
  <c r="AD25" i="2"/>
  <c r="BP25" i="2" s="1"/>
  <c r="BI2" i="2"/>
  <c r="BJ2" i="2"/>
  <c r="AD33" i="2"/>
  <c r="BP33" i="2" s="1"/>
  <c r="AD23" i="2"/>
  <c r="BP23" i="2" s="1"/>
  <c r="AF33" i="2"/>
  <c r="AD15" i="2"/>
  <c r="BP15" i="2" s="1"/>
  <c r="AD27" i="2"/>
  <c r="BP27" i="2" s="1"/>
  <c r="AD30" i="2"/>
  <c r="BP30" i="2" s="1"/>
  <c r="AO29" i="2"/>
  <c r="AD8" i="2"/>
  <c r="BP8" i="2" s="1"/>
  <c r="AD20" i="2"/>
  <c r="BP20" i="2" s="1"/>
  <c r="AD21" i="2"/>
  <c r="BP21" i="2" s="1"/>
  <c r="AH33" i="2"/>
  <c r="AD6" i="2"/>
  <c r="BP6" i="2" s="1"/>
  <c r="AD19" i="2"/>
  <c r="BP19" i="2" s="1"/>
  <c r="AD11" i="2"/>
  <c r="BP11" i="2" s="1"/>
  <c r="AD10" i="2"/>
  <c r="BP10" i="2" s="1"/>
  <c r="AD16" i="2"/>
  <c r="BP16" i="2" s="1"/>
  <c r="AD2" i="2"/>
  <c r="BP2" i="2" s="1"/>
  <c r="AD18" i="2"/>
  <c r="BP18" i="2" s="1"/>
  <c r="AD5" i="2"/>
  <c r="BP5" i="2" s="1"/>
  <c r="AD12" i="2"/>
  <c r="BP12" i="2" s="1"/>
  <c r="AD22" i="2"/>
  <c r="BP22" i="2" s="1"/>
  <c r="AD17" i="2"/>
  <c r="BP17" i="2" s="1"/>
  <c r="AD32" i="2"/>
  <c r="BP32" i="2" s="1"/>
  <c r="AD24" i="2"/>
  <c r="BP24" i="2" s="1"/>
  <c r="AD28" i="2"/>
  <c r="BP28" i="2" s="1"/>
  <c r="AD13" i="2"/>
  <c r="BP13" i="2" s="1"/>
  <c r="AD29" i="2"/>
  <c r="BP29" i="2" s="1"/>
  <c r="AD31" i="2"/>
  <c r="BP31" i="2" s="1"/>
  <c r="AJ33" i="2"/>
  <c r="AP31" i="2"/>
  <c r="AH31" i="2"/>
  <c r="AW31" i="2" s="1"/>
  <c r="AJ20" i="2"/>
  <c r="AO17" i="2"/>
  <c r="AJ17" i="2"/>
  <c r="AW17" i="2" s="1"/>
  <c r="AD7" i="2"/>
  <c r="BP7" i="2" s="1"/>
  <c r="AO28" i="2"/>
  <c r="AJ28" i="2"/>
  <c r="AK28" i="2" s="1"/>
  <c r="AJ3" i="2"/>
  <c r="AD3" i="2"/>
  <c r="BP3" i="2" s="1"/>
  <c r="AJ29" i="2"/>
  <c r="AD9" i="2"/>
  <c r="BP9" i="2" s="1"/>
  <c r="AH32" i="2"/>
  <c r="AK32" i="2" s="1"/>
  <c r="BI8" i="2"/>
  <c r="BY13" i="2"/>
  <c r="BY22" i="2"/>
  <c r="BJ25" i="2"/>
  <c r="BI25" i="2"/>
  <c r="BI24" i="2"/>
  <c r="K24" i="2"/>
  <c r="BI10" i="2"/>
  <c r="K10" i="2"/>
  <c r="BJ7" i="2"/>
  <c r="K7" i="2"/>
  <c r="BJ21" i="2"/>
  <c r="K21" i="2"/>
  <c r="BJ22" i="2"/>
  <c r="K22" i="2"/>
  <c r="BI9" i="2"/>
  <c r="K9" i="2"/>
  <c r="BI32" i="2"/>
  <c r="K32" i="2"/>
  <c r="BI6" i="2"/>
  <c r="K6" i="2"/>
  <c r="BI13" i="2"/>
  <c r="K13" i="2"/>
  <c r="BJ13" i="2"/>
  <c r="BI23" i="2"/>
  <c r="K23" i="2"/>
  <c r="BJ30" i="2"/>
  <c r="K30" i="2"/>
  <c r="BI12" i="2"/>
  <c r="K12" i="2"/>
  <c r="BJ26" i="2"/>
  <c r="K26" i="2"/>
  <c r="BI27" i="2"/>
  <c r="K27" i="2"/>
  <c r="BJ4" i="2"/>
  <c r="K4" i="2"/>
  <c r="BJ20" i="2"/>
  <c r="K20" i="2"/>
  <c r="BJ18" i="2"/>
  <c r="K18" i="2"/>
  <c r="BJ19" i="2"/>
  <c r="K19" i="2"/>
  <c r="BJ3" i="2"/>
  <c r="K3" i="2"/>
  <c r="BI16" i="2"/>
  <c r="K16" i="2"/>
  <c r="BJ17" i="2"/>
  <c r="K17" i="2"/>
  <c r="BJ29" i="2"/>
  <c r="K29" i="2"/>
  <c r="BJ31" i="2"/>
  <c r="K31" i="2"/>
  <c r="BI15" i="2"/>
  <c r="K15" i="2"/>
  <c r="BJ33" i="2"/>
  <c r="K33" i="2"/>
  <c r="BJ28" i="2"/>
  <c r="K28" i="2"/>
  <c r="BI11" i="2"/>
  <c r="K11" i="2"/>
  <c r="BJ5" i="2"/>
  <c r="K5" i="2"/>
  <c r="BI5" i="2"/>
  <c r="BY23" i="2"/>
  <c r="BY18" i="2"/>
  <c r="BY29" i="2"/>
  <c r="BI18" i="2"/>
  <c r="BY17" i="2"/>
  <c r="AP12" i="2"/>
  <c r="BY15" i="2"/>
  <c r="BY32" i="2"/>
  <c r="BY12" i="2"/>
  <c r="AP11" i="2"/>
  <c r="AO11" i="2"/>
  <c r="BY30" i="2"/>
  <c r="AP3" i="2"/>
  <c r="BY21" i="2"/>
  <c r="BJ11" i="2"/>
  <c r="AP2" i="2"/>
  <c r="BY7" i="2"/>
  <c r="AO27" i="2"/>
  <c r="AO2" i="2"/>
  <c r="BY24" i="2"/>
  <c r="AP17" i="2"/>
  <c r="BY2" i="2"/>
  <c r="BY27" i="2"/>
  <c r="BY20" i="2"/>
  <c r="AP28" i="2"/>
  <c r="BY28" i="2"/>
  <c r="BY16" i="2"/>
  <c r="BY25" i="2"/>
  <c r="BY19" i="2"/>
  <c r="BY6" i="2"/>
  <c r="BY11" i="2"/>
  <c r="BY8" i="2"/>
  <c r="BY31" i="2"/>
  <c r="BI20" i="2"/>
  <c r="BY4" i="2"/>
  <c r="AO24" i="2"/>
  <c r="AP20" i="2"/>
  <c r="AO33" i="2"/>
  <c r="AP26" i="2"/>
  <c r="AO26" i="2"/>
  <c r="AO13" i="2"/>
  <c r="BY3" i="2"/>
  <c r="AP24" i="2"/>
  <c r="BY9" i="2"/>
  <c r="AP27" i="2"/>
  <c r="AO32" i="2"/>
  <c r="AO12" i="2"/>
  <c r="AO31" i="2"/>
  <c r="AP21" i="2"/>
  <c r="AP14" i="2"/>
  <c r="AP29" i="2"/>
  <c r="AP13" i="2"/>
  <c r="AP33" i="2"/>
  <c r="BJ6" i="2"/>
  <c r="BJ9" i="2"/>
  <c r="BY5" i="2"/>
  <c r="BJ16" i="2"/>
  <c r="AO21" i="2"/>
  <c r="BY10" i="2"/>
  <c r="BY26" i="2"/>
  <c r="BI29" i="2"/>
  <c r="BI4" i="2"/>
  <c r="BI33" i="2"/>
  <c r="BI26" i="2"/>
  <c r="BJ10" i="2"/>
  <c r="BJ24" i="2"/>
  <c r="BY33" i="2"/>
  <c r="BI17" i="2"/>
  <c r="AO14" i="2"/>
  <c r="D2" i="9" s="1"/>
  <c r="U7" i="9" s="1"/>
  <c r="BI22" i="2"/>
  <c r="BJ27" i="2"/>
  <c r="BJ32" i="2"/>
  <c r="BI28" i="2"/>
  <c r="BI30" i="2"/>
  <c r="BI21" i="2"/>
  <c r="BJ23" i="2"/>
  <c r="BJ15" i="2"/>
  <c r="BJ12" i="2"/>
  <c r="BI3" i="2"/>
  <c r="BI7" i="2"/>
  <c r="BI31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18" i="2" l="1"/>
  <c r="AN18" i="2"/>
  <c r="AM15" i="2"/>
  <c r="AN15" i="2"/>
  <c r="AM19" i="2"/>
  <c r="AN19" i="2"/>
  <c r="AM13" i="2"/>
  <c r="AN13" i="2"/>
  <c r="AM5" i="2"/>
  <c r="AN5" i="2"/>
  <c r="AM14" i="2"/>
  <c r="AN14" i="2"/>
  <c r="AB2" i="2"/>
  <c r="AB25" i="2"/>
  <c r="AB22" i="2"/>
  <c r="AB24" i="2"/>
  <c r="AB4" i="2"/>
  <c r="AB9" i="2"/>
  <c r="AB19" i="2"/>
  <c r="AB33" i="2"/>
  <c r="AB13" i="2"/>
  <c r="AB21" i="2"/>
  <c r="AB11" i="2"/>
  <c r="AB17" i="2"/>
  <c r="AB7" i="2"/>
  <c r="AB6" i="2"/>
  <c r="AB16" i="2"/>
  <c r="AB31" i="2"/>
  <c r="AB27" i="2"/>
  <c r="AB12" i="2"/>
  <c r="AB20" i="2"/>
  <c r="AB23" i="2"/>
  <c r="AB3" i="2"/>
  <c r="AB10" i="2"/>
  <c r="AB15" i="2"/>
  <c r="AB26" i="2"/>
  <c r="AB5" i="2"/>
  <c r="AB18" i="2"/>
  <c r="AB30" i="2"/>
  <c r="AB8" i="2"/>
  <c r="AB28" i="2"/>
  <c r="AB29" i="2"/>
  <c r="AB32" i="2"/>
  <c r="CW11" i="2"/>
  <c r="AL16" i="2"/>
  <c r="AL24" i="2"/>
  <c r="AL8" i="2"/>
  <c r="AL33" i="2"/>
  <c r="AL22" i="2"/>
  <c r="AL20" i="2"/>
  <c r="AL27" i="2"/>
  <c r="AL3" i="2"/>
  <c r="AL2" i="2"/>
  <c r="AL4" i="2"/>
  <c r="AL29" i="2"/>
  <c r="AL12" i="2"/>
  <c r="AL21" i="2"/>
  <c r="AL6" i="2"/>
  <c r="AL31" i="2"/>
  <c r="AL11" i="2"/>
  <c r="AL28" i="2"/>
  <c r="AL23" i="2"/>
  <c r="AL30" i="2"/>
  <c r="AL10" i="2"/>
  <c r="AL26" i="2"/>
  <c r="AL25" i="2"/>
  <c r="AL32" i="2"/>
  <c r="AL7" i="2"/>
  <c r="AL17" i="2"/>
  <c r="AL9" i="2"/>
  <c r="BO36" i="2"/>
  <c r="BN35" i="2"/>
  <c r="BO35" i="2"/>
  <c r="BR23" i="2"/>
  <c r="BS23" i="2" s="1"/>
  <c r="BR3" i="2"/>
  <c r="BS3" i="2" s="1"/>
  <c r="BR10" i="2"/>
  <c r="BS10" i="2" s="1"/>
  <c r="BR33" i="2"/>
  <c r="BS33" i="2" s="1"/>
  <c r="BR27" i="2"/>
  <c r="BS27" i="2" s="1"/>
  <c r="BN37" i="2"/>
  <c r="BR19" i="2"/>
  <c r="BS19" i="2" s="1"/>
  <c r="BR30" i="2"/>
  <c r="BS30" i="2" s="1"/>
  <c r="BR8" i="2"/>
  <c r="BS8" i="2" s="1"/>
  <c r="BR7" i="2"/>
  <c r="BS7" i="2" s="1"/>
  <c r="BR24" i="2"/>
  <c r="BS24" i="2" s="1"/>
  <c r="BN36" i="2"/>
  <c r="BR17" i="2"/>
  <c r="BS17" i="2" s="1"/>
  <c r="BR2" i="2"/>
  <c r="BS2" i="2" s="1"/>
  <c r="BR25" i="2"/>
  <c r="BS25" i="2" s="1"/>
  <c r="BR12" i="2"/>
  <c r="BS12" i="2" s="1"/>
  <c r="BR13" i="2"/>
  <c r="BS13" i="2" s="1"/>
  <c r="BR26" i="2"/>
  <c r="BS26" i="2" s="1"/>
  <c r="BR4" i="2"/>
  <c r="BS4" i="2" s="1"/>
  <c r="BR9" i="2"/>
  <c r="BS9" i="2" s="1"/>
  <c r="BR5" i="2"/>
  <c r="BR6" i="2"/>
  <c r="BS6" i="2" s="1"/>
  <c r="BO37" i="2"/>
  <c r="BR15" i="2"/>
  <c r="BS15" i="2" s="1"/>
  <c r="BR21" i="2"/>
  <c r="BS21" i="2" s="1"/>
  <c r="BR11" i="2"/>
  <c r="BS11" i="2" s="1"/>
  <c r="BR32" i="2"/>
  <c r="BS32" i="2" s="1"/>
  <c r="BR20" i="2"/>
  <c r="BS20" i="2" s="1"/>
  <c r="BR28" i="2"/>
  <c r="BS28" i="2" s="1"/>
  <c r="BR22" i="2"/>
  <c r="BS22" i="2" s="1"/>
  <c r="BR16" i="2"/>
  <c r="BS16" i="2" s="1"/>
  <c r="BR31" i="2"/>
  <c r="BS31" i="2" s="1"/>
  <c r="BR29" i="2"/>
  <c r="BS29" i="2" s="1"/>
  <c r="BR18" i="2"/>
  <c r="BS18" i="2" s="1"/>
  <c r="BL35" i="2"/>
  <c r="BL36" i="2"/>
  <c r="BL37" i="2"/>
  <c r="BM35" i="2"/>
  <c r="BM36" i="2"/>
  <c r="BM37" i="2"/>
  <c r="CK16" i="2"/>
  <c r="CL16" i="2" s="1"/>
  <c r="CK31" i="2"/>
  <c r="CL31" i="2" s="1"/>
  <c r="CK8" i="2"/>
  <c r="CL8" i="2" s="1"/>
  <c r="CK15" i="2"/>
  <c r="CL15" i="2" s="1"/>
  <c r="CK7" i="2"/>
  <c r="CL7" i="2" s="1"/>
  <c r="CK13" i="2"/>
  <c r="CL13" i="2" s="1"/>
  <c r="CK27" i="2"/>
  <c r="CL27" i="2" s="1"/>
  <c r="CK5" i="2"/>
  <c r="CL5" i="2" s="1"/>
  <c r="BV37" i="2"/>
  <c r="BZ14" i="2"/>
  <c r="BZ37" i="2" s="1"/>
  <c r="CK30" i="2"/>
  <c r="CL30" i="2" s="1"/>
  <c r="CK17" i="2"/>
  <c r="CL17" i="2" s="1"/>
  <c r="CK21" i="2"/>
  <c r="CL21" i="2" s="1"/>
  <c r="CK19" i="2"/>
  <c r="CL19" i="2" s="1"/>
  <c r="CK9" i="2"/>
  <c r="CL9" i="2" s="1"/>
  <c r="CK18" i="2"/>
  <c r="CL18" i="2" s="1"/>
  <c r="CK25" i="2"/>
  <c r="CL25" i="2" s="1"/>
  <c r="CK2" i="2"/>
  <c r="CL2" i="2" s="1"/>
  <c r="CK11" i="2"/>
  <c r="CL11" i="2" s="1"/>
  <c r="CK14" i="2"/>
  <c r="CL14" i="2" s="1"/>
  <c r="CK23" i="2"/>
  <c r="CL23" i="2" s="1"/>
  <c r="CK6" i="2"/>
  <c r="CL6" i="2" s="1"/>
  <c r="CK3" i="2"/>
  <c r="CL3" i="2" s="1"/>
  <c r="CK26" i="2"/>
  <c r="CL26" i="2" s="1"/>
  <c r="CK4" i="2"/>
  <c r="CL4" i="2" s="1"/>
  <c r="CK29" i="2"/>
  <c r="CL29" i="2" s="1"/>
  <c r="CK28" i="2"/>
  <c r="CL28" i="2" s="1"/>
  <c r="CK33" i="2"/>
  <c r="CL33" i="2" s="1"/>
  <c r="CK12" i="2"/>
  <c r="CL12" i="2" s="1"/>
  <c r="CK20" i="2"/>
  <c r="CL20" i="2" s="1"/>
  <c r="CK22" i="2"/>
  <c r="CL22" i="2" s="1"/>
  <c r="CK10" i="2"/>
  <c r="CL10" i="2" s="1"/>
  <c r="CK32" i="2"/>
  <c r="CL32" i="2" s="1"/>
  <c r="CK24" i="2"/>
  <c r="CL24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4" i="2"/>
  <c r="AK16" i="2"/>
  <c r="AK22" i="2"/>
  <c r="AK20" i="2"/>
  <c r="AK24" i="2"/>
  <c r="AK3" i="2"/>
  <c r="AK12" i="2"/>
  <c r="AK2" i="2"/>
  <c r="AK29" i="2"/>
  <c r="AK8" i="2"/>
  <c r="AK27" i="2"/>
  <c r="AK33" i="2"/>
  <c r="AK25" i="2"/>
  <c r="AK17" i="2"/>
  <c r="AK31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23" i="2"/>
  <c r="AV23" i="2" s="1"/>
  <c r="AQ10" i="2"/>
  <c r="AQ32" i="2"/>
  <c r="AR22" i="2"/>
  <c r="AV22" i="2" s="1"/>
  <c r="AQ6" i="2"/>
  <c r="AR19" i="2"/>
  <c r="AV19" i="2" s="1"/>
  <c r="AR24" i="2"/>
  <c r="AV24" i="2" s="1"/>
  <c r="AQ11" i="2"/>
  <c r="AQ28" i="2"/>
  <c r="AQ23" i="2"/>
  <c r="AR16" i="2"/>
  <c r="AV16" i="2" s="1"/>
  <c r="AQ29" i="2"/>
  <c r="AR10" i="2"/>
  <c r="AV10" i="2" s="1"/>
  <c r="AR27" i="2"/>
  <c r="AV27" i="2" s="1"/>
  <c r="AR11" i="2"/>
  <c r="AV11" i="2" s="1"/>
  <c r="AQ3" i="2"/>
  <c r="AR4" i="2"/>
  <c r="AV4" i="2" s="1"/>
  <c r="AR9" i="2"/>
  <c r="AQ21" i="2"/>
  <c r="AQ13" i="2"/>
  <c r="AR28" i="2"/>
  <c r="AV28" i="2" s="1"/>
  <c r="AR8" i="2"/>
  <c r="AV8" i="2" s="1"/>
  <c r="AQ5" i="2"/>
  <c r="AQ4" i="2"/>
  <c r="AQ15" i="2"/>
  <c r="AQ30" i="2"/>
  <c r="AQ25" i="2"/>
  <c r="AQ7" i="2"/>
  <c r="AQ17" i="2"/>
  <c r="AQ16" i="2"/>
  <c r="AQ8" i="2"/>
  <c r="AR18" i="2"/>
  <c r="AV18" i="2" s="1"/>
  <c r="AR33" i="2"/>
  <c r="AV33" i="2" s="1"/>
  <c r="AR20" i="2"/>
  <c r="AV20" i="2" s="1"/>
  <c r="AR17" i="2"/>
  <c r="AV17" i="2" s="1"/>
  <c r="AR31" i="2"/>
  <c r="AV31" i="2" s="1"/>
  <c r="AR32" i="2"/>
  <c r="AV32" i="2" s="1"/>
  <c r="AQ33" i="2"/>
  <c r="AQ24" i="2"/>
  <c r="AQ20" i="2"/>
  <c r="AR29" i="2"/>
  <c r="AV29" i="2" s="1"/>
  <c r="AQ22" i="2"/>
  <c r="AQ18" i="2"/>
  <c r="AR5" i="2"/>
  <c r="AV5" i="2" s="1"/>
  <c r="AR25" i="2"/>
  <c r="AV25" i="2" s="1"/>
  <c r="AR15" i="2"/>
  <c r="AV15" i="2" s="1"/>
  <c r="AQ26" i="2"/>
  <c r="AR26" i="2"/>
  <c r="AV26" i="2" s="1"/>
  <c r="AR12" i="2"/>
  <c r="AV12" i="2" s="1"/>
  <c r="AR13" i="2"/>
  <c r="AV13" i="2" s="1"/>
  <c r="AQ9" i="2"/>
  <c r="BQ9" i="2" s="1"/>
  <c r="AQ2" i="2"/>
  <c r="AQ27" i="2"/>
  <c r="AR21" i="2"/>
  <c r="AV21" i="2" s="1"/>
  <c r="AR30" i="2"/>
  <c r="AV30" i="2" s="1"/>
  <c r="AQ31" i="2"/>
  <c r="AR2" i="2"/>
  <c r="AV2" i="2" s="1"/>
  <c r="AQ12" i="2"/>
  <c r="AR7" i="2"/>
  <c r="AV7" i="2" s="1"/>
  <c r="AR6" i="2"/>
  <c r="AV6" i="2" s="1"/>
  <c r="AQ19" i="2"/>
  <c r="AW9" i="2"/>
  <c r="AR14" i="2"/>
  <c r="AW21" i="2"/>
  <c r="AW6" i="2"/>
  <c r="AW10" i="2"/>
  <c r="AW20" i="2"/>
  <c r="AW30" i="2"/>
  <c r="AW8" i="2"/>
  <c r="AW11" i="2"/>
  <c r="AT32" i="2"/>
  <c r="AS8" i="2"/>
  <c r="AW32" i="2"/>
  <c r="AW22" i="2"/>
  <c r="AW16" i="2"/>
  <c r="AW4" i="2"/>
  <c r="AW27" i="2"/>
  <c r="AW12" i="2"/>
  <c r="AW33" i="2"/>
  <c r="AW2" i="2"/>
  <c r="AW7" i="2"/>
  <c r="AW29" i="2"/>
  <c r="AW23" i="2"/>
  <c r="AW3" i="2"/>
  <c r="AW28" i="2"/>
  <c r="AW26" i="2"/>
  <c r="AW24" i="2"/>
  <c r="CR18" i="2"/>
  <c r="CZ6" i="2"/>
  <c r="CY4" i="2"/>
  <c r="DA4" i="2" s="1"/>
  <c r="AS25" i="2"/>
  <c r="BP67" i="5"/>
  <c r="AT2" i="2"/>
  <c r="AT8" i="2"/>
  <c r="BK14" i="2"/>
  <c r="BK36" i="2" s="1"/>
  <c r="AT25" i="2"/>
  <c r="K14" i="2"/>
  <c r="E14" i="2"/>
  <c r="E35" i="2" s="1"/>
  <c r="AT31" i="2"/>
  <c r="AD14" i="2"/>
  <c r="AS2" i="2"/>
  <c r="AQ14" i="2"/>
  <c r="AT26" i="2"/>
  <c r="AT21" i="2"/>
  <c r="AT24" i="2"/>
  <c r="AS22" i="2"/>
  <c r="AT22" i="2"/>
  <c r="AS5" i="2"/>
  <c r="AT5" i="2"/>
  <c r="AS29" i="2"/>
  <c r="AT29" i="2"/>
  <c r="AS20" i="2"/>
  <c r="AT20" i="2"/>
  <c r="AS23" i="2"/>
  <c r="AT23" i="2"/>
  <c r="AS15" i="2"/>
  <c r="AT15" i="2"/>
  <c r="AS19" i="2"/>
  <c r="AT19" i="2"/>
  <c r="AT12" i="2"/>
  <c r="AT13" i="2"/>
  <c r="AS9" i="2"/>
  <c r="AT9" i="2"/>
  <c r="AS7" i="2"/>
  <c r="AT7" i="2"/>
  <c r="AS6" i="2"/>
  <c r="AT6" i="2"/>
  <c r="AS10" i="2"/>
  <c r="AT10" i="2"/>
  <c r="AT33" i="2"/>
  <c r="AS3" i="2"/>
  <c r="AT3" i="2"/>
  <c r="AT11" i="2"/>
  <c r="AS17" i="2"/>
  <c r="AT17" i="2"/>
  <c r="AS4" i="2"/>
  <c r="AT4" i="2"/>
  <c r="AS28" i="2"/>
  <c r="AT28" i="2"/>
  <c r="AS16" i="2"/>
  <c r="AT16" i="2"/>
  <c r="AS18" i="2"/>
  <c r="AT18" i="2"/>
  <c r="AT27" i="2"/>
  <c r="AS30" i="2"/>
  <c r="AT30" i="2"/>
  <c r="AS21" i="2"/>
  <c r="AS24" i="2"/>
  <c r="AS11" i="2"/>
  <c r="AS12" i="2"/>
  <c r="AS13" i="2"/>
  <c r="AS32" i="2"/>
  <c r="AS31" i="2"/>
  <c r="AS27" i="2"/>
  <c r="AS33" i="2"/>
  <c r="AS26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10" i="2" l="1"/>
  <c r="AN10" i="2"/>
  <c r="AM33" i="2"/>
  <c r="AN33" i="2"/>
  <c r="AM23" i="2"/>
  <c r="AN23" i="2"/>
  <c r="AM24" i="2"/>
  <c r="AN24" i="2"/>
  <c r="AM28" i="2"/>
  <c r="AN28" i="2"/>
  <c r="AM16" i="2"/>
  <c r="AN16" i="2"/>
  <c r="AM11" i="2"/>
  <c r="AN11" i="2"/>
  <c r="AM8" i="2"/>
  <c r="AN8" i="2"/>
  <c r="AM31" i="2"/>
  <c r="AN31" i="2"/>
  <c r="AM6" i="2"/>
  <c r="AN6" i="2"/>
  <c r="AM21" i="2"/>
  <c r="AN21" i="2"/>
  <c r="AM12" i="2"/>
  <c r="AN12" i="2"/>
  <c r="AM29" i="2"/>
  <c r="AN29" i="2"/>
  <c r="AM30" i="2"/>
  <c r="AN30" i="2"/>
  <c r="AM9" i="2"/>
  <c r="AN9" i="2"/>
  <c r="AM4" i="2"/>
  <c r="AN4" i="2"/>
  <c r="AM17" i="2"/>
  <c r="AN17" i="2"/>
  <c r="AM2" i="2"/>
  <c r="AN2" i="2"/>
  <c r="AM7" i="2"/>
  <c r="AN7" i="2"/>
  <c r="AM3" i="2"/>
  <c r="AN3" i="2"/>
  <c r="AM32" i="2"/>
  <c r="AN32" i="2"/>
  <c r="AM27" i="2"/>
  <c r="AN27" i="2"/>
  <c r="AM25" i="2"/>
  <c r="AN25" i="2"/>
  <c r="AM20" i="2"/>
  <c r="AN20" i="2"/>
  <c r="AM26" i="2"/>
  <c r="AN26" i="2"/>
  <c r="AM22" i="2"/>
  <c r="AN22" i="2"/>
  <c r="BR14" i="2"/>
  <c r="BR37" i="2" s="1"/>
  <c r="AB14" i="2"/>
  <c r="CX7" i="2"/>
  <c r="CW9" i="2" s="1"/>
  <c r="CX10" i="2" s="1"/>
  <c r="BS5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6" i="2"/>
  <c r="BQ26" i="2"/>
  <c r="AU8" i="2"/>
  <c r="BQ8" i="2"/>
  <c r="AU19" i="2"/>
  <c r="BQ19" i="2"/>
  <c r="AU17" i="2"/>
  <c r="BQ17" i="2"/>
  <c r="AU18" i="2"/>
  <c r="BQ18" i="2"/>
  <c r="AU25" i="2"/>
  <c r="BQ25" i="2"/>
  <c r="AU12" i="2"/>
  <c r="BQ12" i="2"/>
  <c r="AU22" i="2"/>
  <c r="BQ22" i="2"/>
  <c r="AU30" i="2"/>
  <c r="BQ30" i="2"/>
  <c r="AU23" i="2"/>
  <c r="BQ23" i="2"/>
  <c r="AU15" i="2"/>
  <c r="BQ15" i="2"/>
  <c r="AU28" i="2"/>
  <c r="BQ28" i="2"/>
  <c r="AU31" i="2"/>
  <c r="BQ31" i="2"/>
  <c r="AU20" i="2"/>
  <c r="BQ20" i="2"/>
  <c r="AU4" i="2"/>
  <c r="BQ4" i="2"/>
  <c r="AU11" i="2"/>
  <c r="BQ11" i="2"/>
  <c r="AU24" i="2"/>
  <c r="BQ24" i="2"/>
  <c r="AU5" i="2"/>
  <c r="BQ5" i="2"/>
  <c r="AU33" i="2"/>
  <c r="BQ33" i="2"/>
  <c r="AU29" i="2"/>
  <c r="BQ29" i="2"/>
  <c r="AU27" i="2"/>
  <c r="BQ27" i="2"/>
  <c r="AU6" i="2"/>
  <c r="BQ6" i="2"/>
  <c r="AU2" i="2"/>
  <c r="BQ2" i="2"/>
  <c r="AU13" i="2"/>
  <c r="BQ13" i="2"/>
  <c r="AU21" i="2"/>
  <c r="BQ21" i="2"/>
  <c r="AU32" i="2"/>
  <c r="BQ32" i="2"/>
  <c r="AU7" i="2"/>
  <c r="BQ7" i="2"/>
  <c r="AU10" i="2"/>
  <c r="BQ10" i="2"/>
  <c r="AU16" i="2"/>
  <c r="BQ16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<sst xmlns="http://schemas.openxmlformats.org/spreadsheetml/2006/main" count="5524" uniqueCount="762">
  <si>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</si>
  <si>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</si>
  <si>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</si>
  <si>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</si>
  <si>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</si>
  <si>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</si>
  <si>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</si>
  <si>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</si>
  <si>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</si>
  <si>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</si>
  <si>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</si>
  <si>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</si>
  <si>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</si>
  <si>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</si>
  <si>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</si>
  <si>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</si>
  <si>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</si>
  <si>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</si>
  <si>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</si>
  <si>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</si>
  <si>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</si>
  <si>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</si>
  <si>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</si>
  <si>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</si>
  <si>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</si>
  <si>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</si>
  <si>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</si>
  <si>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</si>
  <si>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</si>
  <si>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</si>
  <si>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</si>
  <si>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</si>
  <si>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</si>
  <si>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</si>
  <si>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</si>
  <si>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</si>
  <si>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</si>
  <si>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</si>
  <si>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</si>
  <si>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</si>
  <si>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</si>
  <si>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</si>
  <si>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</si>
  <si>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</si>
  <si>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</si>
  <si>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</si>
  <si>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</si>
  <si>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</si>
  <si>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</si>
  <si>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</si>
  <si>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</si>
  <si>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</si>
  <si>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</si>
  <si>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</si>
  <si>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</si>
  <si>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</si>
  <si>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</si>
  <si>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</si>
  <si>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</si>
  <si>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</si>
  <si>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</si>
  <si>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</si>
  <si>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</si>
  <si>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</si>
  <si>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</si>
  <si>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</si>
  <si>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</si>
  <si>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</si>
  <si>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</si>
  <si>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</si>
  <si>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</si>
  <si>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</si>
  <si>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</si>
  <si>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</si>
  <si>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</si>
  <si>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</si>
  <si>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</si>
  <si>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</si>
  <si>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</si>
  <si>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</si>
  <si>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</si>
  <si>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</si>
  <si>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</si>
  <si>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</si>
  <si>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</si>
  <si>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</si>
  <si>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</si>
  <si>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</si>
  <si>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</si>
  <si>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</si>
  <si>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</si>
  <si>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</si>
  <si>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</si>
  <si>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</si>
  <si>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</si>
  <si>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</si>
  <si>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</si>
  <si>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</si>
  <si>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</si>
  <si>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</si>
  <si>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</si>
  <si>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</si>
  <si>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</si>
  <si>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</si>
  <si>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</si>
  <si>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</si>
  <si>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</si>
  <si>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</si>
  <si>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</si>
  <si>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</si>
  <si>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</si>
  <si>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</si>
  <si>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</si>
  <si>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</si>
  <si>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</si>
  <si>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</si>
  <si>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</si>
  <si>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</si>
  <si>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</si>
  <si>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</si>
  <si>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</si>
  <si>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</si>
  <si>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</si>
  <si>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</si>
  <si>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</si>
  <si>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</si>
  <si>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</si>
  <si>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</si>
  <si>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</si>
  <si>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</si>
  <si>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</si>
  <si>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</si>
  <si>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</si>
  <si>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</si>
  <si>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</si>
  <si>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</si>
  <si>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</si>
  <si>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</si>
  <si>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</si>
  <si>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</si>
  <si>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</si>
  <si>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</si>
  <si>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</si>
  <si>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</si>
  <si>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</si>
  <si>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</si>
  <si>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</si>
  <si>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</si>
  <si>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</si>
  <si>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</si>
  <si>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</si>
  <si>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</si>
  <si>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</si>
  <si>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</si>
  <si>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</si>
  <si>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</si>
  <si>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</si>
  <si>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</si>
  <si>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</si>
  <si>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</si>
  <si>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</si>
  <si>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</si>
  <si>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</si>
  <si>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</si>
  <si>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</si>
  <si>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</si>
  <si>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</si>
  <si>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</si>
  <si>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</si>
  <si>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</si>
  <si>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</si>
  <si>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</si>
  <si>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</si>
  <si>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</si>
  <si>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</si>
  <si>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</si>
  <si>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</si>
  <si>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</si>
  <si>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</si>
  <si>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</si>
  <si>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</si>
  <si>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</si>
  <si>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</si>
  <si>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</si>
  <si>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</si>
  <si>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</si>
  <si>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</si>
  <si>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</si>
  <si>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</si>
  <si>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</si>
  <si>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</si>
  <si>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</si>
  <si>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</si>
  <si>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</si>
  <si>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</si>
  <si>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</si>
  <si>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</si>
  <si>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</si>
  <si>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</si>
  <si>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</si>
  <si>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</si>
  <si>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</si>
  <si>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</si>
  <si>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</si>
  <si>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</si>
  <si>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</si>
  <si>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</si>
  <si>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</si>
  <si>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</si>
  <si>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</si>
  <si>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</si>
  <si>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</si>
  <si>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</si>
  <si>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</si>
  <si>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</si>
  <si>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</si>
  <si>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</si>
  <si>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</si>
  <si>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</si>
  <si>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</si>
  <si>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</si>
  <si>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</si>
  <si>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</si>
  <si>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</si>
  <si>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</si>
  <si>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</si>
  <si>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</si>
  <si>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</si>
  <si>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</si>
  <si>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</si>
  <si>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</si>
  <si>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</si>
  <si>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</si>
  <si>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</si>
  <si>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</si>
  <si>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</si>
  <si>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</si>
  <si>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</si>
  <si>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</si>
  <si>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</si>
  <si>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</si>
  <si>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</si>
  <si>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</si>
  <si>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</si>
  <si>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</si>
  <si>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</si>
  <si>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</si>
  <si>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</si>
  <si>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</si>
  <si>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</si>
  <si>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</si>
  <si>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</si>
  <si>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</si>
  <si>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</si>
  <si>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</si>
  <si>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</si>
  <si>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</si>
  <si>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</si>
  <si>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</si>
  <si>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</si>
  <si>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</si>
  <si>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</si>
  <si>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</si>
  <si>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</si>
  <si>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</si>
  <si>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</si>
  <si>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</si>
  <si>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</si>
  <si>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</si>
  <si>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</si>
  <si>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</si>
  <si>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</si>
  <si>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</si>
  <si>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</si>
  <si>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</si>
  <si>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</si>
  <si>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</si>
  <si>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</si>
  <si>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</si>
  <si>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</si>
  <si>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</si>
  <si>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</si>
  <si>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</si>
  <si>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</si>
  <si>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</si>
  <si>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</si>
  <si>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</si>
  <si>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</si>
  <si>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</si>
  <si>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</si>
  <si>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</si>
  <si>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</si>
  <si>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</si>
  <si>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</si>
  <si>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</si>
  <si>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</si>
  <si>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</si>
  <si>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</si>
  <si>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</si>
  <si>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</si>
  <si>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</si>
  <si>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</si>
  <si>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</si>
  <si>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</si>
  <si>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</si>
  <si>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</si>
  <si>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</si>
  <si>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</si>
  <si>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</si>
  <si>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</si>
  <si>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</si>
  <si>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</si>
  <si>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</si>
  <si>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</si>
  <si>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</si>
  <si>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</si>
  <si>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</si>
  <si>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</si>
  <si>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</si>
  <si>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</si>
  <si>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</si>
  <si>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</si>
  <si>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</si>
  <si>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</si>
  <si>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</si>
  <si>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</si>
  <si>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</si>
  <si>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</si>
  <si>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</si>
  <si>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</si>
  <si>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</si>
  <si>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</si>
  <si>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</si>
  <si>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</si>
  <si>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</si>
  <si>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</si>
  <si>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</si>
  <si>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</si>
  <si>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</si>
  <si>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</si>
  <si>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</si>
  <si>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</si>
  <si>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</si>
  <si>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</si>
  <si>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</si>
  <si>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</si>
  <si>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</si>
  <si>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</si>
  <si>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</si>
  <si>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</si>
  <si>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</si>
  <si>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</si>
  <si>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</si>
  <si>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</si>
  <si>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</si>
  <si>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</si>
  <si>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</si>
  <si>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</si>
  <si>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</si>
  <si>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</si>
  <si>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</si>
  <si>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</si>
  <si>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</si>
  <si>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</si>
  <si>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</si>
  <si>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</si>
  <si>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</si>
  <si>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</si>
  <si>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</si>
  <si>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</si>
  <si>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</si>
  <si>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</si>
  <si>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</si>
  <si>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</si>
  <si>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</si>
  <si>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</si>
  <si>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</si>
  <si>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</si>
  <si>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</si>
  <si>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</si>
  <si>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</si>
  <si>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</si>
  <si>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</si>
  <si>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</si>
  <si>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</si>
  <si>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</si>
  <si>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</si>
  <si>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</si>
  <si>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</si>
  <si>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</si>
  <si>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</si>
  <si>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</si>
  <si>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</si>
  <si>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</si>
  <si>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</si>
  <si>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</si>
  <si>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</si>
  <si>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</si>
  <si>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</si>
  <si>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</si>
  <si>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</si>
  <si>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</si>
  <si>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</si>
  <si>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</si>
  <si>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</si>
  <si>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</si>
  <si>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</si>
  <si>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</si>
  <si>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</si>
  <si>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</si>
  <si>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</si>
  <si>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</si>
  <si>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</si>
  <si>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</si>
  <si>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</si>
  <si>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</si>
  <si>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</si>
  <si>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</si>
  <si>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</si>
  <si>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</si>
  <si>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</si>
  <si>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</si>
  <si>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</si>
  <si>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</si>
  <si>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</si>
  <si>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</si>
  <si>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</si>
  <si>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</si>
  <si>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</si>
  <si>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</si>
  <si>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</si>
  <si>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</si>
  <si>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</si>
  <si>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</si>
  <si>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</si>
  <si>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</si>
  <si>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</si>
  <si>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</si>
  <si>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</si>
  <si>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</si>
  <si>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</si>
  <si>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</si>
  <si>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</si>
  <si>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</si>
  <si>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</si>
  <si>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</si>
  <si>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</si>
  <si>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</si>
  <si>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</si>
  <si>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</si>
  <si>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</si>
  <si>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</si>
  <si>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</si>
  <si>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</si>
  <si>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</si>
  <si>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</si>
  <si>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</si>
  <si>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</si>
  <si>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</si>
  <si>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</si>
  <si>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</si>
  <si>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</si>
  <si>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</si>
  <si>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</si>
  <si>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</si>
  <si>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</si>
  <si>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</si>
  <si>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</si>
  <si>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</si>
  <si>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</si>
  <si>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</si>
  <si>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</si>
  <si>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</si>
  <si>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</si>
  <si>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</si>
  <si>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</si>
  <si>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</si>
  <si>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</si>
  <si>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</si>
  <si>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</si>
  <si>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</si>
  <si>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</si>
  <si>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</si>
  <si>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</si>
  <si>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</si>
  <si>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</si>
  <si>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</si>
  <si>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</si>
  <si>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</si>
  <si>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</si>
  <si>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</si>
  <si>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</si>
  <si>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</si>
  <si>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</si>
  <si>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</si>
  <si>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</si>
  <si>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</si>
  <si>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</si>
  <si>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</si>
  <si>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</si>
  <si>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</si>
  <si>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</si>
  <si>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</si>
  <si>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</si>
  <si>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</si>
  <si>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</si>
  <si>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</si>
  <si>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</si>
  <si>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</si>
  <si>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</si>
  <si>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</si>
  <si>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</si>
  <si>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</si>
  <si>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</si>
  <si>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</si>
  <si>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</si>
  <si>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</si>
  <si>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</si>
  <si>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</si>
  <si>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</si>
  <si>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</si>
  <si>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</si>
  <si>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</si>
  <si>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</si>
  <si>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</si>
  <si>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</si>
  <si>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</si>
  <si>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</si>
  <si>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</si>
  <si>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</si>
  <si>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</si>
  <si>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</si>
  <si>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</si>
  <si>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</si>
  <si>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</si>
  <si>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</si>
  <si>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</si>
  <si>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</si>
  <si>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</si>
  <si>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</si>
  <si>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</si>
  <si>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</si>
  <si>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</si>
  <si>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</si>
  <si>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</si>
  <si>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</si>
  <si>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</si>
  <si>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</si>
  <si>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</si>
  <si>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</si>
  <si>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</si>
  <si>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</si>
  <si>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</si>
  <si>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</si>
  <si>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</si>
  <si>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</si>
  <si>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</si>
  <si>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</si>
  <si>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</si>
  <si>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</si>
  <si>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</si>
  <si>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</si>
  <si>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</si>
  <si>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</si>
  <si>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</si>
  <si>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</si>
  <si>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</si>
  <si>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</si>
  <si>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</si>
  <si>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</si>
  <si>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</si>
  <si>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</si>
  <si>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</si>
  <si>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</si>
  <si>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</si>
  <si>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</si>
  <si>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</si>
  <si>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</si>
  <si>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</si>
  <si>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</si>
  <si>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</si>
  <si>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</si>
  <si>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</si>
  <si>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</si>
  <si>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</si>
  <si>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</si>
  <si>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</si>
  <si>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</si>
  <si>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</si>
  <si>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</si>
  <si>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</si>
  <si>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</si>
  <si>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</si>
  <si>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</si>
  <si>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</si>
  <si>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</si>
  <si>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</si>
  <si>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</si>
  <si>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</si>
  <si>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</si>
  <si>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</si>
  <si>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</si>
  <si>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</si>
  <si>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</si>
  <si>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</si>
  <si>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</si>
  <si>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</si>
  <si>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</si>
  <si>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</si>
  <si>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</si>
  <si>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</si>
  <si>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</si>
  <si>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</si>
  <si>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</si>
  <si>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</si>
  <si>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</si>
  <si>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</si>
  <si>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</si>
  <si>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</si>
  <si>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</si>
  <si>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</si>
  <si>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</si>
  <si>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</si>
  <si>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</si>
  <si>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</si>
  <si>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</si>
  <si>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</si>
  <si>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</si>
  <si>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</si>
  <si>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</si>
  <si>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</si>
  <si>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</si>
  <si>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</si>
  <si>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</si>
  <si>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</si>
  <si>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</si>
  <si>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</si>
  <si>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</si>
  <si>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</si>
  <si>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</si>
  <si>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</si>
  <si>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</si>
  <si>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</si>
  <si>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</si>
  <si>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</si>
  <si>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</si>
  <si>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</si>
  <si>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</si>
  <si>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</si>
  <si>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</si>
  <si>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</si>
  <si>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</si>
  <si>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</si>
  <si>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</si>
  <si>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</si>
  <si>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</si>
  <si>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</si>
  <si>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</si>
  <si>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</si>
  <si>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</si>
  <si>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</si>
  <si>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</si>
  <si>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</si>
  <si>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</si>
  <si>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</si>
  <si>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</si>
  <si>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</si>
  <si>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</si>
  <si>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</si>
  <si>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</si>
  <si>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</si>
  <si>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</si>
  <si>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</si>
  <si>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</si>
  <si>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</si>
  <si>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</si>
  <si>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</si>
  <si>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</si>
  <si>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</si>
  <si>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</si>
  <si>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</si>
  <si>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</si>
  <si>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</si>
  <si>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</si>
  <si>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</si>
  <si>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</si>
  <si>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</si>
  <si>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</si>
  <si>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</si>
  <si>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</si>
  <si>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</si>
  <si>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</si>
  <si>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</si>
  <si>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</si>
  <si>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</si>
  <si>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</si>
  <si>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</si>
  <si>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</si>
  <si>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</si>
  <si>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</si>
  <si>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</si>
  <si>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</si>
  <si>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</si>
  <si>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</si>
  <si>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</si>
  <si>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</si>
  <si>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</si>
  <si>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</si>
  <si>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</si>
  <si>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</si>
  <si>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</si>
  <si>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</si>
  <si>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</si>
  <si>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</si>
  <si>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</si>
  <si>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</si>
  <si>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</si>
  <si>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</si>
  <si>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</si>
  <si>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</si>
  <si>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</si>
  <si>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</si>
  <si>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</si>
  <si>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</si>
  <si>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</si>
  <si>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</si>
  <si>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</si>
  <si>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</si>
  <si>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</si>
  <si>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</si>
  <si>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</si>
  <si>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</si>
  <si>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</si>
  <si>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</si>
  <si>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</si>
  <si>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</si>
  <si>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</si>
  <si>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</si>
  <si>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</si>
  <si>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</si>
  <si>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</si>
  <si>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</si>
  <si>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</si>
  <si>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</si>
  <si>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</si>
  <si>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</si>
  <si>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</si>
  <si>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</si>
  <si>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</si>
  <si>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</si>
  <si>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</si>
  <si>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</si>
  <si>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Past cup</t>
  </si>
  <si>
    <t>winners</t>
  </si>
  <si>
    <t>Original</t>
  </si>
  <si>
    <t>Six</t>
  </si>
  <si>
    <t>Canadian</t>
  </si>
  <si>
    <t>OriginalSixPlays</t>
  </si>
  <si>
    <t>CanadianTeamPlays</t>
  </si>
  <si>
    <t>% Perfect Games</t>
  </si>
  <si>
    <t>cgy</t>
  </si>
  <si>
    <t>Frozen Frenzy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</si>
</sst>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-1</c:v>
                </c:pt>
                <c:pt idx="150">
                  <c:v>-3</c:v>
                </c:pt>
                <c:pt idx="151">
                  <c:v>-1</c:v>
                </c:pt>
                <c:pt idx="152">
                  <c:v>1</c:v>
                </c:pt>
                <c:pt idx="153">
                  <c:v>1</c:v>
                </c:pt>
                <c:pt idx="154">
                  <c:v>-1</c:v>
                </c:pt>
                <c:pt idx="155">
                  <c:v>4</c:v>
                </c:pt>
                <c:pt idx="156">
                  <c:v>0</c:v>
                </c:pt>
                <c:pt idx="157">
                  <c:v>2</c:v>
                </c:pt>
                <c:pt idx="158">
                  <c:v>2</c:v>
                </c:pt>
                <c:pt idx="159">
                  <c:v>-2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-1</c:v>
                </c:pt>
                <c:pt idx="167">
                  <c:v>-2</c:v>
                </c:pt>
                <c:pt idx="168">
                  <c:v>-4</c:v>
                </c:pt>
                <c:pt idx="169">
                  <c:v>-1</c:v>
                </c:pt>
                <c:pt idx="170">
                  <c:v>-2</c:v>
                </c:pt>
                <c:pt idx="171">
                  <c:v>-2</c:v>
                </c:pt>
                <c:pt idx="172">
                  <c:v>-4</c:v>
                </c:pt>
                <c:pt idx="173">
                  <c:v>-3</c:v>
                </c:pt>
                <c:pt idx="174">
                  <c:v>-2</c:v>
                </c:pt>
                <c:pt idx="175">
                  <c:v>-2</c:v>
                </c:pt>
                <c:pt idx="176">
                  <c:v>-5</c:v>
                </c:pt>
                <c:pt idx="177">
                  <c:v>-3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5</c:v>
                </c:pt>
                <c:pt idx="150">
                  <c:v>-1</c:v>
                </c:pt>
                <c:pt idx="151">
                  <c:v>1</c:v>
                </c:pt>
                <c:pt idx="152">
                  <c:v>-2</c:v>
                </c:pt>
                <c:pt idx="153">
                  <c:v>-2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-3</c:v>
                </c:pt>
                <c:pt idx="159">
                  <c:v>-4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-4</c:v>
                </c:pt>
                <c:pt idx="164">
                  <c:v>-1</c:v>
                </c:pt>
                <c:pt idx="165">
                  <c:v>-2</c:v>
                </c:pt>
                <c:pt idx="166">
                  <c:v>3</c:v>
                </c:pt>
                <c:pt idx="167">
                  <c:v>-4</c:v>
                </c:pt>
                <c:pt idx="168">
                  <c:v>-3</c:v>
                </c:pt>
                <c:pt idx="169">
                  <c:v>-2</c:v>
                </c:pt>
                <c:pt idx="170">
                  <c:v>-4</c:v>
                </c:pt>
                <c:pt idx="171">
                  <c:v>-3</c:v>
                </c:pt>
                <c:pt idx="172">
                  <c:v>-3</c:v>
                </c:pt>
                <c:pt idx="173">
                  <c:v>-4</c:v>
                </c:pt>
                <c:pt idx="174">
                  <c:v>-3</c:v>
                </c:pt>
                <c:pt idx="175">
                  <c:v>-4</c:v>
                </c:pt>
                <c:pt idx="176">
                  <c:v>-2</c:v>
                </c:pt>
                <c:pt idx="177">
                  <c:v>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7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  <c:pt idx="166">
                  <c:v>2025-10-29</c:v>
                </c:pt>
                <c:pt idx="167">
                  <c:v>2025-10-30</c:v>
                </c:pt>
                <c:pt idx="168">
                  <c:v>2025-10-30</c:v>
                </c:pt>
                <c:pt idx="169">
                  <c:v>2025-10-30</c:v>
                </c:pt>
                <c:pt idx="170">
                  <c:v>2025-10-30</c:v>
                </c:pt>
                <c:pt idx="171">
                  <c:v>2025-10-30</c:v>
                </c:pt>
                <c:pt idx="172">
                  <c:v>2025-10-30</c:v>
                </c:pt>
                <c:pt idx="173">
                  <c:v>2025-10-30</c:v>
                </c:pt>
                <c:pt idx="174">
                  <c:v>2025-10-30</c:v>
                </c:pt>
                <c:pt idx="175">
                  <c:v>2025-10-30</c:v>
                </c:pt>
                <c:pt idx="176">
                  <c:v>2025-10-30</c:v>
                </c:pt>
                <c:pt idx="177">
                  <c:v>2025-10-30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-1</c:v>
                </c:pt>
                <c:pt idx="167">
                  <c:v>-30</c:v>
                </c:pt>
                <c:pt idx="168">
                  <c:v>-30</c:v>
                </c:pt>
                <c:pt idx="169">
                  <c:v>-30</c:v>
                </c:pt>
                <c:pt idx="170">
                  <c:v>-30</c:v>
                </c:pt>
                <c:pt idx="171">
                  <c:v>-30</c:v>
                </c:pt>
                <c:pt idx="172">
                  <c:v>-30</c:v>
                </c:pt>
                <c:pt idx="173">
                  <c:v>-30</c:v>
                </c:pt>
                <c:pt idx="174">
                  <c:v>-30</c:v>
                </c:pt>
                <c:pt idx="175">
                  <c:v>-30</c:v>
                </c:pt>
                <c:pt idx="176">
                  <c:v>-30</c:v>
                </c:pt>
                <c:pt idx="177">
                  <c:v>-30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7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  <c:pt idx="166">
                  <c:v>2025-10-29</c:v>
                </c:pt>
                <c:pt idx="167">
                  <c:v>2025-10-30</c:v>
                </c:pt>
                <c:pt idx="168">
                  <c:v>2025-10-30</c:v>
                </c:pt>
                <c:pt idx="169">
                  <c:v>2025-10-30</c:v>
                </c:pt>
                <c:pt idx="170">
                  <c:v>2025-10-30</c:v>
                </c:pt>
                <c:pt idx="171">
                  <c:v>2025-10-30</c:v>
                </c:pt>
                <c:pt idx="172">
                  <c:v>2025-10-30</c:v>
                </c:pt>
                <c:pt idx="173">
                  <c:v>2025-10-30</c:v>
                </c:pt>
                <c:pt idx="174">
                  <c:v>2025-10-30</c:v>
                </c:pt>
                <c:pt idx="175">
                  <c:v>2025-10-30</c:v>
                </c:pt>
                <c:pt idx="176">
                  <c:v>2025-10-30</c:v>
                </c:pt>
                <c:pt idx="177">
                  <c:v>2025-10-30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6</c:v>
                </c:pt>
                <c:pt idx="149">
                  <c:v>6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-8</c:v>
                </c:pt>
                <c:pt idx="162">
                  <c:v>-8</c:v>
                </c:pt>
                <c:pt idx="163">
                  <c:v>-8</c:v>
                </c:pt>
                <c:pt idx="164">
                  <c:v>-8</c:v>
                </c:pt>
                <c:pt idx="165">
                  <c:v>-8</c:v>
                </c:pt>
                <c:pt idx="166">
                  <c:v>3</c:v>
                </c:pt>
                <c:pt idx="167">
                  <c:v>-34</c:v>
                </c:pt>
                <c:pt idx="168">
                  <c:v>-34</c:v>
                </c:pt>
                <c:pt idx="169">
                  <c:v>-34</c:v>
                </c:pt>
                <c:pt idx="170">
                  <c:v>-34</c:v>
                </c:pt>
                <c:pt idx="171">
                  <c:v>-34</c:v>
                </c:pt>
                <c:pt idx="172">
                  <c:v>-34</c:v>
                </c:pt>
                <c:pt idx="173">
                  <c:v>-34</c:v>
                </c:pt>
                <c:pt idx="174">
                  <c:v>-34</c:v>
                </c:pt>
                <c:pt idx="175">
                  <c:v>-34</c:v>
                </c:pt>
                <c:pt idx="176">
                  <c:v>-34</c:v>
                </c:pt>
                <c:pt idx="177">
                  <c:v>-34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0.12650602409638553</c:v>
                </c:pt>
                <c:pt idx="1">
                  <c:v>0.34337349397590361</c:v>
                </c:pt>
                <c:pt idx="2">
                  <c:v>0.28313253012048195</c:v>
                </c:pt>
                <c:pt idx="3">
                  <c:v>0.16265060240963855</c:v>
                </c:pt>
                <c:pt idx="4">
                  <c:v>6.0240963855421686E-2</c:v>
                </c:pt>
                <c:pt idx="5">
                  <c:v>1.8072289156626505E-2</c:v>
                </c:pt>
                <c:pt idx="6">
                  <c:v>1.2048192771084338E-2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0.1144578313253012</c:v>
                </c:pt>
                <c:pt idx="1">
                  <c:v>0.3493975903614458</c:v>
                </c:pt>
                <c:pt idx="2">
                  <c:v>0.27710843373493976</c:v>
                </c:pt>
                <c:pt idx="3">
                  <c:v>0.13855421686746988</c:v>
                </c:pt>
                <c:pt idx="4">
                  <c:v>0.1144578313253012</c:v>
                </c:pt>
                <c:pt idx="5">
                  <c:v>6.024096385542169E-3</c:v>
                </c:pt>
                <c:pt idx="6">
                  <c:v>6.024096385542169E-3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0.12048192771084337</c:v>
                </c:pt>
                <c:pt idx="1">
                  <c:v>0.34638554216867468</c:v>
                </c:pt>
                <c:pt idx="2">
                  <c:v>0.28012048192771083</c:v>
                </c:pt>
                <c:pt idx="3">
                  <c:v>0.15060240963855423</c:v>
                </c:pt>
                <c:pt idx="4">
                  <c:v>8.7349397590361449E-2</c:v>
                </c:pt>
                <c:pt idx="5">
                  <c:v>1.2048192771084338E-2</c:v>
                </c:pt>
                <c:pt idx="6">
                  <c:v>9.0361445783132526E-3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2:AQ33"/>
    <sortCondition ref="AR2:AR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57" workbookViewId="0">
      <selection activeCell="B178" sqref="B17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60" max="60" width="14.28515625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757</v>
      </c>
      <c r="AV2" s="6" t="s">
        <v>758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166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65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83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60</v>
      </c>
      <c r="BP5" s="57"/>
      <c r="BR5" s="2">
        <v>0</v>
      </c>
      <c r="BS5" s="110" cm="1">
        <f t="array" ref="BS5">SUM(--(ABS($F$3:$F$1315 - $J$3:$J$1315) = 0)) -(((32*82)/2) - $BD$4)</f>
        <v>21</v>
      </c>
      <c r="BT5" s="111">
        <f>$BS5/$BD$4</f>
        <v>0.12650602409638553</v>
      </c>
      <c r="BU5" s="112" cm="1">
        <f t="array" ref="BU5">SUM(--(ABS($G$3:$G$1315 - $K$3:$K$1315) = 0)) -(((32*82)/2) - $BD$4)</f>
        <v>19</v>
      </c>
      <c r="BV5" s="113">
        <f>$BU5/$BD$4</f>
        <v>0.1144578313253012</v>
      </c>
      <c r="BW5" s="109">
        <f t="shared" ref="BW5:BW15" si="5">BS5+BU5</f>
        <v>40</v>
      </c>
      <c r="BX5" s="114">
        <f t="shared" ref="BX5:BX15" si="6">(BS5+BU5)/($BD$4*2)</f>
        <v>0.12048192771084337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83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57</v>
      </c>
      <c r="BT6" s="111">
        <f t="shared" ref="BT6:BT15" si="7">$BS6/$BD$4</f>
        <v>0.34337349397590361</v>
      </c>
      <c r="BU6" s="112" cm="1">
        <f t="array" ref="BU6">SUM(--(ABS($G$3:$G$1315 - $K$3:$K$1315) = $BR6))</f>
        <v>58</v>
      </c>
      <c r="BV6" s="113">
        <f t="shared" ref="BV6:BV15" si="8">$BU6/$BD$4</f>
        <v>0.3493975903614458</v>
      </c>
      <c r="BW6" s="109">
        <f t="shared" si="5"/>
        <v>115</v>
      </c>
      <c r="BX6" s="114">
        <f t="shared" si="6"/>
        <v>0.34638554216867468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14</v>
      </c>
      <c r="BP7" s="57"/>
      <c r="BR7" s="2">
        <v>2</v>
      </c>
      <c r="BS7" s="110" cm="1">
        <f t="array" ref="BS7">SUM(--(ABS($F$3:$F$1315 - $J$3:$J$1315) = $BR7))</f>
        <v>47</v>
      </c>
      <c r="BT7" s="111">
        <f t="shared" si="7"/>
        <v>0.28313253012048195</v>
      </c>
      <c r="BU7" s="112" cm="1">
        <f t="array" ref="BU7">SUM(--(ABS($G$3:$G$1315 - $K$3:$K$1315) = $BR7))</f>
        <v>46</v>
      </c>
      <c r="BV7" s="113">
        <f t="shared" si="8"/>
        <v>0.27710843373493976</v>
      </c>
      <c r="BW7" s="109">
        <f t="shared" si="5"/>
        <v>93</v>
      </c>
      <c r="BX7" s="114">
        <f t="shared" si="6"/>
        <v>0.28012048192771083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27</v>
      </c>
      <c r="BT8" s="111">
        <f t="shared" si="7"/>
        <v>0.16265060240963855</v>
      </c>
      <c r="BU8" s="112" cm="1">
        <f t="array" ref="BU8">SUM(--(ABS($G$3:$G$1315 - $K$3:$K$1315) = $BR8))</f>
        <v>23</v>
      </c>
      <c r="BV8" s="113">
        <f t="shared" si="8"/>
        <v>0.13855421686746988</v>
      </c>
      <c r="BW8" s="109">
        <f t="shared" si="5"/>
        <v>50</v>
      </c>
      <c r="BX8" s="114">
        <f t="shared" si="6"/>
        <v>0.15060240963855423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72.399999999999892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9</v>
      </c>
      <c r="BP9" s="57"/>
      <c r="BR9" s="2">
        <v>4</v>
      </c>
      <c r="BS9" s="110" cm="1">
        <f t="array" ref="BS9">SUM(--(ABS($F$3:$F$1315 - $J$3:$J$1315) = $BR9))</f>
        <v>10</v>
      </c>
      <c r="BT9" s="111">
        <f t="shared" si="7"/>
        <v>6.0240963855421686E-2</v>
      </c>
      <c r="BU9" s="112" cm="1">
        <f t="array" ref="BU9">SUM(--(ABS($G$3:$G$1315 - $K$3:$K$1315) = $BR9))</f>
        <v>19</v>
      </c>
      <c r="BV9" s="113">
        <f t="shared" si="8"/>
        <v>0.1144578313253012</v>
      </c>
      <c r="BW9" s="109">
        <f t="shared" si="5"/>
        <v>29</v>
      </c>
      <c r="BX9" s="114">
        <f t="shared" si="6"/>
        <v>8.7349397590361449E-2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0.43614457831325237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3</v>
      </c>
      <c r="BT10" s="111">
        <f t="shared" si="7"/>
        <v>1.8072289156626505E-2</v>
      </c>
      <c r="BU10" s="112" cm="1">
        <f t="array" ref="BU10">SUM(--(ABS($G$3:$G$1315 - $K$3:$K$1315) = $BR10))</f>
        <v>1</v>
      </c>
      <c r="BV10" s="113">
        <f t="shared" si="8"/>
        <v>6.024096385542169E-3</v>
      </c>
      <c r="BW10" s="109">
        <f t="shared" si="5"/>
        <v>4</v>
      </c>
      <c r="BX10" s="114">
        <f t="shared" si="6"/>
        <v>1.2048192771084338E-2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66.400000000000006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83-60-23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1.2048192771084338E-2</v>
      </c>
      <c r="BU11" s="112" cm="1">
        <f t="array" ref="BU11">SUM(--(ABS($G$3:$G$1315 - $K$3:$K$1315) = $BR11))</f>
        <v>1</v>
      </c>
      <c r="BV11" s="113">
        <f t="shared" si="8"/>
        <v>6.024096385542169E-3</v>
      </c>
      <c r="BW11" s="109">
        <f t="shared" si="5"/>
        <v>3</v>
      </c>
      <c r="BX11" s="114">
        <f t="shared" si="6"/>
        <v>9.0361445783132526E-3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31</v>
      </c>
      <c r="BF12">
        <f>10/100</f>
        <v>0.1</v>
      </c>
      <c r="BK12" s="57"/>
      <c r="BL12" s="157" t="str">
        <f>_xlfn.CONCAT(TEXT(BM4, "0"),"-",TEXT(BM5, "0"),"-",TEXT(BM7+BM9+BM6+BM8, "0"))</f>
        <v>65-60-41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2.9000000000000004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1.8012048192771084</v>
      </c>
      <c r="BT16" s="156"/>
      <c r="BU16" s="156">
        <f>((BR5*BV5)+(BV6*BR6)+(BV7*BR7)+(BV8*BR8)+(BV9*BR9)+(BV10*BR10)+(BV11*BR11)+(BV12*BR12)+(BV13*BR13)+(BV14*BR14)+(BV15*BR15))</f>
        <v>1.8433734939759034</v>
      </c>
      <c r="BV16" s="156"/>
      <c r="BX16">
        <f>((BR5*BX5)+(BX6*BR6)+(BX7*BR7)+(BX8*BR8)+(BX9*BR9)+(BX10*BR10)+(BX11*BR11)+(BX12*BR12)+(BX13*BR13)+(BX14*BR14)+(BX15*BR15))</f>
        <v>1.822289156626506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82.319999999999908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0.49590361445783077</v>
      </c>
      <c r="BH18" t="s">
        <v>759</v>
      </c>
      <c r="BI18" s="10">
        <f>BI17/BD4</f>
        <v>4.8192771084337352E-2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7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2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11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19.8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752</v>
      </c>
      <c r="BG45" t="s">
        <v>754</v>
      </c>
      <c r="BH45" t="s">
        <v>756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753</v>
      </c>
      <c r="BG46" t="s">
        <v>755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0-0-2</v>
      </c>
      <c r="AP52" s="2" t="str">
        <f>INDEX(Sheet5!$B$2:$AG$33, MATCH(Table2[[#This Row],[HomeTeam]],Sheet5!$A$2:$A$33, 0), MATCH(Table2[[#This Row],[AwayTeam]],Sheet5!$A$2:$A$33, 0))</f>
        <v>2-0-0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0-2-0</v>
      </c>
      <c r="AP99" s="143" t="str">
        <f>INDEX(Sheet5!$B$2:$AG$33, MATCH(Table2[[#This Row],[HomeTeam]],Sheet5!$A$2:$A$33, 0), MATCH(Table2[[#This Row],[AwayTeam]],Sheet5!$A$2:$A$33, 0))</f>
        <v>2-0-0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0-2-0</v>
      </c>
      <c r="AP135" s="2" t="str">
        <f>INDEX(Sheet5!$B$2:$AG$33, MATCH(Table2[[#This Row],[HomeTeam]],Sheet5!$A$2:$A$33, 0), MATCH(Table2[[#This Row],[AwayTeam]],Sheet5!$A$2:$A$33, 0))</f>
        <v>2-0-0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1-0-1</v>
      </c>
      <c r="AP142" s="2" t="str">
        <f>INDEX(Sheet5!$B$2:$AG$33, MATCH(Table2[[#This Row],[HomeTeam]],Sheet5!$A$2:$A$33, 0), MATCH(Table2[[#This Row],[AwayTeam]],Sheet5!$A$2:$A$33, 0))</f>
        <v>1-1-0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>
        <v>3</v>
      </c>
      <c r="K150" s="2">
        <v>6</v>
      </c>
      <c r="L150" s="2" t="str">
        <f t="shared" si="15"/>
        <v>PIT</v>
      </c>
      <c r="M150" s="2" t="s">
        <v>718</v>
      </c>
      <c r="N150" s="2">
        <f>IF(ISBLANK(Table2[[#This Row],[ActualResult]]), 0, 1)</f>
        <v>1</v>
      </c>
      <c r="O150" s="2" t="str">
        <f>IF(ISBLANK(Table2[[#This Row],[ActualResult]]), "_", IF(Table2[[#This Row],[ActualWinner]]=Table2[[#This Row],[PredictedWinner]], "Y", "N"))</f>
        <v>Y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0" s="2">
        <v>1</v>
      </c>
      <c r="S150" s="2" t="str">
        <f t="shared" si="16"/>
        <v>STL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1</v>
      </c>
      <c r="AH150" s="2">
        <f t="shared" si="17"/>
        <v>-1</v>
      </c>
      <c r="AI150" s="2">
        <f t="shared" si="18"/>
        <v>6</v>
      </c>
      <c r="AJ150" s="2">
        <v>1</v>
      </c>
      <c r="AK150" s="3">
        <v>45957</v>
      </c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1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0-1-0</v>
      </c>
      <c r="AP150" s="2" t="str">
        <f>INDEX(Sheet5!$B$2:$AG$33, MATCH(Table2[[#This Row],[HomeTeam]],Sheet5!$A$2:$A$33, 0), MATCH(Table2[[#This Row],[AwayTeam]],Sheet5!$A$2:$A$33, 0))</f>
        <v>1-0-0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0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>
        <v>2</v>
      </c>
      <c r="K151" s="143">
        <v>7</v>
      </c>
      <c r="L151" s="143" t="str">
        <f t="shared" si="15"/>
        <v>OTT</v>
      </c>
      <c r="M151" s="143" t="s">
        <v>718</v>
      </c>
      <c r="N151" s="143">
        <f>IF(ISBLANK(Table2[[#This Row],[ActualResult]]), 0, 1)</f>
        <v>1</v>
      </c>
      <c r="O151" s="143" t="str">
        <f>IF(ISBLANK(Table2[[#This Row],[ActualResult]]), "_", IF(Table2[[#This Row],[ActualWinner]]=Table2[[#This Row],[PredictedWinner]], "Y", "N"))</f>
        <v>N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1" s="143">
        <v>1</v>
      </c>
      <c r="S151" s="143" t="str">
        <f t="shared" si="16"/>
        <v>BOS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-1</v>
      </c>
      <c r="AG151" s="143">
        <f>Table2[[#This Row],[ActualHomeScore]]-Table2[[#This Row],[PredictedHomeScore]]</f>
        <v>5</v>
      </c>
      <c r="AH151" s="143">
        <f t="shared" si="17"/>
        <v>-1</v>
      </c>
      <c r="AI151" s="143">
        <f t="shared" si="18"/>
        <v>6</v>
      </c>
      <c r="AJ151" s="143">
        <v>2</v>
      </c>
      <c r="AK151" s="141">
        <v>45957</v>
      </c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1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0-1-0</v>
      </c>
      <c r="AP151" s="143" t="str">
        <f>INDEX(Sheet5!$B$2:$AG$33, MATCH(Table2[[#This Row],[HomeTeam]],Sheet5!$A$2:$A$33, 0), MATCH(Table2[[#This Row],[AwayTeam]],Sheet5!$A$2:$A$33, 0))</f>
        <v>1-0-0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1</v>
      </c>
      <c r="AT151" s="143">
        <f>IF(Table2[[#This Row],[ActualAwayScore]] + Table2[[#This Row],[ActualHomeScore]] &lt;= 3, 1, 0)</f>
        <v>0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>
        <v>45958</v>
      </c>
      <c r="B152" s="3">
        <v>45958</v>
      </c>
      <c r="C152" s="5">
        <v>2025020150</v>
      </c>
      <c r="D152" s="2" t="s">
        <v>20</v>
      </c>
      <c r="E152" s="2" t="s">
        <v>42</v>
      </c>
      <c r="F152" s="2">
        <v>5</v>
      </c>
      <c r="G152" s="2">
        <v>4</v>
      </c>
      <c r="H152" s="2" t="str">
        <f t="shared" si="14"/>
        <v>PIT</v>
      </c>
      <c r="I152" s="2" t="s">
        <v>719</v>
      </c>
      <c r="J152" s="2">
        <v>2</v>
      </c>
      <c r="K152" s="2">
        <v>3</v>
      </c>
      <c r="L152" s="2" t="str">
        <f t="shared" si="15"/>
        <v>PHI</v>
      </c>
      <c r="M152" s="2" t="s">
        <v>719</v>
      </c>
      <c r="N152" s="2">
        <f>IF(ISBLANK(Table2[[#This Row],[ActualResult]]), 0, 1)</f>
        <v>1</v>
      </c>
      <c r="O152" s="2" t="str">
        <f>IF(ISBLANK(Table2[[#This Row],[ActualResult]]), "_", IF(Table2[[#This Row],[ActualWinner]]=Table2[[#This Row],[PredictedWinner]], "Y", "N"))</f>
        <v>N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2" s="2">
        <v>1</v>
      </c>
      <c r="S152" s="2" t="str">
        <f t="shared" si="16"/>
        <v>PIT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 t="s">
        <v>761</v>
      </c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-3</v>
      </c>
      <c r="AG152" s="2">
        <f>Table2[[#This Row],[ActualHomeScore]]-Table2[[#This Row],[PredictedHomeScore]]</f>
        <v>-1</v>
      </c>
      <c r="AH152" s="2">
        <f t="shared" si="17"/>
        <v>3</v>
      </c>
      <c r="AI152" s="2">
        <f t="shared" si="18"/>
        <v>-8</v>
      </c>
      <c r="AJ152" s="2">
        <v>2</v>
      </c>
      <c r="AK152" s="3">
        <v>45958</v>
      </c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1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0-0-1</v>
      </c>
      <c r="AP152" s="2" t="str">
        <f>INDEX(Sheet5!$B$2:$AG$33, MATCH(Table2[[#This Row],[HomeTeam]],Sheet5!$A$2:$A$33, 0), MATCH(Table2[[#This Row],[AwayTeam]],Sheet5!$A$2:$A$33, 0))</f>
        <v>1-0-0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0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>
        <v>45958</v>
      </c>
      <c r="B153" s="3">
        <v>45958</v>
      </c>
      <c r="C153" s="5">
        <v>2025020151</v>
      </c>
      <c r="D153" s="2" t="s">
        <v>23</v>
      </c>
      <c r="E153" s="2" t="s">
        <v>17</v>
      </c>
      <c r="F153" s="2">
        <v>4</v>
      </c>
      <c r="G153" s="2">
        <v>3</v>
      </c>
      <c r="H153" s="2" t="str">
        <f t="shared" si="14"/>
        <v>CGY</v>
      </c>
      <c r="I153" s="2" t="s">
        <v>720</v>
      </c>
      <c r="J153" s="2">
        <v>3</v>
      </c>
      <c r="K153" s="2">
        <v>4</v>
      </c>
      <c r="L153" s="2" t="str">
        <f t="shared" si="15"/>
        <v>TOR</v>
      </c>
      <c r="M153" s="2" t="s">
        <v>718</v>
      </c>
      <c r="N153" s="2">
        <f>IF(ISBLANK(Table2[[#This Row],[ActualResult]]), 0, 1)</f>
        <v>1</v>
      </c>
      <c r="O153" s="2" t="str">
        <f>IF(ISBLANK(Table2[[#This Row],[ActualResult]]), "_", IF(Table2[[#This Row],[ActualWinner]]=Table2[[#This Row],[PredictedWinner]], "Y", "N"))</f>
        <v>N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3" s="2">
        <v>1</v>
      </c>
      <c r="S153" s="2" t="str">
        <f t="shared" si="16"/>
        <v>CGY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 t="s">
        <v>761</v>
      </c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-1</v>
      </c>
      <c r="AG153" s="2">
        <f>Table2[[#This Row],[ActualHomeScore]]-Table2[[#This Row],[PredictedHomeScore]]</f>
        <v>1</v>
      </c>
      <c r="AH153" s="2">
        <f t="shared" si="17"/>
        <v>3</v>
      </c>
      <c r="AI153" s="2">
        <f t="shared" si="18"/>
        <v>-8</v>
      </c>
      <c r="AJ153" s="2">
        <v>1</v>
      </c>
      <c r="AK153" s="3">
        <v>45958</v>
      </c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1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0-1-0</v>
      </c>
      <c r="AP153" s="2" t="str">
        <f>INDEX(Sheet5!$B$2:$AG$33, MATCH(Table2[[#This Row],[HomeTeam]],Sheet5!$A$2:$A$33, 0), MATCH(Table2[[#This Row],[AwayTeam]],Sheet5!$A$2:$A$33, 0))</f>
        <v>1-0-0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0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>
        <v>45958</v>
      </c>
      <c r="B154" s="3">
        <v>45958</v>
      </c>
      <c r="C154" s="5">
        <v>2025020152</v>
      </c>
      <c r="D154" s="2" t="s">
        <v>35</v>
      </c>
      <c r="E154" s="2" t="s">
        <v>28</v>
      </c>
      <c r="F154" s="2">
        <v>3</v>
      </c>
      <c r="G154" s="2">
        <v>5</v>
      </c>
      <c r="H154" s="2" t="str">
        <f t="shared" si="14"/>
        <v>BUF</v>
      </c>
      <c r="I154" s="2" t="s">
        <v>718</v>
      </c>
      <c r="J154" s="2">
        <v>4</v>
      </c>
      <c r="K154" s="2">
        <v>3</v>
      </c>
      <c r="L154" s="2" t="str">
        <f t="shared" si="15"/>
        <v>CBJ</v>
      </c>
      <c r="M154" s="2" t="s">
        <v>720</v>
      </c>
      <c r="N154" s="2">
        <f>IF(ISBLANK(Table2[[#This Row],[ActualResult]]), 0, 1)</f>
        <v>1</v>
      </c>
      <c r="O154" s="2" t="str">
        <f>IF(ISBLANK(Table2[[#This Row],[ActualResult]]), "_", IF(Table2[[#This Row],[ActualWinner]]=Table2[[#This Row],[PredictedWinner]], "Y", "N"))</f>
        <v>N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4" s="2">
        <v>1</v>
      </c>
      <c r="S154" s="2" t="str">
        <f t="shared" si="16"/>
        <v>BUF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 t="s">
        <v>761</v>
      </c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1</v>
      </c>
      <c r="AG154" s="2">
        <f>Table2[[#This Row],[ActualHomeScore]]-Table2[[#This Row],[PredictedHomeScore]]</f>
        <v>-2</v>
      </c>
      <c r="AH154" s="2">
        <f t="shared" si="17"/>
        <v>3</v>
      </c>
      <c r="AI154" s="2">
        <f t="shared" si="18"/>
        <v>-8</v>
      </c>
      <c r="AJ154" s="2">
        <v>5</v>
      </c>
      <c r="AK154" s="3">
        <v>45958</v>
      </c>
      <c r="AL154" s="2">
        <f>IF(Table2[[#This Row],[GameIsOver]]=0,0,IF(Table2[[#This Row],[ActualWinner]]=Table2[[#This Row],[AwayTeam]], 1, 0))</f>
        <v>1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1-0-0</v>
      </c>
      <c r="AP154" s="2" t="str">
        <f>INDEX(Sheet5!$B$2:$AG$33, MATCH(Table2[[#This Row],[HomeTeam]],Sheet5!$A$2:$A$33, 0), MATCH(Table2[[#This Row],[AwayTeam]],Sheet5!$A$2:$A$33, 0))</f>
        <v>0-0-1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0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>
        <v>45958</v>
      </c>
      <c r="B155" s="3">
        <v>45958</v>
      </c>
      <c r="C155" s="5">
        <v>2025020153</v>
      </c>
      <c r="D155" s="2" t="s">
        <v>44</v>
      </c>
      <c r="E155" s="2" t="s">
        <v>13</v>
      </c>
      <c r="F155" s="2">
        <v>2</v>
      </c>
      <c r="G155" s="2">
        <v>4</v>
      </c>
      <c r="H155" s="2" t="str">
        <f t="shared" si="14"/>
        <v>FLA</v>
      </c>
      <c r="I155" s="2" t="s">
        <v>718</v>
      </c>
      <c r="J155" s="2">
        <v>3</v>
      </c>
      <c r="K155" s="2">
        <v>2</v>
      </c>
      <c r="L155" s="2" t="str">
        <f t="shared" si="15"/>
        <v>ANA</v>
      </c>
      <c r="M155" s="2" t="s">
        <v>719</v>
      </c>
      <c r="N155" s="2">
        <f>IF(ISBLANK(Table2[[#This Row],[ActualResult]]), 0, 1)</f>
        <v>1</v>
      </c>
      <c r="O155" s="2" t="str">
        <f>IF(ISBLANK(Table2[[#This Row],[ActualResult]]), "_", IF(Table2[[#This Row],[ActualWinner]]=Table2[[#This Row],[PredictedWinner]], "Y", "N"))</f>
        <v>N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5" s="2">
        <v>1</v>
      </c>
      <c r="S155" s="2" t="str">
        <f t="shared" si="16"/>
        <v>FLA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 t="s">
        <v>761</v>
      </c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1</v>
      </c>
      <c r="AG155" s="2">
        <f>Table2[[#This Row],[ActualHomeScore]]-Table2[[#This Row],[PredictedHomeScore]]</f>
        <v>-2</v>
      </c>
      <c r="AH155" s="2">
        <f t="shared" si="17"/>
        <v>3</v>
      </c>
      <c r="AI155" s="2">
        <f t="shared" si="18"/>
        <v>-8</v>
      </c>
      <c r="AJ155" s="2">
        <v>3</v>
      </c>
      <c r="AK155" s="3">
        <v>45958</v>
      </c>
      <c r="AL155" s="2">
        <f>IF(Table2[[#This Row],[GameIsOver]]=0,0,IF(Table2[[#This Row],[ActualWinner]]=Table2[[#This Row],[AwayTeam]], 1, 0))</f>
        <v>1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1-0-0</v>
      </c>
      <c r="AP155" s="2" t="str">
        <f>INDEX(Sheet5!$B$2:$AG$33, MATCH(Table2[[#This Row],[HomeTeam]],Sheet5!$A$2:$A$33, 0), MATCH(Table2[[#This Row],[AwayTeam]],Sheet5!$A$2:$A$33, 0))</f>
        <v>0-0-1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0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>
        <v>45958</v>
      </c>
      <c r="B156" s="3">
        <v>45958</v>
      </c>
      <c r="C156" s="5">
        <v>2025020154</v>
      </c>
      <c r="D156" s="2" t="s">
        <v>32</v>
      </c>
      <c r="E156" s="2" t="s">
        <v>15</v>
      </c>
      <c r="F156" s="2">
        <v>3</v>
      </c>
      <c r="G156" s="2">
        <v>4</v>
      </c>
      <c r="H156" s="2" t="str">
        <f t="shared" si="14"/>
        <v>BOS</v>
      </c>
      <c r="I156" s="2" t="s">
        <v>719</v>
      </c>
      <c r="J156" s="2">
        <v>2</v>
      </c>
      <c r="K156" s="2">
        <v>5</v>
      </c>
      <c r="L156" s="2" t="str">
        <f t="shared" si="15"/>
        <v>BOS</v>
      </c>
      <c r="M156" s="2" t="s">
        <v>718</v>
      </c>
      <c r="N156" s="2">
        <f>IF(ISBLANK(Table2[[#This Row],[ActualResult]]), 0, 1)</f>
        <v>1</v>
      </c>
      <c r="O156" s="2" t="str">
        <f>IF(ISBLANK(Table2[[#This Row],[ActualResult]]), "_", IF(Table2[[#This Row],[ActualWinner]]=Table2[[#This Row],[PredictedWinner]], "Y", "N"))</f>
        <v>Y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6" s="2">
        <v>1</v>
      </c>
      <c r="S156" s="2" t="str">
        <f t="shared" si="16"/>
        <v>NYI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 t="s">
        <v>761</v>
      </c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-1</v>
      </c>
      <c r="AG156" s="2">
        <f>Table2[[#This Row],[ActualHomeScore]]-Table2[[#This Row],[PredictedHomeScore]]</f>
        <v>1</v>
      </c>
      <c r="AH156" s="2">
        <f t="shared" si="17"/>
        <v>3</v>
      </c>
      <c r="AI156" s="2">
        <f t="shared" si="18"/>
        <v>-8</v>
      </c>
      <c r="AJ156" s="2">
        <v>4</v>
      </c>
      <c r="AK156" s="3">
        <v>45958</v>
      </c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1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0-1-0</v>
      </c>
      <c r="AP156" s="2" t="str">
        <f>INDEX(Sheet5!$B$2:$AG$33, MATCH(Table2[[#This Row],[HomeTeam]],Sheet5!$A$2:$A$33, 0), MATCH(Table2[[#This Row],[AwayTeam]],Sheet5!$A$2:$A$33, 0))</f>
        <v>1-0-0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0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>
        <v>45958</v>
      </c>
      <c r="B157" s="3">
        <v>45958</v>
      </c>
      <c r="C157" s="5">
        <v>2025020155</v>
      </c>
      <c r="D157" s="2" t="s">
        <v>26</v>
      </c>
      <c r="E157" s="2" t="s">
        <v>41</v>
      </c>
      <c r="F157" s="2">
        <v>2</v>
      </c>
      <c r="G157" s="2">
        <v>4</v>
      </c>
      <c r="H157" s="2" t="str">
        <f t="shared" si="14"/>
        <v>CAR</v>
      </c>
      <c r="I157" s="2" t="s">
        <v>718</v>
      </c>
      <c r="J157" s="2">
        <v>6</v>
      </c>
      <c r="K157" s="2">
        <v>3</v>
      </c>
      <c r="L157" s="2" t="str">
        <f t="shared" si="15"/>
        <v>VGK</v>
      </c>
      <c r="M157" s="2" t="s">
        <v>718</v>
      </c>
      <c r="N157" s="2">
        <f>IF(ISBLANK(Table2[[#This Row],[ActualResult]]), 0, 1)</f>
        <v>1</v>
      </c>
      <c r="O157" s="2" t="str">
        <f>IF(ISBLANK(Table2[[#This Row],[ActualResult]]), "_", IF(Table2[[#This Row],[ActualWinner]]=Table2[[#This Row],[PredictedWinner]], "Y", "N"))</f>
        <v>N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7" s="2">
        <v>1</v>
      </c>
      <c r="S157" s="2" t="str">
        <f t="shared" si="16"/>
        <v>CAR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 t="s">
        <v>761</v>
      </c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4</v>
      </c>
      <c r="AG157" s="2">
        <f>Table2[[#This Row],[ActualHomeScore]]-Table2[[#This Row],[PredictedHomeScore]]</f>
        <v>-1</v>
      </c>
      <c r="AH157" s="2">
        <f t="shared" si="17"/>
        <v>3</v>
      </c>
      <c r="AI157" s="2">
        <f t="shared" si="18"/>
        <v>-8</v>
      </c>
      <c r="AJ157" s="2">
        <v>6</v>
      </c>
      <c r="AK157" s="3">
        <v>45958</v>
      </c>
      <c r="AL157" s="2">
        <f>IF(Table2[[#This Row],[GameIsOver]]=0,0,IF(Table2[[#This Row],[ActualWinner]]=Table2[[#This Row],[AwayTeam]], 1, 0))</f>
        <v>1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2-0-0</v>
      </c>
      <c r="AP157" s="2" t="str">
        <f>INDEX(Sheet5!$B$2:$AG$33, MATCH(Table2[[#This Row],[HomeTeam]],Sheet5!$A$2:$A$33, 0), MATCH(Table2[[#This Row],[AwayTeam]],Sheet5!$A$2:$A$33, 0))</f>
        <v>0-2-0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0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>
        <v>45958</v>
      </c>
      <c r="B158" s="3">
        <v>45958</v>
      </c>
      <c r="C158" s="5">
        <v>2025020156</v>
      </c>
      <c r="D158" s="2" t="s">
        <v>40</v>
      </c>
      <c r="E158" s="2" t="s">
        <v>34</v>
      </c>
      <c r="F158" s="2">
        <v>5</v>
      </c>
      <c r="G158" s="2">
        <v>3</v>
      </c>
      <c r="H158" s="2" t="str">
        <f t="shared" si="14"/>
        <v>TBL</v>
      </c>
      <c r="I158" s="2" t="s">
        <v>718</v>
      </c>
      <c r="J158" s="2">
        <v>5</v>
      </c>
      <c r="K158" s="2">
        <v>2</v>
      </c>
      <c r="L158" s="2" t="str">
        <f t="shared" si="15"/>
        <v>TBL</v>
      </c>
      <c r="M158" s="2" t="s">
        <v>718</v>
      </c>
      <c r="N158" s="2">
        <f>IF(ISBLANK(Table2[[#This Row],[ActualResult]]), 0, 1)</f>
        <v>1</v>
      </c>
      <c r="O158" s="2" t="str">
        <f>IF(ISBLANK(Table2[[#This Row],[ActualResult]]), "_", IF(Table2[[#This Row],[ActualWinner]]=Table2[[#This Row],[PredictedWinner]], "Y", "N"))</f>
        <v>Y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8" s="2">
        <v>1</v>
      </c>
      <c r="S158" s="2" t="str">
        <f t="shared" si="16"/>
        <v>NSH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 t="s">
        <v>761</v>
      </c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-1</v>
      </c>
      <c r="AH158" s="2">
        <f t="shared" si="17"/>
        <v>3</v>
      </c>
      <c r="AI158" s="2">
        <f t="shared" si="18"/>
        <v>-8</v>
      </c>
      <c r="AJ158" s="2">
        <v>7</v>
      </c>
      <c r="AK158" s="3">
        <v>45958</v>
      </c>
      <c r="AL158" s="2">
        <f>IF(Table2[[#This Row],[GameIsOver]]=0,0,IF(Table2[[#This Row],[ActualWinner]]=Table2[[#This Row],[AwayTeam]], 1, 0))</f>
        <v>1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1-0-0</v>
      </c>
      <c r="AP158" s="2" t="str">
        <f>INDEX(Sheet5!$B$2:$AG$33, MATCH(Table2[[#This Row],[HomeTeam]],Sheet5!$A$2:$A$33, 0), MATCH(Table2[[#This Row],[AwayTeam]],Sheet5!$A$2:$A$33, 0))</f>
        <v>0-1-0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0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>
        <v>45958</v>
      </c>
      <c r="B159" s="3">
        <v>45958</v>
      </c>
      <c r="C159" s="5">
        <v>2025020157</v>
      </c>
      <c r="D159" s="2" t="s">
        <v>21</v>
      </c>
      <c r="E159" s="2" t="s">
        <v>36</v>
      </c>
      <c r="F159" s="2">
        <v>2</v>
      </c>
      <c r="G159" s="2">
        <v>3</v>
      </c>
      <c r="H159" s="2" t="str">
        <f t="shared" si="14"/>
        <v>MIN</v>
      </c>
      <c r="I159" s="2" t="s">
        <v>720</v>
      </c>
      <c r="J159" s="2">
        <v>4</v>
      </c>
      <c r="K159" s="2">
        <v>3</v>
      </c>
      <c r="L159" s="2" t="str">
        <f t="shared" si="15"/>
        <v>WPG</v>
      </c>
      <c r="M159" s="2" t="s">
        <v>720</v>
      </c>
      <c r="N159" s="2">
        <f>IF(ISBLANK(Table2[[#This Row],[ActualResult]]), 0, 1)</f>
        <v>1</v>
      </c>
      <c r="O159" s="2" t="str">
        <f>IF(ISBLANK(Table2[[#This Row],[ActualResult]]), "_", IF(Table2[[#This Row],[ActualWinner]]=Table2[[#This Row],[PredictedWinner]], "Y", "N"))</f>
        <v>N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9" s="2">
        <v>1</v>
      </c>
      <c r="S159" s="2" t="str">
        <f t="shared" si="16"/>
        <v>MIN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 t="s">
        <v>761</v>
      </c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9" s="2">
        <f>Table2[[#This Row],[ActualAwayScore]]-Table2[[#This Row],[PredictedAwayScore]]</f>
        <v>2</v>
      </c>
      <c r="AG159" s="2">
        <f>Table2[[#This Row],[ActualHomeScore]]-Table2[[#This Row],[PredictedHomeScore]]</f>
        <v>0</v>
      </c>
      <c r="AH159" s="2">
        <f t="shared" si="17"/>
        <v>3</v>
      </c>
      <c r="AI159" s="2">
        <f t="shared" si="18"/>
        <v>-8</v>
      </c>
      <c r="AJ159" s="2">
        <v>8</v>
      </c>
      <c r="AK159" s="3">
        <v>45958</v>
      </c>
      <c r="AL159" s="2">
        <f>IF(Table2[[#This Row],[GameIsOver]]=0,0,IF(Table2[[#This Row],[ActualWinner]]=Table2[[#This Row],[AwayTeam]], 1, 0))</f>
        <v>1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1-0-0</v>
      </c>
      <c r="AP159" s="2" t="str">
        <f>INDEX(Sheet5!$B$2:$AG$33, MATCH(Table2[[#This Row],[HomeTeam]],Sheet5!$A$2:$A$33, 0), MATCH(Table2[[#This Row],[AwayTeam]],Sheet5!$A$2:$A$33, 0))</f>
        <v>0-0-1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0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>
        <v>45958</v>
      </c>
      <c r="B160" s="3">
        <v>45958</v>
      </c>
      <c r="C160" s="5">
        <v>2025020158</v>
      </c>
      <c r="D160" s="2" t="s">
        <v>30</v>
      </c>
      <c r="E160" s="2" t="s">
        <v>12</v>
      </c>
      <c r="F160" s="2">
        <v>3</v>
      </c>
      <c r="G160" s="2">
        <v>5</v>
      </c>
      <c r="H160" s="2" t="str">
        <f t="shared" si="14"/>
        <v>STL</v>
      </c>
      <c r="I160" s="2" t="s">
        <v>718</v>
      </c>
      <c r="J160" s="2">
        <v>5</v>
      </c>
      <c r="K160" s="2">
        <v>2</v>
      </c>
      <c r="L160" s="2" t="str">
        <f t="shared" si="15"/>
        <v>DET</v>
      </c>
      <c r="M160" s="2" t="s">
        <v>718</v>
      </c>
      <c r="N160" s="2">
        <f>IF(ISBLANK(Table2[[#This Row],[ActualResult]]), 0, 1)</f>
        <v>1</v>
      </c>
      <c r="O160" s="2" t="str">
        <f>IF(ISBLANK(Table2[[#This Row],[ActualResult]]), "_", IF(Table2[[#This Row],[ActualWinner]]=Table2[[#This Row],[PredictedWinner]], "Y", "N"))</f>
        <v>N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0" s="2">
        <v>1</v>
      </c>
      <c r="S160" s="2" t="str">
        <f t="shared" si="16"/>
        <v>STL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 t="s">
        <v>761</v>
      </c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0" s="2">
        <f>Table2[[#This Row],[ActualAwayScore]]-Table2[[#This Row],[PredictedAwayScore]]</f>
        <v>2</v>
      </c>
      <c r="AG160" s="2">
        <f>Table2[[#This Row],[ActualHomeScore]]-Table2[[#This Row],[PredictedHomeScore]]</f>
        <v>-3</v>
      </c>
      <c r="AH160" s="2">
        <f t="shared" si="17"/>
        <v>3</v>
      </c>
      <c r="AI160" s="2">
        <f t="shared" si="18"/>
        <v>-8</v>
      </c>
      <c r="AJ160" s="2">
        <v>9</v>
      </c>
      <c r="AK160" s="3">
        <v>45958</v>
      </c>
      <c r="AL160" s="2">
        <f>IF(Table2[[#This Row],[GameIsOver]]=0,0,IF(Table2[[#This Row],[ActualWinner]]=Table2[[#This Row],[AwayTeam]], 1, 0))</f>
        <v>1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2-0-0</v>
      </c>
      <c r="AP160" s="2" t="str">
        <f>INDEX(Sheet5!$B$2:$AG$33, MATCH(Table2[[#This Row],[HomeTeam]],Sheet5!$A$2:$A$33, 0), MATCH(Table2[[#This Row],[AwayTeam]],Sheet5!$A$2:$A$33, 0))</f>
        <v>0-2-0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0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>
        <v>45958</v>
      </c>
      <c r="B161" s="3">
        <v>45958</v>
      </c>
      <c r="C161" s="5">
        <v>2025020159</v>
      </c>
      <c r="D161" s="2" t="s">
        <v>43</v>
      </c>
      <c r="E161" s="2" t="s">
        <v>33</v>
      </c>
      <c r="F161" s="2">
        <v>2</v>
      </c>
      <c r="G161" s="2">
        <v>5</v>
      </c>
      <c r="H161" s="2" t="str">
        <f t="shared" si="14"/>
        <v>DAL</v>
      </c>
      <c r="I161" s="2" t="s">
        <v>718</v>
      </c>
      <c r="J161" s="2">
        <v>0</v>
      </c>
      <c r="K161" s="2">
        <v>1</v>
      </c>
      <c r="L161" s="2" t="str">
        <f t="shared" si="15"/>
        <v>DAL</v>
      </c>
      <c r="M161" s="2" t="s">
        <v>718</v>
      </c>
      <c r="N161" s="2">
        <f>IF(ISBLANK(Table2[[#This Row],[ActualResult]]), 0, 1)</f>
        <v>1</v>
      </c>
      <c r="O161" s="2" t="str">
        <f>IF(ISBLANK(Table2[[#This Row],[ActualResult]]), "_", IF(Table2[[#This Row],[ActualWinner]]=Table2[[#This Row],[PredictedWinner]], "Y", "N"))</f>
        <v>Y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1" s="2">
        <v>1</v>
      </c>
      <c r="S161" s="2" t="str">
        <f t="shared" si="16"/>
        <v>WSH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 t="s">
        <v>761</v>
      </c>
      <c r="Y161" s="2"/>
      <c r="Z161" s="145">
        <f>IF(AND(Table2[[#This Row],[GameIsOver]]=1,Table2[[#This Row],[ActualHomeScore]]*Table2[[#This Row],[ActualAwayScore]]=0), 1,0)</f>
        <v>1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1" s="2">
        <f>Table2[[#This Row],[ActualAwayScore]]-Table2[[#This Row],[PredictedAwayScore]]</f>
        <v>-2</v>
      </c>
      <c r="AG161" s="2">
        <f>Table2[[#This Row],[ActualHomeScore]]-Table2[[#This Row],[PredictedHomeScore]]</f>
        <v>-4</v>
      </c>
      <c r="AH161" s="2">
        <f t="shared" si="17"/>
        <v>3</v>
      </c>
      <c r="AI161" s="2">
        <f t="shared" si="18"/>
        <v>-8</v>
      </c>
      <c r="AJ161" s="2">
        <v>11</v>
      </c>
      <c r="AK161" s="3">
        <v>45958</v>
      </c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1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0-1-0</v>
      </c>
      <c r="AP161" s="2" t="str">
        <f>INDEX(Sheet5!$B$2:$AG$33, MATCH(Table2[[#This Row],[HomeTeam]],Sheet5!$A$2:$A$33, 0), MATCH(Table2[[#This Row],[AwayTeam]],Sheet5!$A$2:$A$33, 0))</f>
        <v>1-0-0</v>
      </c>
      <c r="AQ161" s="2">
        <f>IF(Table2[[#This Row],[GameHasShutOut]], 1, 0)</f>
        <v>1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>
        <v>45958</v>
      </c>
      <c r="B162" s="3">
        <v>45958</v>
      </c>
      <c r="C162" s="5">
        <v>2025020160</v>
      </c>
      <c r="D162" s="2" t="s">
        <v>29</v>
      </c>
      <c r="E162" s="2" t="s">
        <v>16</v>
      </c>
      <c r="F162" s="2">
        <v>4</v>
      </c>
      <c r="G162" s="2">
        <v>3</v>
      </c>
      <c r="H162" s="2" t="str">
        <f t="shared" si="14"/>
        <v>OTT</v>
      </c>
      <c r="I162" s="2" t="s">
        <v>719</v>
      </c>
      <c r="J162" s="2">
        <v>3</v>
      </c>
      <c r="K162" s="2">
        <v>7</v>
      </c>
      <c r="L162" s="2" t="str">
        <f t="shared" si="15"/>
        <v>CHI</v>
      </c>
      <c r="M162" s="2" t="s">
        <v>718</v>
      </c>
      <c r="N162" s="2">
        <f>IF(ISBLANK(Table2[[#This Row],[ActualResult]]), 0, 1)</f>
        <v>1</v>
      </c>
      <c r="O162" s="2" t="str">
        <f>IF(ISBLANK(Table2[[#This Row],[ActualResult]]), "_", IF(Table2[[#This Row],[ActualWinner]]=Table2[[#This Row],[PredictedWinner]], "Y", "N"))</f>
        <v>N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2" s="2">
        <v>1</v>
      </c>
      <c r="S162" s="2" t="str">
        <f t="shared" si="16"/>
        <v>OTT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 t="s">
        <v>761</v>
      </c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2" s="2">
        <f>Table2[[#This Row],[ActualAwayScore]]-Table2[[#This Row],[PredictedAwayScore]]</f>
        <v>-1</v>
      </c>
      <c r="AG162" s="2">
        <f>Table2[[#This Row],[ActualHomeScore]]-Table2[[#This Row],[PredictedHomeScore]]</f>
        <v>4</v>
      </c>
      <c r="AH162" s="2">
        <f t="shared" si="17"/>
        <v>3</v>
      </c>
      <c r="AI162" s="2">
        <f t="shared" si="18"/>
        <v>-8</v>
      </c>
      <c r="AJ162" s="2">
        <v>10</v>
      </c>
      <c r="AK162" s="3">
        <v>45958</v>
      </c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1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0-1-0</v>
      </c>
      <c r="AP162" s="2" t="str">
        <f>INDEX(Sheet5!$B$2:$AG$33, MATCH(Table2[[#This Row],[HomeTeam]],Sheet5!$A$2:$A$33, 0), MATCH(Table2[[#This Row],[AwayTeam]],Sheet5!$A$2:$A$33, 0))</f>
        <v>1-0-0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1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0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>
        <v>45958</v>
      </c>
      <c r="B163" s="3">
        <v>45958</v>
      </c>
      <c r="C163" s="5">
        <v>2025020161</v>
      </c>
      <c r="D163" s="2" t="s">
        <v>31</v>
      </c>
      <c r="E163" s="2" t="s">
        <v>25</v>
      </c>
      <c r="F163" s="2">
        <v>5</v>
      </c>
      <c r="G163" s="2">
        <v>4</v>
      </c>
      <c r="H163" s="2" t="str">
        <f t="shared" si="14"/>
        <v>NJD</v>
      </c>
      <c r="I163" s="2" t="s">
        <v>718</v>
      </c>
      <c r="J163" s="2">
        <v>4</v>
      </c>
      <c r="K163" s="2">
        <v>8</v>
      </c>
      <c r="L163" s="2" t="str">
        <f t="shared" si="15"/>
        <v>COL</v>
      </c>
      <c r="M163" s="2" t="s">
        <v>718</v>
      </c>
      <c r="N163" s="2">
        <f>IF(ISBLANK(Table2[[#This Row],[ActualResult]]), 0, 1)</f>
        <v>1</v>
      </c>
      <c r="O163" s="2" t="str">
        <f>IF(ISBLANK(Table2[[#This Row],[ActualResult]]), "_", IF(Table2[[#This Row],[ActualWinner]]=Table2[[#This Row],[PredictedWinner]], "Y", "N"))</f>
        <v>N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3" s="2">
        <v>1</v>
      </c>
      <c r="S163" s="2" t="str">
        <f t="shared" si="16"/>
        <v>NJD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 t="s">
        <v>761</v>
      </c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3" s="2">
        <f>Table2[[#This Row],[ActualAwayScore]]-Table2[[#This Row],[PredictedAwayScore]]</f>
        <v>-1</v>
      </c>
      <c r="AG163" s="2">
        <f>Table2[[#This Row],[ActualHomeScore]]-Table2[[#This Row],[PredictedHomeScore]]</f>
        <v>4</v>
      </c>
      <c r="AH163" s="2">
        <f t="shared" si="17"/>
        <v>3</v>
      </c>
      <c r="AI163" s="2">
        <f t="shared" si="18"/>
        <v>-8</v>
      </c>
      <c r="AJ163" s="2">
        <v>12</v>
      </c>
      <c r="AK163" s="3">
        <v>45958</v>
      </c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1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1-1-0</v>
      </c>
      <c r="AP163" s="2" t="str">
        <f>INDEX(Sheet5!$B$2:$AG$33, MATCH(Table2[[#This Row],[HomeTeam]],Sheet5!$A$2:$A$33, 0), MATCH(Table2[[#This Row],[AwayTeam]],Sheet5!$A$2:$A$33, 0))</f>
        <v>1-0-1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1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0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>
        <v>45958</v>
      </c>
      <c r="B164" s="3">
        <v>45958</v>
      </c>
      <c r="C164" s="5">
        <v>2025020162</v>
      </c>
      <c r="D164" s="2" t="s">
        <v>14</v>
      </c>
      <c r="E164" s="2" t="s">
        <v>22</v>
      </c>
      <c r="F164" s="2">
        <v>4</v>
      </c>
      <c r="G164" s="2">
        <v>3</v>
      </c>
      <c r="H164" s="2" t="str">
        <f t="shared" si="14"/>
        <v>UTA</v>
      </c>
      <c r="I164" s="2" t="s">
        <v>718</v>
      </c>
      <c r="J164" s="2">
        <v>3</v>
      </c>
      <c r="K164" s="2">
        <v>6</v>
      </c>
      <c r="L164" s="2" t="str">
        <f t="shared" si="15"/>
        <v>EDM</v>
      </c>
      <c r="M164" s="2" t="s">
        <v>718</v>
      </c>
      <c r="N164" s="2">
        <f>IF(ISBLANK(Table2[[#This Row],[ActualResult]]), 0, 1)</f>
        <v>1</v>
      </c>
      <c r="O164" s="2" t="str">
        <f>IF(ISBLANK(Table2[[#This Row],[ActualResult]]), "_", IF(Table2[[#This Row],[ActualWinner]]=Table2[[#This Row],[PredictedWinner]], "Y", "N"))</f>
        <v>N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4" s="2">
        <v>1</v>
      </c>
      <c r="S164" s="2" t="str">
        <f t="shared" si="16"/>
        <v>UTA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 t="s">
        <v>761</v>
      </c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4" s="2">
        <f>Table2[[#This Row],[ActualAwayScore]]-Table2[[#This Row],[PredictedAwayScore]]</f>
        <v>-1</v>
      </c>
      <c r="AG164" s="2">
        <f>Table2[[#This Row],[ActualHomeScore]]-Table2[[#This Row],[PredictedHomeScore]]</f>
        <v>3</v>
      </c>
      <c r="AH164" s="2">
        <f t="shared" si="17"/>
        <v>3</v>
      </c>
      <c r="AI164" s="2">
        <f t="shared" si="18"/>
        <v>-8</v>
      </c>
      <c r="AJ164" s="2">
        <v>13</v>
      </c>
      <c r="AK164" s="3">
        <v>45958</v>
      </c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1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0-1-0</v>
      </c>
      <c r="AP164" s="2" t="str">
        <f>INDEX(Sheet5!$B$2:$AG$33, MATCH(Table2[[#This Row],[HomeTeam]],Sheet5!$A$2:$A$33, 0), MATCH(Table2[[#This Row],[AwayTeam]],Sheet5!$A$2:$A$33, 0))</f>
        <v>1-0-0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0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>
        <v>45958</v>
      </c>
      <c r="B165" s="3">
        <v>45958</v>
      </c>
      <c r="C165" s="5">
        <v>2025020163</v>
      </c>
      <c r="D165" s="2" t="s">
        <v>19</v>
      </c>
      <c r="E165" s="2" t="s">
        <v>24</v>
      </c>
      <c r="F165" s="2">
        <v>2</v>
      </c>
      <c r="G165" s="2">
        <v>4</v>
      </c>
      <c r="H165" s="2" t="str">
        <f t="shared" si="14"/>
        <v>VAN</v>
      </c>
      <c r="I165" s="2" t="s">
        <v>718</v>
      </c>
      <c r="J165" s="2">
        <v>2</v>
      </c>
      <c r="K165" s="2">
        <v>0</v>
      </c>
      <c r="L165" s="2" t="str">
        <f t="shared" si="15"/>
        <v>NYR</v>
      </c>
      <c r="M165" s="2" t="s">
        <v>718</v>
      </c>
      <c r="N165" s="2">
        <f>IF(ISBLANK(Table2[[#This Row],[ActualResult]]), 0, 1)</f>
        <v>1</v>
      </c>
      <c r="O165" s="2" t="str">
        <f>IF(ISBLANK(Table2[[#This Row],[ActualResult]]), "_", IF(Table2[[#This Row],[ActualWinner]]=Table2[[#This Row],[PredictedWinner]], "Y", "N"))</f>
        <v>N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5" s="2">
        <v>1</v>
      </c>
      <c r="S165" s="2" t="str">
        <f t="shared" si="16"/>
        <v>VAN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 t="s">
        <v>761</v>
      </c>
      <c r="Y165" s="2"/>
      <c r="Z165" s="145">
        <f>IF(AND(Table2[[#This Row],[GameIsOver]]=1,Table2[[#This Row],[ActualHomeScore]]*Table2[[#This Row],[ActualAwayScore]]=0), 1,0)</f>
        <v>1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-4</v>
      </c>
      <c r="AH165" s="2">
        <f t="shared" si="17"/>
        <v>3</v>
      </c>
      <c r="AI165" s="2">
        <f t="shared" si="18"/>
        <v>-8</v>
      </c>
      <c r="AJ165" s="2">
        <v>14</v>
      </c>
      <c r="AK165" s="3">
        <v>45958</v>
      </c>
      <c r="AL165" s="2">
        <f>IF(Table2[[#This Row],[GameIsOver]]=0,0,IF(Table2[[#This Row],[ActualWinner]]=Table2[[#This Row],[AwayTeam]], 1, 0))</f>
        <v>1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1-0-0</v>
      </c>
      <c r="AP165" s="2" t="str">
        <f>INDEX(Sheet5!$B$2:$AG$33, MATCH(Table2[[#This Row],[HomeTeam]],Sheet5!$A$2:$A$33, 0), MATCH(Table2[[#This Row],[AwayTeam]],Sheet5!$A$2:$A$33, 0))</f>
        <v>0-1-0</v>
      </c>
      <c r="AQ165" s="2">
        <f>IF(Table2[[#This Row],[GameHasShutOut]], 1, 0)</f>
        <v>1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>
        <v>45958</v>
      </c>
      <c r="B166" s="3">
        <v>45958</v>
      </c>
      <c r="C166" s="5">
        <v>2025020164</v>
      </c>
      <c r="D166" s="2" t="s">
        <v>18</v>
      </c>
      <c r="E166" s="2" t="s">
        <v>11</v>
      </c>
      <c r="F166" s="2">
        <v>3</v>
      </c>
      <c r="G166" s="2">
        <v>4</v>
      </c>
      <c r="H166" s="2" t="str">
        <f t="shared" si="14"/>
        <v>SEA</v>
      </c>
      <c r="I166" s="2" t="s">
        <v>720</v>
      </c>
      <c r="J166" s="2">
        <v>4</v>
      </c>
      <c r="K166" s="2">
        <v>3</v>
      </c>
      <c r="L166" s="2" t="str">
        <f t="shared" si="15"/>
        <v>MTL</v>
      </c>
      <c r="M166" s="2" t="s">
        <v>720</v>
      </c>
      <c r="N166" s="2">
        <f>IF(ISBLANK(Table2[[#This Row],[ActualResult]]), 0, 1)</f>
        <v>1</v>
      </c>
      <c r="O166" s="2" t="str">
        <f>IF(ISBLANK(Table2[[#This Row],[ActualResult]]), "_", IF(Table2[[#This Row],[ActualWinner]]=Table2[[#This Row],[PredictedWinner]], "Y", "N"))</f>
        <v>N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6" s="2">
        <v>1</v>
      </c>
      <c r="S166" s="2" t="str">
        <f t="shared" si="16"/>
        <v>SEA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 t="s">
        <v>761</v>
      </c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6" s="2">
        <f>Table2[[#This Row],[ActualAwayScore]]-Table2[[#This Row],[PredictedAwayScore]]</f>
        <v>1</v>
      </c>
      <c r="AG166" s="2">
        <f>Table2[[#This Row],[ActualHomeScore]]-Table2[[#This Row],[PredictedHomeScore]]</f>
        <v>-1</v>
      </c>
      <c r="AH166" s="2">
        <f t="shared" si="17"/>
        <v>3</v>
      </c>
      <c r="AI166" s="2">
        <f t="shared" si="18"/>
        <v>-8</v>
      </c>
      <c r="AJ166" s="2">
        <v>15</v>
      </c>
      <c r="AK166" s="3">
        <v>45958</v>
      </c>
      <c r="AL166" s="2">
        <f>IF(Table2[[#This Row],[GameIsOver]]=0,0,IF(Table2[[#This Row],[ActualWinner]]=Table2[[#This Row],[AwayTeam]], 1, 0))</f>
        <v>1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2-0-0</v>
      </c>
      <c r="AP166" s="2" t="str">
        <f>INDEX(Sheet5!$B$2:$AG$33, MATCH(Table2[[#This Row],[HomeTeam]],Sheet5!$A$2:$A$33, 0), MATCH(Table2[[#This Row],[AwayTeam]],Sheet5!$A$2:$A$33, 0))</f>
        <v>0-0-2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0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>
        <v>45958</v>
      </c>
      <c r="B167" s="141">
        <v>45958</v>
      </c>
      <c r="C167" s="142">
        <v>2025020165</v>
      </c>
      <c r="D167" s="143" t="s">
        <v>27</v>
      </c>
      <c r="E167" s="143" t="s">
        <v>37</v>
      </c>
      <c r="F167" s="143">
        <v>2</v>
      </c>
      <c r="G167" s="143">
        <v>5</v>
      </c>
      <c r="H167" s="143" t="str">
        <f t="shared" si="14"/>
        <v>SJS</v>
      </c>
      <c r="I167" s="143" t="s">
        <v>718</v>
      </c>
      <c r="J167" s="143">
        <v>4</v>
      </c>
      <c r="K167" s="143">
        <v>3</v>
      </c>
      <c r="L167" s="143" t="str">
        <f t="shared" si="15"/>
        <v>LAK</v>
      </c>
      <c r="M167" s="143" t="s">
        <v>718</v>
      </c>
      <c r="N167" s="143">
        <f>IF(ISBLANK(Table2[[#This Row],[ActualResult]]), 0, 1)</f>
        <v>1</v>
      </c>
      <c r="O167" s="143" t="str">
        <f>IF(ISBLANK(Table2[[#This Row],[ActualResult]]), "_", IF(Table2[[#This Row],[ActualWinner]]=Table2[[#This Row],[PredictedWinner]], "Y", "N"))</f>
        <v>N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7" s="143">
        <v>1</v>
      </c>
      <c r="S167" s="143" t="str">
        <f t="shared" si="16"/>
        <v>SJS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 t="s">
        <v>761</v>
      </c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7" s="143">
        <f>Table2[[#This Row],[ActualAwayScore]]-Table2[[#This Row],[PredictedAwayScore]]</f>
        <v>2</v>
      </c>
      <c r="AG167" s="143">
        <f>Table2[[#This Row],[ActualHomeScore]]-Table2[[#This Row],[PredictedHomeScore]]</f>
        <v>-2</v>
      </c>
      <c r="AH167" s="143">
        <f t="shared" si="17"/>
        <v>3</v>
      </c>
      <c r="AI167" s="143">
        <f t="shared" si="18"/>
        <v>-8</v>
      </c>
      <c r="AJ167" s="143">
        <v>16</v>
      </c>
      <c r="AK167" s="141">
        <v>45958</v>
      </c>
      <c r="AL167" s="143">
        <f>IF(Table2[[#This Row],[GameIsOver]]=0,0,IF(Table2[[#This Row],[ActualWinner]]=Table2[[#This Row],[AwayTeam]], 1, 0))</f>
        <v>1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1-0-0</v>
      </c>
      <c r="AP167" s="143" t="str">
        <f>INDEX(Sheet5!$B$2:$AG$33, MATCH(Table2[[#This Row],[HomeTeam]],Sheet5!$A$2:$A$33, 0), MATCH(Table2[[#This Row],[AwayTeam]],Sheet5!$A$2:$A$33, 0))</f>
        <v>0-1-0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0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51">
        <v>45959</v>
      </c>
      <c r="B168" s="151">
        <v>45959</v>
      </c>
      <c r="C168" s="152">
        <v>2025020166</v>
      </c>
      <c r="D168" s="153" t="s">
        <v>17</v>
      </c>
      <c r="E168" s="153" t="s">
        <v>35</v>
      </c>
      <c r="F168" s="153">
        <v>4</v>
      </c>
      <c r="G168" s="153">
        <v>3</v>
      </c>
      <c r="H168" s="153" t="str">
        <f t="shared" si="14"/>
        <v>TOR</v>
      </c>
      <c r="I168" s="153" t="s">
        <v>718</v>
      </c>
      <c r="J168" s="153">
        <v>3</v>
      </c>
      <c r="K168" s="153">
        <v>6</v>
      </c>
      <c r="L168" s="153" t="str">
        <f t="shared" si="15"/>
        <v>CBJ</v>
      </c>
      <c r="M168" s="153" t="s">
        <v>718</v>
      </c>
      <c r="N168" s="153">
        <f>IF(ISBLANK(Table2[[#This Row],[ActualResult]]), 0, 1)</f>
        <v>1</v>
      </c>
      <c r="O168" s="153" t="str">
        <f>IF(ISBLANK(Table2[[#This Row],[ActualResult]]), "_", IF(Table2[[#This Row],[ActualWinner]]=Table2[[#This Row],[PredictedWinner]], "Y", "N"))</f>
        <v>N</v>
      </c>
      <c r="P168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8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8" s="153">
        <v>0</v>
      </c>
      <c r="S168" s="153" t="str">
        <f t="shared" si="16"/>
        <v>TOR</v>
      </c>
      <c r="T168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153">
        <f>IF(Table2[[#This Row],[InterConf]]=1,IF(Table2[[#This Row],[InterDiv]]=0, 1, 0), 0)</f>
        <v>1</v>
      </c>
      <c r="W168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153"/>
      <c r="Y168" s="153"/>
      <c r="Z168" s="154">
        <f>IF(AND(Table2[[#This Row],[GameIsOver]]=1,Table2[[#This Row],[ActualHomeScore]]*Table2[[#This Row],[ActualAwayScore]]=0), 1,0)</f>
        <v>0</v>
      </c>
      <c r="AA168" s="154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54">
        <f>IF(Table2[[#This Row],[GameIsOver]]= 0, 0, IF(Table2[[#This Row],[ActualWinner]]=Table2[[#This Row],[HomeTeam]], 2, IF(OR(Table2[[#This Row],[ActualResult]]="OT", Table2[[#This Row],[ActualResult]]="SO"), 1, 0)))</f>
        <v>2</v>
      </c>
      <c r="AC168" s="155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153">
        <f>Table2[[#This Row],[ActualAwayScore]]-Table2[[#This Row],[PredictedAwayScore]]</f>
        <v>-1</v>
      </c>
      <c r="AG168" s="153">
        <f>Table2[[#This Row],[ActualHomeScore]]-Table2[[#This Row],[PredictedHomeScore]]</f>
        <v>3</v>
      </c>
      <c r="AH168" s="153">
        <f t="shared" si="17"/>
        <v>-1</v>
      </c>
      <c r="AI168" s="153">
        <f t="shared" si="18"/>
        <v>3</v>
      </c>
      <c r="AJ168" s="153"/>
      <c r="AK168" s="153"/>
      <c r="AL168" s="153">
        <f>IF(Table2[[#This Row],[GameIsOver]]=0,0,IF(Table2[[#This Row],[ActualWinner]]=Table2[[#This Row],[AwayTeam]], 1, 0))</f>
        <v>0</v>
      </c>
      <c r="AM168" s="153">
        <f>IF(Table2[[#This Row],[GameIsOver]]=0,0,IF(Table2[[#This Row],[ActualWinner]]=Table2[[#This Row],[HomeTeam]], 1, 0))</f>
        <v>1</v>
      </c>
      <c r="AN168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153" t="str">
        <f>INDEX(Sheet5!$B$2:$AG$33, MATCH(Table2[[#This Row],[AwayTeam]],Sheet5!$A$2:$A$33, 0), MATCH(Table2[[#This Row],[HomeTeam]],Sheet5!$A$2:$A$33, 0))</f>
        <v>0-1-0</v>
      </c>
      <c r="AP168" s="153" t="str">
        <f>INDEX(Sheet5!$B$2:$AG$33, MATCH(Table2[[#This Row],[HomeTeam]],Sheet5!$A$2:$A$33, 0), MATCH(Table2[[#This Row],[AwayTeam]],Sheet5!$A$2:$A$33, 0))</f>
        <v>1-0-0</v>
      </c>
      <c r="AQ168" s="153">
        <f>IF(Table2[[#This Row],[GameHasShutOut]], 1, 0)</f>
        <v>0</v>
      </c>
      <c r="AR168" s="153">
        <f>IF(Table2[[#This Row],[ActualAwayScore]] + Table2[[#This Row],[ActualHomeScore]] &gt;= 10, 1, 0)</f>
        <v>0</v>
      </c>
      <c r="AS168" s="153">
        <f>IF(ABS(Table2[[#This Row],[ActualAwayScore]]-Table2[[#This Row],[ActualHomeScore]])&gt;=5, 1, 0)</f>
        <v>0</v>
      </c>
      <c r="AT168" s="153">
        <f>IF(Table2[[#This Row],[ActualAwayScore]] + Table2[[#This Row],[ActualHomeScore]] &lt;= 3, 1, 0)</f>
        <v>0</v>
      </c>
      <c r="AU168" s="15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153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>
        <v>45960</v>
      </c>
      <c r="B169" s="3">
        <v>45960</v>
      </c>
      <c r="C169" s="5">
        <v>2025020167</v>
      </c>
      <c r="D169" s="2" t="s">
        <v>28</v>
      </c>
      <c r="E169" s="2" t="s">
        <v>15</v>
      </c>
      <c r="F169" s="2">
        <v>2</v>
      </c>
      <c r="G169" s="2">
        <v>4</v>
      </c>
      <c r="H169" s="2" t="str">
        <f t="shared" si="14"/>
        <v>BOS</v>
      </c>
      <c r="I169" s="2" t="s">
        <v>718</v>
      </c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-2</v>
      </c>
      <c r="AG169" s="2">
        <f>Table2[[#This Row],[ActualHomeScore]]-Table2[[#This Row],[PredictedHomeScore]]</f>
        <v>-4</v>
      </c>
      <c r="AH169" s="2">
        <f t="shared" si="17"/>
        <v>-30</v>
      </c>
      <c r="AI169" s="2">
        <f t="shared" si="18"/>
        <v>-34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>
        <v>45960</v>
      </c>
      <c r="B170" s="3">
        <v>45960</v>
      </c>
      <c r="C170" s="5">
        <v>2025020168</v>
      </c>
      <c r="D170" s="2" t="s">
        <v>23</v>
      </c>
      <c r="E170" s="2" t="s">
        <v>29</v>
      </c>
      <c r="F170" s="2">
        <v>4</v>
      </c>
      <c r="G170" s="2">
        <v>3</v>
      </c>
      <c r="H170" s="2" t="str">
        <f t="shared" si="14"/>
        <v>CGY</v>
      </c>
      <c r="I170" s="2" t="s">
        <v>719</v>
      </c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-4</v>
      </c>
      <c r="AG170" s="2">
        <f>Table2[[#This Row],[ActualHomeScore]]-Table2[[#This Row],[PredictedHomeScore]]</f>
        <v>-3</v>
      </c>
      <c r="AH170" s="2">
        <f t="shared" si="17"/>
        <v>-30</v>
      </c>
      <c r="AI170" s="2">
        <f t="shared" si="18"/>
        <v>-34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>
        <v>45960</v>
      </c>
      <c r="B171" s="3">
        <v>45960</v>
      </c>
      <c r="C171" s="5">
        <v>2025020169</v>
      </c>
      <c r="D171" s="2" t="s">
        <v>33</v>
      </c>
      <c r="E171" s="2" t="s">
        <v>40</v>
      </c>
      <c r="F171" s="2">
        <v>1</v>
      </c>
      <c r="G171" s="2">
        <v>2</v>
      </c>
      <c r="H171" s="2" t="str">
        <f t="shared" si="14"/>
        <v>TBL</v>
      </c>
      <c r="I171" s="2" t="s">
        <v>720</v>
      </c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-1</v>
      </c>
      <c r="AG171" s="2">
        <f>Table2[[#This Row],[ActualHomeScore]]-Table2[[#This Row],[PredictedHomeScore]]</f>
        <v>-2</v>
      </c>
      <c r="AH171" s="2">
        <f t="shared" si="17"/>
        <v>-30</v>
      </c>
      <c r="AI171" s="2">
        <f t="shared" si="18"/>
        <v>-34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>
        <v>45960</v>
      </c>
      <c r="B172" s="3">
        <v>45960</v>
      </c>
      <c r="C172" s="5">
        <v>2025020170</v>
      </c>
      <c r="D172" s="2" t="s">
        <v>34</v>
      </c>
      <c r="E172" s="2" t="s">
        <v>42</v>
      </c>
      <c r="F172" s="2">
        <v>2</v>
      </c>
      <c r="G172" s="2">
        <v>4</v>
      </c>
      <c r="H172" s="2" t="str">
        <f t="shared" si="14"/>
        <v>PHI</v>
      </c>
      <c r="I172" s="2" t="s">
        <v>718</v>
      </c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-2</v>
      </c>
      <c r="AG172" s="2">
        <f>Table2[[#This Row],[ActualHomeScore]]-Table2[[#This Row],[PredictedHomeScore]]</f>
        <v>-4</v>
      </c>
      <c r="AH172" s="2">
        <f t="shared" si="17"/>
        <v>-30</v>
      </c>
      <c r="AI172" s="2">
        <f t="shared" si="18"/>
        <v>-34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>
        <v>45960</v>
      </c>
      <c r="B173" s="3">
        <v>45960</v>
      </c>
      <c r="C173" s="5">
        <v>2025020171</v>
      </c>
      <c r="D173" s="2" t="s">
        <v>32</v>
      </c>
      <c r="E173" s="2" t="s">
        <v>41</v>
      </c>
      <c r="F173" s="2">
        <v>2</v>
      </c>
      <c r="G173" s="2">
        <v>3</v>
      </c>
      <c r="H173" s="2" t="str">
        <f t="shared" si="14"/>
        <v>CAR</v>
      </c>
      <c r="I173" s="2" t="s">
        <v>718</v>
      </c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-2</v>
      </c>
      <c r="AG173" s="2">
        <f>Table2[[#This Row],[ActualHomeScore]]-Table2[[#This Row],[PredictedHomeScore]]</f>
        <v>-3</v>
      </c>
      <c r="AH173" s="2">
        <f t="shared" si="17"/>
        <v>-30</v>
      </c>
      <c r="AI173" s="2">
        <f t="shared" si="18"/>
        <v>-34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>
        <v>45960</v>
      </c>
      <c r="B174" s="3">
        <v>45960</v>
      </c>
      <c r="C174" s="5">
        <v>2025020172</v>
      </c>
      <c r="D174" s="2" t="s">
        <v>24</v>
      </c>
      <c r="E174" s="2" t="s">
        <v>12</v>
      </c>
      <c r="F174" s="2">
        <v>4</v>
      </c>
      <c r="G174" s="2">
        <v>3</v>
      </c>
      <c r="H174" s="2" t="str">
        <f t="shared" si="14"/>
        <v>VAN</v>
      </c>
      <c r="I174" s="2" t="s">
        <v>720</v>
      </c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4" s="2">
        <f>Table2[[#This Row],[ActualAwayScore]]-Table2[[#This Row],[PredictedAwayScore]]</f>
        <v>-4</v>
      </c>
      <c r="AG174" s="2">
        <f>Table2[[#This Row],[ActualHomeScore]]-Table2[[#This Row],[PredictedHomeScore]]</f>
        <v>-3</v>
      </c>
      <c r="AH174" s="2">
        <f t="shared" si="17"/>
        <v>-30</v>
      </c>
      <c r="AI174" s="2">
        <f t="shared" si="18"/>
        <v>-34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>
        <v>45960</v>
      </c>
      <c r="B175" s="3">
        <v>45960</v>
      </c>
      <c r="C175" s="5">
        <v>2025020173</v>
      </c>
      <c r="D175" s="2" t="s">
        <v>20</v>
      </c>
      <c r="E175" s="2" t="s">
        <v>36</v>
      </c>
      <c r="F175" s="2">
        <v>3</v>
      </c>
      <c r="G175" s="2">
        <v>4</v>
      </c>
      <c r="H175" s="2" t="str">
        <f t="shared" si="14"/>
        <v>MIN</v>
      </c>
      <c r="I175" s="2" t="s">
        <v>719</v>
      </c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5" s="2">
        <f>Table2[[#This Row],[ActualAwayScore]]-Table2[[#This Row],[PredictedAwayScore]]</f>
        <v>-3</v>
      </c>
      <c r="AG175" s="2">
        <f>Table2[[#This Row],[ActualHomeScore]]-Table2[[#This Row],[PredictedHomeScore]]</f>
        <v>-4</v>
      </c>
      <c r="AH175" s="2">
        <f t="shared" si="17"/>
        <v>-30</v>
      </c>
      <c r="AI175" s="2">
        <f t="shared" si="18"/>
        <v>-34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>
        <v>45960</v>
      </c>
      <c r="B176" s="3">
        <v>45960</v>
      </c>
      <c r="C176" s="5">
        <v>2025020174</v>
      </c>
      <c r="D176" s="2" t="s">
        <v>16</v>
      </c>
      <c r="E176" s="2" t="s">
        <v>21</v>
      </c>
      <c r="F176" s="2">
        <v>2</v>
      </c>
      <c r="G176" s="2">
        <v>3</v>
      </c>
      <c r="H176" s="2" t="str">
        <f t="shared" si="14"/>
        <v>WPG</v>
      </c>
      <c r="I176" s="2" t="s">
        <v>718</v>
      </c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6" s="2">
        <f>Table2[[#This Row],[ActualAwayScore]]-Table2[[#This Row],[PredictedAwayScore]]</f>
        <v>-2</v>
      </c>
      <c r="AG176" s="2">
        <f>Table2[[#This Row],[ActualHomeScore]]-Table2[[#This Row],[PredictedHomeScore]]</f>
        <v>-3</v>
      </c>
      <c r="AH176" s="2">
        <f t="shared" si="17"/>
        <v>-30</v>
      </c>
      <c r="AI176" s="2">
        <f t="shared" si="18"/>
        <v>-34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>
        <v>45960</v>
      </c>
      <c r="B177" s="3">
        <v>45960</v>
      </c>
      <c r="C177" s="5">
        <v>2025020175</v>
      </c>
      <c r="D177" s="2" t="s">
        <v>19</v>
      </c>
      <c r="E177" s="2" t="s">
        <v>22</v>
      </c>
      <c r="F177" s="2">
        <v>2</v>
      </c>
      <c r="G177" s="2">
        <v>4</v>
      </c>
      <c r="H177" s="2" t="str">
        <f t="shared" si="14"/>
        <v>EDM</v>
      </c>
      <c r="I177" s="2" t="s">
        <v>718</v>
      </c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7" s="2">
        <f>Table2[[#This Row],[ActualAwayScore]]-Table2[[#This Row],[PredictedAwayScore]]</f>
        <v>-2</v>
      </c>
      <c r="AG177" s="2">
        <f>Table2[[#This Row],[ActualHomeScore]]-Table2[[#This Row],[PredictedHomeScore]]</f>
        <v>-4</v>
      </c>
      <c r="AH177" s="2">
        <f t="shared" si="17"/>
        <v>-30</v>
      </c>
      <c r="AI177" s="2">
        <f t="shared" si="18"/>
        <v>-34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>
        <v>45960</v>
      </c>
      <c r="B178" s="3">
        <v>45960</v>
      </c>
      <c r="C178" s="5">
        <v>2025020176</v>
      </c>
      <c r="D178" s="2" t="s">
        <v>31</v>
      </c>
      <c r="E178" s="2" t="s">
        <v>37</v>
      </c>
      <c r="F178" s="2">
        <v>5</v>
      </c>
      <c r="G178" s="2">
        <v>2</v>
      </c>
      <c r="H178" s="2" t="str">
        <f t="shared" si="14"/>
        <v>NJD</v>
      </c>
      <c r="I178" s="2" t="s">
        <v>718</v>
      </c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8" s="2">
        <f>Table2[[#This Row],[ActualAwayScore]]-Table2[[#This Row],[PredictedAwayScore]]</f>
        <v>-5</v>
      </c>
      <c r="AG178" s="2">
        <f>Table2[[#This Row],[ActualHomeScore]]-Table2[[#This Row],[PredictedHomeScore]]</f>
        <v>-2</v>
      </c>
      <c r="AH178" s="2">
        <f t="shared" si="17"/>
        <v>-30</v>
      </c>
      <c r="AI178" s="2">
        <f t="shared" si="18"/>
        <v>-34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141">
        <v>45960</v>
      </c>
      <c r="B179" s="141">
        <v>45960</v>
      </c>
      <c r="C179" s="142">
        <v>2025020177</v>
      </c>
      <c r="D179" s="143" t="s">
        <v>30</v>
      </c>
      <c r="E179" s="143" t="s">
        <v>27</v>
      </c>
      <c r="F179" s="143">
        <v>3</v>
      </c>
      <c r="G179" s="143">
        <v>2</v>
      </c>
      <c r="H179" s="143" t="str">
        <f t="shared" si="14"/>
        <v>DET</v>
      </c>
      <c r="I179" s="143" t="s">
        <v>720</v>
      </c>
      <c r="J179" s="143"/>
      <c r="K179" s="143"/>
      <c r="L179" s="143" t="str">
        <f t="shared" si="15"/>
        <v>_</v>
      </c>
      <c r="M179" s="143"/>
      <c r="N179" s="143">
        <f>IF(ISBLANK(Table2[[#This Row],[ActualResult]]), 0, 1)</f>
        <v>0</v>
      </c>
      <c r="O179" s="143" t="str">
        <f>IF(ISBLANK(Table2[[#This Row],[ActualResult]]), "_", IF(Table2[[#This Row],[ActualWinner]]=Table2[[#This Row],[PredictedWinner]], "Y", "N"))</f>
        <v>_</v>
      </c>
      <c r="P17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143"/>
      <c r="S179" s="143" t="str">
        <f t="shared" si="16"/>
        <v>_</v>
      </c>
      <c r="T17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143">
        <f>IF(Table2[[#This Row],[InterConf]]=1,IF(Table2[[#This Row],[InterDiv]]=0, 1, 0), 0)</f>
        <v>0</v>
      </c>
      <c r="W17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143"/>
      <c r="Y179" s="143"/>
      <c r="Z179" s="149">
        <f>IF(AND(Table2[[#This Row],[GameIsOver]]=1,Table2[[#This Row],[ActualHomeScore]]*Table2[[#This Row],[ActualAwayScore]]=0), 1,0)</f>
        <v>0</v>
      </c>
      <c r="AA17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9" s="143">
        <f>Table2[[#This Row],[ActualAwayScore]]-Table2[[#This Row],[PredictedAwayScore]]</f>
        <v>-3</v>
      </c>
      <c r="AG179" s="143">
        <f>Table2[[#This Row],[ActualHomeScore]]-Table2[[#This Row],[PredictedHomeScore]]</f>
        <v>-2</v>
      </c>
      <c r="AH179" s="143">
        <f t="shared" si="17"/>
        <v>-30</v>
      </c>
      <c r="AI179" s="143">
        <f t="shared" si="18"/>
        <v>-34</v>
      </c>
      <c r="AJ179" s="143"/>
      <c r="AK179" s="143"/>
      <c r="AL179" s="143">
        <f>IF(Table2[[#This Row],[GameIsOver]]=0,0,IF(Table2[[#This Row],[ActualWinner]]=Table2[[#This Row],[AwayTeam]], 1, 0))</f>
        <v>0</v>
      </c>
      <c r="AM179" s="143">
        <f>IF(Table2[[#This Row],[GameIsOver]]=0,0,IF(Table2[[#This Row],[ActualWinner]]=Table2[[#This Row],[HomeTeam]], 1, 0))</f>
        <v>0</v>
      </c>
      <c r="AN17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143" t="str">
        <f>INDEX(Sheet5!$B$2:$AG$33, MATCH(Table2[[#This Row],[AwayTeam]],Sheet5!$A$2:$A$33, 0), MATCH(Table2[[#This Row],[HomeTeam]],Sheet5!$A$2:$A$33, 0))</f>
        <v>0-0-0</v>
      </c>
      <c r="AP179" s="143" t="str">
        <f>INDEX(Sheet5!$B$2:$AG$33, MATCH(Table2[[#This Row],[HomeTeam]],Sheet5!$A$2:$A$33, 0), MATCH(Table2[[#This Row],[AwayTeam]],Sheet5!$A$2:$A$33, 0))</f>
        <v>0-0-0</v>
      </c>
      <c r="AQ179" s="143">
        <f>IF(Table2[[#This Row],[GameHasShutOut]], 1, 0)</f>
        <v>0</v>
      </c>
      <c r="AR179" s="143">
        <f>IF(Table2[[#This Row],[ActualAwayScore]] + Table2[[#This Row],[ActualHomeScore]] &gt;= 10, 1, 0)</f>
        <v>0</v>
      </c>
      <c r="AS179" s="143">
        <f>IF(ABS(Table2[[#This Row],[ActualAwayScore]]-Table2[[#This Row],[ActualHomeScore]])&gt;=5, 1, 0)</f>
        <v>0</v>
      </c>
      <c r="AT179" s="143">
        <f>IF(Table2[[#This Row],[ActualAwayScore]] + Table2[[#This Row],[ActualHomeScore]] &lt;= 3, 1, 0)</f>
        <v>1</v>
      </c>
      <c r="AU179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141"/>
      <c r="B182" s="141">
        <v>45962</v>
      </c>
      <c r="C182" s="142">
        <v>2025020180</v>
      </c>
      <c r="D182" s="143" t="s">
        <v>30</v>
      </c>
      <c r="E182" s="143" t="s">
        <v>44</v>
      </c>
      <c r="F182" s="143"/>
      <c r="G182" s="143"/>
      <c r="H182" s="143" t="str">
        <f t="shared" si="14"/>
        <v>_</v>
      </c>
      <c r="I182" s="143"/>
      <c r="J182" s="143"/>
      <c r="K182" s="143"/>
      <c r="L182" s="143" t="str">
        <f t="shared" si="15"/>
        <v>_</v>
      </c>
      <c r="M182" s="143"/>
      <c r="N182" s="143">
        <f>IF(ISBLANK(Table2[[#This Row],[ActualResult]]), 0, 1)</f>
        <v>0</v>
      </c>
      <c r="O182" s="143" t="str">
        <f>IF(ISBLANK(Table2[[#This Row],[ActualResult]]), "_", IF(Table2[[#This Row],[ActualWinner]]=Table2[[#This Row],[PredictedWinner]], "Y", "N"))</f>
        <v>_</v>
      </c>
      <c r="P18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143"/>
      <c r="S182" s="143" t="str">
        <f t="shared" si="16"/>
        <v>_</v>
      </c>
      <c r="T18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143">
        <f>IF(Table2[[#This Row],[InterConf]]=1,IF(Table2[[#This Row],[InterDiv]]=0, 1, 0), 0)</f>
        <v>0</v>
      </c>
      <c r="W18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143"/>
      <c r="Y182" s="143"/>
      <c r="Z182" s="149">
        <f>IF(AND(Table2[[#This Row],[GameIsOver]]=1,Table2[[#This Row],[ActualHomeScore]]*Table2[[#This Row],[ActualAwayScore]]=0), 1,0)</f>
        <v>0</v>
      </c>
      <c r="AA18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143">
        <f>Table2[[#This Row],[ActualAwayScore]]-Table2[[#This Row],[PredictedAwayScore]]</f>
        <v>0</v>
      </c>
      <c r="AG182" s="143">
        <f>Table2[[#This Row],[ActualHomeScore]]-Table2[[#This Row],[PredictedHomeScore]]</f>
        <v>0</v>
      </c>
      <c r="AH182" s="143">
        <f t="shared" si="17"/>
        <v>0</v>
      </c>
      <c r="AI182" s="143">
        <f t="shared" si="18"/>
        <v>0</v>
      </c>
      <c r="AJ182" s="143"/>
      <c r="AK182" s="143"/>
      <c r="AL182" s="143">
        <f>IF(Table2[[#This Row],[GameIsOver]]=0,0,IF(Table2[[#This Row],[ActualWinner]]=Table2[[#This Row],[AwayTeam]], 1, 0))</f>
        <v>0</v>
      </c>
      <c r="AM182" s="143">
        <f>IF(Table2[[#This Row],[GameIsOver]]=0,0,IF(Table2[[#This Row],[ActualWinner]]=Table2[[#This Row],[HomeTeam]], 1, 0))</f>
        <v>0</v>
      </c>
      <c r="AN18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143" t="str">
        <f>INDEX(Sheet5!$B$2:$AG$33, MATCH(Table2[[#This Row],[AwayTeam]],Sheet5!$A$2:$A$33, 0), MATCH(Table2[[#This Row],[HomeTeam]],Sheet5!$A$2:$A$33, 0))</f>
        <v>0-0-0</v>
      </c>
      <c r="AP182" s="143" t="str">
        <f>INDEX(Sheet5!$B$2:$AG$33, MATCH(Table2[[#This Row],[HomeTeam]],Sheet5!$A$2:$A$33, 0), MATCH(Table2[[#This Row],[AwayTeam]],Sheet5!$A$2:$A$33, 0))</f>
        <v>0-0-0</v>
      </c>
      <c r="AQ182" s="143">
        <f>IF(Table2[[#This Row],[GameHasShutOut]], 1, 0)</f>
        <v>0</v>
      </c>
      <c r="AR182" s="143">
        <f>IF(Table2[[#This Row],[ActualAwayScore]] + Table2[[#This Row],[ActualHomeScore]] &gt;= 10, 1, 0)</f>
        <v>0</v>
      </c>
      <c r="AS182" s="143">
        <f>IF(ABS(Table2[[#This Row],[ActualAwayScore]]-Table2[[#This Row],[ActualHomeScore]])&gt;=5, 1, 0)</f>
        <v>0</v>
      </c>
      <c r="AT182" s="143">
        <f>IF(Table2[[#This Row],[ActualAwayScore]] + Table2[[#This Row],[ActualHomeScore]] &lt;= 3, 1, 0)</f>
        <v>1</v>
      </c>
      <c r="AU182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141"/>
      <c r="B195" s="141">
        <v>45963</v>
      </c>
      <c r="C195" s="142">
        <v>2025020193</v>
      </c>
      <c r="D195" s="143" t="s">
        <v>19</v>
      </c>
      <c r="E195" s="143" t="s">
        <v>11</v>
      </c>
      <c r="F195" s="143"/>
      <c r="G195" s="143"/>
      <c r="H195" s="143" t="str">
        <f t="shared" ref="H195:H258" si="19">IF(AND(ISBLANK($F195),ISBLANK($G195)),"_",IF($F195&gt;$G195,$D195,$E195))</f>
        <v>_</v>
      </c>
      <c r="I195" s="143"/>
      <c r="J195" s="143"/>
      <c r="K195" s="143"/>
      <c r="L195" s="143" t="str">
        <f t="shared" ref="L195:L258" si="20">IF(OR($J195=$K195,AND(ISBLANK($J195),ISBLANK($K195))),"_",IF($J195&gt;$K195,$D195,$E195))</f>
        <v>_</v>
      </c>
      <c r="M195" s="143"/>
      <c r="N195" s="143">
        <f>IF(ISBLANK(Table2[[#This Row],[ActualResult]]), 0, 1)</f>
        <v>0</v>
      </c>
      <c r="O195" s="143" t="str">
        <f>IF(ISBLANK(Table2[[#This Row],[ActualResult]]), "_", IF(Table2[[#This Row],[ActualWinner]]=Table2[[#This Row],[PredictedWinner]], "Y", "N"))</f>
        <v>_</v>
      </c>
      <c r="P19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143"/>
      <c r="S195" s="143" t="str">
        <f t="shared" ref="S195:S258" si="21">IF($L195="_", "_", IF($L195=$D195,$E195,$D195))</f>
        <v>_</v>
      </c>
      <c r="T19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143">
        <f>IF(Table2[[#This Row],[InterConf]]=1,IF(Table2[[#This Row],[InterDiv]]=0, 1, 0), 0)</f>
        <v>0</v>
      </c>
      <c r="W19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143"/>
      <c r="Y195" s="143"/>
      <c r="Z195" s="149">
        <f>IF(AND(Table2[[#This Row],[GameIsOver]]=1,Table2[[#This Row],[ActualHomeScore]]*Table2[[#This Row],[ActualAwayScore]]=0), 1,0)</f>
        <v>0</v>
      </c>
      <c r="AA195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143">
        <f>Table2[[#This Row],[ActualAwayScore]]-Table2[[#This Row],[PredictedAwayScore]]</f>
        <v>0</v>
      </c>
      <c r="AG195" s="143">
        <f>Table2[[#This Row],[ActualHomeScore]]-Table2[[#This Row],[PredictedHomeScore]]</f>
        <v>0</v>
      </c>
      <c r="AH195" s="143">
        <f t="shared" ref="AH195:AH258" si="22">SUMIF($B$3:$B$1315, $B195, $AF$3:$AF$1315)</f>
        <v>0</v>
      </c>
      <c r="AI195" s="143">
        <f t="shared" ref="AI195:AI258" si="23">SUMIF($B$3:$B$1315, $B195, $AG$3:$AG$1315)</f>
        <v>0</v>
      </c>
      <c r="AJ195" s="143"/>
      <c r="AK195" s="143"/>
      <c r="AL195" s="143">
        <f>IF(Table2[[#This Row],[GameIsOver]]=0,0,IF(Table2[[#This Row],[ActualWinner]]=Table2[[#This Row],[AwayTeam]], 1, 0))</f>
        <v>0</v>
      </c>
      <c r="AM195" s="143">
        <f>IF(Table2[[#This Row],[GameIsOver]]=0,0,IF(Table2[[#This Row],[ActualWinner]]=Table2[[#This Row],[HomeTeam]], 1, 0))</f>
        <v>0</v>
      </c>
      <c r="AN195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143" t="str">
        <f>INDEX(Sheet5!$B$2:$AG$33, MATCH(Table2[[#This Row],[AwayTeam]],Sheet5!$A$2:$A$33, 0), MATCH(Table2[[#This Row],[HomeTeam]],Sheet5!$A$2:$A$33, 0))</f>
        <v>0-0-0</v>
      </c>
      <c r="AP195" s="143" t="str">
        <f>INDEX(Sheet5!$B$2:$AG$33, MATCH(Table2[[#This Row],[HomeTeam]],Sheet5!$A$2:$A$33, 0), MATCH(Table2[[#This Row],[AwayTeam]],Sheet5!$A$2:$A$33, 0))</f>
        <v>0-0-0</v>
      </c>
      <c r="AQ195" s="143">
        <f>IF(Table2[[#This Row],[GameHasShutOut]], 1, 0)</f>
        <v>0</v>
      </c>
      <c r="AR195" s="143">
        <f>IF(Table2[[#This Row],[ActualAwayScore]] + Table2[[#This Row],[ActualHomeScore]] &gt;= 10, 1, 0)</f>
        <v>0</v>
      </c>
      <c r="AS195" s="143">
        <f>IF(ABS(Table2[[#This Row],[ActualAwayScore]]-Table2[[#This Row],[ActualHomeScore]])&gt;=5, 1, 0)</f>
        <v>0</v>
      </c>
      <c r="AT195" s="143">
        <f>IF(Table2[[#This Row],[ActualAwayScore]] + Table2[[#This Row],[ActualHomeScore]] &lt;= 3, 1, 0)</f>
        <v>1</v>
      </c>
      <c r="AU195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141"/>
      <c r="B200" s="141">
        <v>45964</v>
      </c>
      <c r="C200" s="142">
        <v>2025020198</v>
      </c>
      <c r="D200" s="143" t="s">
        <v>30</v>
      </c>
      <c r="E200" s="143" t="s">
        <v>37</v>
      </c>
      <c r="F200" s="143"/>
      <c r="G200" s="143"/>
      <c r="H200" s="143" t="str">
        <f t="shared" si="19"/>
        <v>_</v>
      </c>
      <c r="I200" s="143"/>
      <c r="J200" s="143"/>
      <c r="K200" s="143"/>
      <c r="L200" s="143" t="str">
        <f t="shared" si="20"/>
        <v>_</v>
      </c>
      <c r="M200" s="143"/>
      <c r="N200" s="143">
        <f>IF(ISBLANK(Table2[[#This Row],[ActualResult]]), 0, 1)</f>
        <v>0</v>
      </c>
      <c r="O200" s="143" t="str">
        <f>IF(ISBLANK(Table2[[#This Row],[ActualResult]]), "_", IF(Table2[[#This Row],[ActualWinner]]=Table2[[#This Row],[PredictedWinner]], "Y", "N"))</f>
        <v>_</v>
      </c>
      <c r="P20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143"/>
      <c r="S200" s="143" t="str">
        <f t="shared" si="21"/>
        <v>_</v>
      </c>
      <c r="T20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143">
        <f>IF(Table2[[#This Row],[InterConf]]=1,IF(Table2[[#This Row],[InterDiv]]=0, 1, 0), 0)</f>
        <v>0</v>
      </c>
      <c r="W20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143"/>
      <c r="Y200" s="143"/>
      <c r="Z200" s="149">
        <f>IF(AND(Table2[[#This Row],[GameIsOver]]=1,Table2[[#This Row],[ActualHomeScore]]*Table2[[#This Row],[ActualAwayScore]]=0), 1,0)</f>
        <v>0</v>
      </c>
      <c r="AA20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143">
        <f>Table2[[#This Row],[ActualAwayScore]]-Table2[[#This Row],[PredictedAwayScore]]</f>
        <v>0</v>
      </c>
      <c r="AG200" s="143">
        <f>Table2[[#This Row],[ActualHomeScore]]-Table2[[#This Row],[PredictedHomeScore]]</f>
        <v>0</v>
      </c>
      <c r="AH200" s="143">
        <f t="shared" si="22"/>
        <v>0</v>
      </c>
      <c r="AI200" s="143">
        <f t="shared" si="23"/>
        <v>0</v>
      </c>
      <c r="AJ200" s="143"/>
      <c r="AK200" s="143"/>
      <c r="AL200" s="143">
        <f>IF(Table2[[#This Row],[GameIsOver]]=0,0,IF(Table2[[#This Row],[ActualWinner]]=Table2[[#This Row],[AwayTeam]], 1, 0))</f>
        <v>0</v>
      </c>
      <c r="AM200" s="143">
        <f>IF(Table2[[#This Row],[GameIsOver]]=0,0,IF(Table2[[#This Row],[ActualWinner]]=Table2[[#This Row],[HomeTeam]], 1, 0))</f>
        <v>0</v>
      </c>
      <c r="AN20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143" t="str">
        <f>INDEX(Sheet5!$B$2:$AG$33, MATCH(Table2[[#This Row],[AwayTeam]],Sheet5!$A$2:$A$33, 0), MATCH(Table2[[#This Row],[HomeTeam]],Sheet5!$A$2:$A$33, 0))</f>
        <v>0-0-0</v>
      </c>
      <c r="AP200" s="143" t="str">
        <f>INDEX(Sheet5!$B$2:$AG$33, MATCH(Table2[[#This Row],[HomeTeam]],Sheet5!$A$2:$A$33, 0), MATCH(Table2[[#This Row],[AwayTeam]],Sheet5!$A$2:$A$33, 0))</f>
        <v>0-0-0</v>
      </c>
      <c r="AQ200" s="143">
        <f>IF(Table2[[#This Row],[GameHasShutOut]], 1, 0)</f>
        <v>0</v>
      </c>
      <c r="AR200" s="143">
        <f>IF(Table2[[#This Row],[ActualAwayScore]] + Table2[[#This Row],[ActualHomeScore]] &gt;= 10, 1, 0)</f>
        <v>0</v>
      </c>
      <c r="AS200" s="143">
        <f>IF(ABS(Table2[[#This Row],[ActualAwayScore]]-Table2[[#This Row],[ActualHomeScore]])&gt;=5, 1, 0)</f>
        <v>0</v>
      </c>
      <c r="AT200" s="143">
        <f>IF(Table2[[#This Row],[ActualAwayScore]] + Table2[[#This Row],[ActualHomeScore]] &lt;= 3, 1, 0)</f>
        <v>1</v>
      </c>
      <c r="AU200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1-0-0</v>
      </c>
      <c r="AP207" s="2" t="str">
        <f>INDEX(Sheet5!$B$2:$AG$33, MATCH(Table2[[#This Row],[HomeTeam]],Sheet5!$A$2:$A$33, 0), MATCH(Table2[[#This Row],[AwayTeam]],Sheet5!$A$2:$A$33, 0))</f>
        <v>0-1-0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0-0-1</v>
      </c>
      <c r="AP213" s="2" t="str">
        <f>INDEX(Sheet5!$B$2:$AG$33, MATCH(Table2[[#This Row],[HomeTeam]],Sheet5!$A$2:$A$33, 0), MATCH(Table2[[#This Row],[AwayTeam]],Sheet5!$A$2:$A$33, 0))</f>
        <v>1-0-0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1-0-0</v>
      </c>
      <c r="AP220" s="2" t="str">
        <f>INDEX(Sheet5!$B$2:$AG$33, MATCH(Table2[[#This Row],[HomeTeam]],Sheet5!$A$2:$A$33, 0), MATCH(Table2[[#This Row],[AwayTeam]],Sheet5!$A$2:$A$33, 0))</f>
        <v>0-1-0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0-1-0</v>
      </c>
      <c r="AP273" s="2" t="str">
        <f>INDEX(Sheet5!$B$2:$AG$33, MATCH(Table2[[#This Row],[HomeTeam]],Sheet5!$A$2:$A$33, 0), MATCH(Table2[[#This Row],[AwayTeam]],Sheet5!$A$2:$A$33, 0))</f>
        <v>1-0-0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1-0-0</v>
      </c>
      <c r="AP321" s="2" t="str">
        <f>INDEX(Sheet5!$B$2:$AG$33, MATCH(Table2[[#This Row],[HomeTeam]],Sheet5!$A$2:$A$33, 0), MATCH(Table2[[#This Row],[AwayTeam]],Sheet5!$A$2:$A$33, 0))</f>
        <v>0-1-0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1-0-0</v>
      </c>
      <c r="AP332" s="2" t="str">
        <f>INDEX(Sheet5!$B$2:$AG$33, MATCH(Table2[[#This Row],[HomeTeam]],Sheet5!$A$2:$A$33, 0), MATCH(Table2[[#This Row],[AwayTeam]],Sheet5!$A$2:$A$33, 0))</f>
        <v>0-1-0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0-0-1</v>
      </c>
      <c r="AP350" s="2" t="str">
        <f>INDEX(Sheet5!$B$2:$AG$33, MATCH(Table2[[#This Row],[HomeTeam]],Sheet5!$A$2:$A$33, 0), MATCH(Table2[[#This Row],[AwayTeam]],Sheet5!$A$2:$A$33, 0))</f>
        <v>1-0-0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1-0-0</v>
      </c>
      <c r="AP367" s="2" t="str">
        <f>INDEX(Sheet5!$B$2:$AG$33, MATCH(Table2[[#This Row],[HomeTeam]],Sheet5!$A$2:$A$33, 0), MATCH(Table2[[#This Row],[AwayTeam]],Sheet5!$A$2:$A$33, 0))</f>
        <v>0-1-0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0-1-0</v>
      </c>
      <c r="AP371" s="2" t="str">
        <f>INDEX(Sheet5!$B$2:$AG$33, MATCH(Table2[[#This Row],[HomeTeam]],Sheet5!$A$2:$A$33, 0), MATCH(Table2[[#This Row],[AwayTeam]],Sheet5!$A$2:$A$33, 0))</f>
        <v>1-0-0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0-0-1</v>
      </c>
      <c r="AP409" s="2" t="str">
        <f>INDEX(Sheet5!$B$2:$AG$33, MATCH(Table2[[#This Row],[HomeTeam]],Sheet5!$A$2:$A$33, 0), MATCH(Table2[[#This Row],[AwayTeam]],Sheet5!$A$2:$A$33, 0))</f>
        <v>1-0-0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0-1-0</v>
      </c>
      <c r="AP525" s="2" t="str">
        <f>INDEX(Sheet5!$B$2:$AG$33, MATCH(Table2[[#This Row],[HomeTeam]],Sheet5!$A$2:$A$33, 0), MATCH(Table2[[#This Row],[AwayTeam]],Sheet5!$A$2:$A$33, 0))</f>
        <v>1-0-0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1-0-0</v>
      </c>
      <c r="AP553" s="2" t="str">
        <f>INDEX(Sheet5!$B$2:$AG$33, MATCH(Table2[[#This Row],[HomeTeam]],Sheet5!$A$2:$A$33, 0), MATCH(Table2[[#This Row],[AwayTeam]],Sheet5!$A$2:$A$33, 0))</f>
        <v>0-1-0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1-0-0</v>
      </c>
      <c r="AP566" s="2" t="str">
        <f>INDEX(Sheet5!$B$2:$AG$33, MATCH(Table2[[#This Row],[HomeTeam]],Sheet5!$A$2:$A$33, 0), MATCH(Table2[[#This Row],[AwayTeam]],Sheet5!$A$2:$A$33, 0))</f>
        <v>0-1-0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0-0-1</v>
      </c>
      <c r="AP596" s="2" t="str">
        <f>INDEX(Sheet5!$B$2:$AG$33, MATCH(Table2[[#This Row],[HomeTeam]],Sheet5!$A$2:$A$33, 0), MATCH(Table2[[#This Row],[AwayTeam]],Sheet5!$A$2:$A$33, 0))</f>
        <v>1-0-0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0-0-1</v>
      </c>
      <c r="AP648" s="2" t="str">
        <f>INDEX(Sheet5!$B$2:$AG$33, MATCH(Table2[[#This Row],[HomeTeam]],Sheet5!$A$2:$A$33, 0), MATCH(Table2[[#This Row],[AwayTeam]],Sheet5!$A$2:$A$33, 0))</f>
        <v>1-0-0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1-0-0</v>
      </c>
      <c r="AP679" s="2" t="str">
        <f>INDEX(Sheet5!$B$2:$AG$33, MATCH(Table2[[#This Row],[HomeTeam]],Sheet5!$A$2:$A$33, 0), MATCH(Table2[[#This Row],[AwayTeam]],Sheet5!$A$2:$A$33, 0))</f>
        <v>0-1-0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0-1-0</v>
      </c>
      <c r="AP683" s="2" t="str">
        <f>INDEX(Sheet5!$B$2:$AG$33, MATCH(Table2[[#This Row],[HomeTeam]],Sheet5!$A$2:$A$33, 0), MATCH(Table2[[#This Row],[AwayTeam]],Sheet5!$A$2:$A$33, 0))</f>
        <v>1-0-0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1-0-0</v>
      </c>
      <c r="AP743" s="2" t="str">
        <f>INDEX(Sheet5!$B$2:$AG$33, MATCH(Table2[[#This Row],[HomeTeam]],Sheet5!$A$2:$A$33, 0), MATCH(Table2[[#This Row],[AwayTeam]],Sheet5!$A$2:$A$33, 0))</f>
        <v>0-0-1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1-0-0</v>
      </c>
      <c r="AP746" s="2" t="str">
        <f>INDEX(Sheet5!$B$2:$AG$33, MATCH(Table2[[#This Row],[HomeTeam]],Sheet5!$A$2:$A$33, 0), MATCH(Table2[[#This Row],[AwayTeam]],Sheet5!$A$2:$A$33, 0))</f>
        <v>0-0-1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1-0-0</v>
      </c>
      <c r="AP887" s="2" t="str">
        <f>INDEX(Sheet5!$B$2:$AG$33, MATCH(Table2[[#This Row],[HomeTeam]],Sheet5!$A$2:$A$33, 0), MATCH(Table2[[#This Row],[AwayTeam]],Sheet5!$A$2:$A$33, 0))</f>
        <v>0-1-0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1-0-0</v>
      </c>
      <c r="AP995" s="2" t="str">
        <f>INDEX(Sheet5!$B$2:$AG$33, MATCH(Table2[[#This Row],[HomeTeam]],Sheet5!$A$2:$A$33, 0), MATCH(Table2[[#This Row],[AwayTeam]],Sheet5!$A$2:$A$33, 0))</f>
        <v>0-0-1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1-0-0</v>
      </c>
      <c r="AP1134" s="2" t="str">
        <f>INDEX(Sheet5!$B$2:$AG$33, MATCH(Table2[[#This Row],[HomeTeam]],Sheet5!$A$2:$A$33, 0), MATCH(Table2[[#This Row],[AwayTeam]],Sheet5!$A$2:$A$33, 0))</f>
        <v>0-1-0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0-1-0</v>
      </c>
      <c r="AP1170" s="2" t="str">
        <f>INDEX(Sheet5!$B$2:$AG$33, MATCH(Table2[[#This Row],[HomeTeam]],Sheet5!$A$2:$A$33, 0), MATCH(Table2[[#This Row],[AwayTeam]],Sheet5!$A$2:$A$33, 0))</f>
        <v>1-0-0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1-0-0</v>
      </c>
      <c r="AP1243" s="2" t="str">
        <f>INDEX(Sheet5!$B$2:$AG$33, MATCH(Table2[[#This Row],[HomeTeam]],Sheet5!$A$2:$A$33, 0), MATCH(Table2[[#This Row],[AwayTeam]],Sheet5!$A$2:$A$33, 0))</f>
        <v>0-1-0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1-0-0</v>
      </c>
      <c r="AP1249" s="2" t="str">
        <f>INDEX(Sheet5!$B$2:$AG$33, MATCH(Table2[[#This Row],[HomeTeam]],Sheet5!$A$2:$A$33, 0), MATCH(Table2[[#This Row],[AwayTeam]],Sheet5!$A$2:$A$33, 0))</f>
        <v>0-0-1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1-0-0</v>
      </c>
      <c r="AP1301" s="2" t="str">
        <f>INDEX(Sheet5!$B$2:$AG$33, MATCH(Table2[[#This Row],[HomeTeam]],Sheet5!$A$2:$A$33, 0), MATCH(Table2[[#This Row],[AwayTeam]],Sheet5!$A$2:$A$33, 0))</f>
        <v>0-1-0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7" workbookViewId="0">
      <selection activeCell="A29" sqref="A29:XFD29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11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15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11</v>
      </c>
      <c r="C27" s="145">
        <f>SUMIFS(Table2[NewPointsAway],Table2[GameDate], "&lt;=" &amp; $A27, Table2[AwayTeam], C$1)+SUMIFS(Table2[NewPointsHome],Table2[GameDate], "&lt;=" &amp; $A27, Table2[HomeTeam], C$1)</f>
        <v>10</v>
      </c>
      <c r="D27" s="145">
        <f>SUMIFS(Table2[NewPointsAway],Table2[GameDate], "&lt;=" &amp; $A27, Table2[AwayTeam], D$1)+SUMIFS(Table2[NewPointsHome],Table2[GameDate], "&lt;=" &amp; $A27, Table2[HomeTeam], D$1)</f>
        <v>10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10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12</v>
      </c>
      <c r="I27" s="145">
        <f>SUMIFS(Table2[NewPointsAway],Table2[GameDate], "&lt;=" &amp; $A27, Table2[AwayTeam], I$1)+SUMIFS(Table2[NewPointsHome],Table2[GameDate], "&lt;=" &amp; $A27, Table2[HomeTeam], I$1)</f>
        <v>16</v>
      </c>
      <c r="J27" s="145">
        <f>SUMIFS(Table2[NewPointsAway],Table2[GameDate], "&lt;=" &amp; $A27, Table2[AwayTeam], J$1)+SUMIFS(Table2[NewPointsHome],Table2[GameDate], "&lt;=" &amp; $A27, Table2[HomeTeam], J$1)</f>
        <v>13</v>
      </c>
      <c r="K27" s="145">
        <f>SUMIFS(Table2[NewPointsAway],Table2[GameDate], "&lt;=" &amp; $A27, Table2[AwayTeam], K$1)+SUMIFS(Table2[NewPointsHome],Table2[GameDate], "&lt;=" &amp; $A27, Table2[HomeTeam], K$1)</f>
        <v>14</v>
      </c>
      <c r="L27" s="145">
        <f>SUMIFS(Table2[NewPointsAway],Table2[GameDate], "&lt;=" &amp; $A27, Table2[AwayTeam], L$1)+SUMIFS(Table2[NewPointsHome],Table2[GameDate], "&lt;=" &amp; $A27, Table2[HomeTeam], L$1)</f>
        <v>12</v>
      </c>
      <c r="M27" s="145">
        <f>SUMIFS(Table2[NewPointsAway],Table2[GameDate], "&lt;=" &amp; $A27, Table2[AwayTeam], M$1)+SUMIFS(Table2[NewPointsHome],Table2[GameDate], "&lt;=" &amp; $A27, Table2[HomeTeam], M$1)</f>
        <v>11</v>
      </c>
      <c r="N27" s="145">
        <f>SUMIFS(Table2[NewPointsAway],Table2[GameDate], "&lt;=" &amp; $A27, Table2[AwayTeam], N$1)+SUMIFS(Table2[NewPointsHome],Table2[GameDate], "&lt;=" &amp; $A27, Table2[HomeTeam], N$1)</f>
        <v>13</v>
      </c>
      <c r="O27" s="145">
        <f>SUMIFS(Table2[NewPointsAway],Table2[GameDate], "&lt;=" &amp; $A27, Table2[AwayTeam], O$1)+SUMIFS(Table2[NewPointsHome],Table2[GameDate], "&lt;=" &amp; $A27, Table2[HomeTeam], O$1)</f>
        <v>9</v>
      </c>
      <c r="P27" s="145">
        <f>SUMIFS(Table2[NewPointsAway],Table2[GameDate], "&lt;=" &amp; $A27, Table2[AwayTeam], P$1)+SUMIFS(Table2[NewPointsHome],Table2[GameDate], "&lt;=" &amp; $A27, Table2[HomeTeam], P$1)</f>
        <v>16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10</v>
      </c>
      <c r="U27" s="145">
        <f>SUMIFS(Table2[NewPointsAway],Table2[GameDate], "&lt;=" &amp; $A27, Table2[AwayTeam], U$1)+SUMIFS(Table2[NewPointsHome],Table2[GameDate], "&lt;=" &amp; $A27, Table2[HomeTeam], U$1)</f>
        <v>11</v>
      </c>
      <c r="V27" s="145">
        <f>SUMIFS(Table2[NewPointsAway],Table2[GameDate], "&lt;=" &amp; $A27, Table2[AwayTeam], V$1)+SUMIFS(Table2[NewPointsHome],Table2[GameDate], "&lt;=" &amp; $A27, Table2[HomeTeam], V$1)</f>
        <v>11</v>
      </c>
      <c r="W27" s="145">
        <f>SUMIFS(Table2[NewPointsAway],Table2[GameDate], "&lt;=" &amp; $A27, Table2[AwayTeam], W$1)+SUMIFS(Table2[NewPointsHome],Table2[GameDate], "&lt;=" &amp; $A27, Table2[HomeTeam], W$1)</f>
        <v>16</v>
      </c>
      <c r="X27" s="145">
        <f>SUMIFS(Table2[NewPointsAway],Table2[GameDate], "&lt;=" &amp; $A27, Table2[AwayTeam], X$1)+SUMIFS(Table2[NewPointsHome],Table2[GameDate], "&lt;=" &amp; $A27, Table2[HomeTeam], X$1)</f>
        <v>13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10</v>
      </c>
      <c r="AB27" s="145">
        <f>SUMIFS(Table2[NewPointsAway],Table2[GameDate], "&lt;=" &amp; $A27, Table2[AwayTeam], AB$1)+SUMIFS(Table2[NewPointsHome],Table2[GameDate], "&lt;=" &amp; $A27, Table2[HomeTeam], AB$1)</f>
        <v>11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15</v>
      </c>
      <c r="AF27" s="145">
        <f>SUMIFS(Table2[NewPointsAway],Table2[GameDate], "&lt;=" &amp; $A27, Table2[AwayTeam], AF$1)+SUMIFS(Table2[NewPointsHome],Table2[GameDate], "&lt;=" &amp; $A27, Table2[HomeTeam], AF$1)</f>
        <v>14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11</v>
      </c>
      <c r="C28" s="145">
        <f>SUMIFS(Table2[NewPointsAway],Table2[GameDate], "&lt;=" &amp; $A28, Table2[AwayTeam], C$1)+SUMIFS(Table2[NewPointsHome],Table2[GameDate], "&lt;=" &amp; $A28, Table2[HomeTeam], C$1)</f>
        <v>10</v>
      </c>
      <c r="D28" s="145">
        <f>SUMIFS(Table2[NewPointsAway],Table2[GameDate], "&lt;=" &amp; $A28, Table2[AwayTeam], D$1)+SUMIFS(Table2[NewPointsHome],Table2[GameDate], "&lt;=" &amp; $A28, Table2[HomeTeam], D$1)</f>
        <v>10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12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12</v>
      </c>
      <c r="I28" s="145">
        <f>SUMIFS(Table2[NewPointsAway],Table2[GameDate], "&lt;=" &amp; $A28, Table2[AwayTeam], I$1)+SUMIFS(Table2[NewPointsHome],Table2[GameDate], "&lt;=" &amp; $A28, Table2[HomeTeam], I$1)</f>
        <v>16</v>
      </c>
      <c r="J28" s="145">
        <f>SUMIFS(Table2[NewPointsAway],Table2[GameDate], "&lt;=" &amp; $A28, Table2[AwayTeam], J$1)+SUMIFS(Table2[NewPointsHome],Table2[GameDate], "&lt;=" &amp; $A28, Table2[HomeTeam], J$1)</f>
        <v>13</v>
      </c>
      <c r="K28" s="145">
        <f>SUMIFS(Table2[NewPointsAway],Table2[GameDate], "&lt;=" &amp; $A28, Table2[AwayTeam], K$1)+SUMIFS(Table2[NewPointsHome],Table2[GameDate], "&lt;=" &amp; $A28, Table2[HomeTeam], K$1)</f>
        <v>14</v>
      </c>
      <c r="L28" s="145">
        <f>SUMIFS(Table2[NewPointsAway],Table2[GameDate], "&lt;=" &amp; $A28, Table2[AwayTeam], L$1)+SUMIFS(Table2[NewPointsHome],Table2[GameDate], "&lt;=" &amp; $A28, Table2[HomeTeam], L$1)</f>
        <v>12</v>
      </c>
      <c r="M28" s="145">
        <f>SUMIFS(Table2[NewPointsAway],Table2[GameDate], "&lt;=" &amp; $A28, Table2[AwayTeam], M$1)+SUMIFS(Table2[NewPointsHome],Table2[GameDate], "&lt;=" &amp; $A28, Table2[HomeTeam], M$1)</f>
        <v>11</v>
      </c>
      <c r="N28" s="145">
        <f>SUMIFS(Table2[NewPointsAway],Table2[GameDate], "&lt;=" &amp; $A28, Table2[AwayTeam], N$1)+SUMIFS(Table2[NewPointsHome],Table2[GameDate], "&lt;=" &amp; $A28, Table2[HomeTeam], N$1)</f>
        <v>13</v>
      </c>
      <c r="O28" s="145">
        <f>SUMIFS(Table2[NewPointsAway],Table2[GameDate], "&lt;=" &amp; $A28, Table2[AwayTeam], O$1)+SUMIFS(Table2[NewPointsHome],Table2[GameDate], "&lt;=" &amp; $A28, Table2[HomeTeam], O$1)</f>
        <v>9</v>
      </c>
      <c r="P28" s="145">
        <f>SUMIFS(Table2[NewPointsAway],Table2[GameDate], "&lt;=" &amp; $A28, Table2[AwayTeam], P$1)+SUMIFS(Table2[NewPointsHome],Table2[GameDate], "&lt;=" &amp; $A28, Table2[HomeTeam], P$1)</f>
        <v>16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10</v>
      </c>
      <c r="U28" s="145">
        <f>SUMIFS(Table2[NewPointsAway],Table2[GameDate], "&lt;=" &amp; $A28, Table2[AwayTeam], U$1)+SUMIFS(Table2[NewPointsHome],Table2[GameDate], "&lt;=" &amp; $A28, Table2[HomeTeam], U$1)</f>
        <v>11</v>
      </c>
      <c r="V28" s="145">
        <f>SUMIFS(Table2[NewPointsAway],Table2[GameDate], "&lt;=" &amp; $A28, Table2[AwayTeam], V$1)+SUMIFS(Table2[NewPointsHome],Table2[GameDate], "&lt;=" &amp; $A28, Table2[HomeTeam], V$1)</f>
        <v>11</v>
      </c>
      <c r="W28" s="145">
        <f>SUMIFS(Table2[NewPointsAway],Table2[GameDate], "&lt;=" &amp; $A28, Table2[AwayTeam], W$1)+SUMIFS(Table2[NewPointsHome],Table2[GameDate], "&lt;=" &amp; $A28, Table2[HomeTeam], W$1)</f>
        <v>16</v>
      </c>
      <c r="X28" s="145">
        <f>SUMIFS(Table2[NewPointsAway],Table2[GameDate], "&lt;=" &amp; $A28, Table2[AwayTeam], X$1)+SUMIFS(Table2[NewPointsHome],Table2[GameDate], "&lt;=" &amp; $A28, Table2[HomeTeam], X$1)</f>
        <v>13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10</v>
      </c>
      <c r="AB28" s="145">
        <f>SUMIFS(Table2[NewPointsAway],Table2[GameDate], "&lt;=" &amp; $A28, Table2[AwayTeam], AB$1)+SUMIFS(Table2[NewPointsHome],Table2[GameDate], "&lt;=" &amp; $A28, Table2[HomeTeam], AB$1)</f>
        <v>11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15</v>
      </c>
      <c r="AF28" s="145">
        <f>SUMIFS(Table2[NewPointsAway],Table2[GameDate], "&lt;=" &amp; $A28, Table2[AwayTeam], AF$1)+SUMIFS(Table2[NewPointsHome],Table2[GameDate], "&lt;=" &amp; $A28, Table2[HomeTeam], AF$1)</f>
        <v>14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11</v>
      </c>
      <c r="C29" s="145">
        <f>SUMIFS(Table2[NewPointsAway],Table2[GameDate], "&lt;=" &amp; $A29, Table2[AwayTeam], C$1)+SUMIFS(Table2[NewPointsHome],Table2[GameDate], "&lt;=" &amp; $A29, Table2[HomeTeam], C$1)</f>
        <v>10</v>
      </c>
      <c r="D29" s="145">
        <f>SUMIFS(Table2[NewPointsAway],Table2[GameDate], "&lt;=" &amp; $A29, Table2[AwayTeam], D$1)+SUMIFS(Table2[NewPointsHome],Table2[GameDate], "&lt;=" &amp; $A29, Table2[HomeTeam], D$1)</f>
        <v>10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12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12</v>
      </c>
      <c r="I29" s="145">
        <f>SUMIFS(Table2[NewPointsAway],Table2[GameDate], "&lt;=" &amp; $A29, Table2[AwayTeam], I$1)+SUMIFS(Table2[NewPointsHome],Table2[GameDate], "&lt;=" &amp; $A29, Table2[HomeTeam], I$1)</f>
        <v>16</v>
      </c>
      <c r="J29" s="145">
        <f>SUMIFS(Table2[NewPointsAway],Table2[GameDate], "&lt;=" &amp; $A29, Table2[AwayTeam], J$1)+SUMIFS(Table2[NewPointsHome],Table2[GameDate], "&lt;=" &amp; $A29, Table2[HomeTeam], J$1)</f>
        <v>13</v>
      </c>
      <c r="K29" s="145">
        <f>SUMIFS(Table2[NewPointsAway],Table2[GameDate], "&lt;=" &amp; $A29, Table2[AwayTeam], K$1)+SUMIFS(Table2[NewPointsHome],Table2[GameDate], "&lt;=" &amp; $A29, Table2[HomeTeam], K$1)</f>
        <v>14</v>
      </c>
      <c r="L29" s="145">
        <f>SUMIFS(Table2[NewPointsAway],Table2[GameDate], "&lt;=" &amp; $A29, Table2[AwayTeam], L$1)+SUMIFS(Table2[NewPointsHome],Table2[GameDate], "&lt;=" &amp; $A29, Table2[HomeTeam], L$1)</f>
        <v>12</v>
      </c>
      <c r="M29" s="145">
        <f>SUMIFS(Table2[NewPointsAway],Table2[GameDate], "&lt;=" &amp; $A29, Table2[AwayTeam], M$1)+SUMIFS(Table2[NewPointsHome],Table2[GameDate], "&lt;=" &amp; $A29, Table2[HomeTeam], M$1)</f>
        <v>11</v>
      </c>
      <c r="N29" s="145">
        <f>SUMIFS(Table2[NewPointsAway],Table2[GameDate], "&lt;=" &amp; $A29, Table2[AwayTeam], N$1)+SUMIFS(Table2[NewPointsHome],Table2[GameDate], "&lt;=" &amp; $A29, Table2[HomeTeam], N$1)</f>
        <v>13</v>
      </c>
      <c r="O29" s="145">
        <f>SUMIFS(Table2[NewPointsAway],Table2[GameDate], "&lt;=" &amp; $A29, Table2[AwayTeam], O$1)+SUMIFS(Table2[NewPointsHome],Table2[GameDate], "&lt;=" &amp; $A29, Table2[HomeTeam], O$1)</f>
        <v>9</v>
      </c>
      <c r="P29" s="145">
        <f>SUMIFS(Table2[NewPointsAway],Table2[GameDate], "&lt;=" &amp; $A29, Table2[AwayTeam], P$1)+SUMIFS(Table2[NewPointsHome],Table2[GameDate], "&lt;=" &amp; $A29, Table2[HomeTeam], P$1)</f>
        <v>16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10</v>
      </c>
      <c r="U29" s="145">
        <f>SUMIFS(Table2[NewPointsAway],Table2[GameDate], "&lt;=" &amp; $A29, Table2[AwayTeam], U$1)+SUMIFS(Table2[NewPointsHome],Table2[GameDate], "&lt;=" &amp; $A29, Table2[HomeTeam], U$1)</f>
        <v>11</v>
      </c>
      <c r="V29" s="145">
        <f>SUMIFS(Table2[NewPointsAway],Table2[GameDate], "&lt;=" &amp; $A29, Table2[AwayTeam], V$1)+SUMIFS(Table2[NewPointsHome],Table2[GameDate], "&lt;=" &amp; $A29, Table2[HomeTeam], V$1)</f>
        <v>11</v>
      </c>
      <c r="W29" s="145">
        <f>SUMIFS(Table2[NewPointsAway],Table2[GameDate], "&lt;=" &amp; $A29, Table2[AwayTeam], W$1)+SUMIFS(Table2[NewPointsHome],Table2[GameDate], "&lt;=" &amp; $A29, Table2[HomeTeam], W$1)</f>
        <v>16</v>
      </c>
      <c r="X29" s="145">
        <f>SUMIFS(Table2[NewPointsAway],Table2[GameDate], "&lt;=" &amp; $A29, Table2[AwayTeam], X$1)+SUMIFS(Table2[NewPointsHome],Table2[GameDate], "&lt;=" &amp; $A29, Table2[HomeTeam], X$1)</f>
        <v>13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10</v>
      </c>
      <c r="AB29" s="145">
        <f>SUMIFS(Table2[NewPointsAway],Table2[GameDate], "&lt;=" &amp; $A29, Table2[AwayTeam], AB$1)+SUMIFS(Table2[NewPointsHome],Table2[GameDate], "&lt;=" &amp; $A29, Table2[HomeTeam], AB$1)</f>
        <v>11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15</v>
      </c>
      <c r="AF29" s="145">
        <f>SUMIFS(Table2[NewPointsAway],Table2[GameDate], "&lt;=" &amp; $A29, Table2[AwayTeam], AF$1)+SUMIFS(Table2[NewPointsHome],Table2[GameDate], "&lt;=" &amp; $A29, Table2[HomeTeam], AF$1)</f>
        <v>14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11</v>
      </c>
      <c r="C30" s="145">
        <f>SUMIFS(Table2[NewPointsAway],Table2[GameDate], "&lt;=" &amp; $A30, Table2[AwayTeam], C$1)+SUMIFS(Table2[NewPointsHome],Table2[GameDate], "&lt;=" &amp; $A30, Table2[HomeTeam], C$1)</f>
        <v>10</v>
      </c>
      <c r="D30" s="145">
        <f>SUMIFS(Table2[NewPointsAway],Table2[GameDate], "&lt;=" &amp; $A30, Table2[AwayTeam], D$1)+SUMIFS(Table2[NewPointsHome],Table2[GameDate], "&lt;=" &amp; $A30, Table2[HomeTeam], D$1)</f>
        <v>10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12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12</v>
      </c>
      <c r="I30" s="145">
        <f>SUMIFS(Table2[NewPointsAway],Table2[GameDate], "&lt;=" &amp; $A30, Table2[AwayTeam], I$1)+SUMIFS(Table2[NewPointsHome],Table2[GameDate], "&lt;=" &amp; $A30, Table2[HomeTeam], I$1)</f>
        <v>16</v>
      </c>
      <c r="J30" s="145">
        <f>SUMIFS(Table2[NewPointsAway],Table2[GameDate], "&lt;=" &amp; $A30, Table2[AwayTeam], J$1)+SUMIFS(Table2[NewPointsHome],Table2[GameDate], "&lt;=" &amp; $A30, Table2[HomeTeam], J$1)</f>
        <v>13</v>
      </c>
      <c r="K30" s="145">
        <f>SUMIFS(Table2[NewPointsAway],Table2[GameDate], "&lt;=" &amp; $A30, Table2[AwayTeam], K$1)+SUMIFS(Table2[NewPointsHome],Table2[GameDate], "&lt;=" &amp; $A30, Table2[HomeTeam], K$1)</f>
        <v>14</v>
      </c>
      <c r="L30" s="145">
        <f>SUMIFS(Table2[NewPointsAway],Table2[GameDate], "&lt;=" &amp; $A30, Table2[AwayTeam], L$1)+SUMIFS(Table2[NewPointsHome],Table2[GameDate], "&lt;=" &amp; $A30, Table2[HomeTeam], L$1)</f>
        <v>12</v>
      </c>
      <c r="M30" s="145">
        <f>SUMIFS(Table2[NewPointsAway],Table2[GameDate], "&lt;=" &amp; $A30, Table2[AwayTeam], M$1)+SUMIFS(Table2[NewPointsHome],Table2[GameDate], "&lt;=" &amp; $A30, Table2[HomeTeam], M$1)</f>
        <v>11</v>
      </c>
      <c r="N30" s="145">
        <f>SUMIFS(Table2[NewPointsAway],Table2[GameDate], "&lt;=" &amp; $A30, Table2[AwayTeam], N$1)+SUMIFS(Table2[NewPointsHome],Table2[GameDate], "&lt;=" &amp; $A30, Table2[HomeTeam], N$1)</f>
        <v>13</v>
      </c>
      <c r="O30" s="145">
        <f>SUMIFS(Table2[NewPointsAway],Table2[GameDate], "&lt;=" &amp; $A30, Table2[AwayTeam], O$1)+SUMIFS(Table2[NewPointsHome],Table2[GameDate], "&lt;=" &amp; $A30, Table2[HomeTeam], O$1)</f>
        <v>9</v>
      </c>
      <c r="P30" s="145">
        <f>SUMIFS(Table2[NewPointsAway],Table2[GameDate], "&lt;=" &amp; $A30, Table2[AwayTeam], P$1)+SUMIFS(Table2[NewPointsHome],Table2[GameDate], "&lt;=" &amp; $A30, Table2[HomeTeam], P$1)</f>
        <v>16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10</v>
      </c>
      <c r="U30" s="145">
        <f>SUMIFS(Table2[NewPointsAway],Table2[GameDate], "&lt;=" &amp; $A30, Table2[AwayTeam], U$1)+SUMIFS(Table2[NewPointsHome],Table2[GameDate], "&lt;=" &amp; $A30, Table2[HomeTeam], U$1)</f>
        <v>11</v>
      </c>
      <c r="V30" s="145">
        <f>SUMIFS(Table2[NewPointsAway],Table2[GameDate], "&lt;=" &amp; $A30, Table2[AwayTeam], V$1)+SUMIFS(Table2[NewPointsHome],Table2[GameDate], "&lt;=" &amp; $A30, Table2[HomeTeam], V$1)</f>
        <v>11</v>
      </c>
      <c r="W30" s="145">
        <f>SUMIFS(Table2[NewPointsAway],Table2[GameDate], "&lt;=" &amp; $A30, Table2[AwayTeam], W$1)+SUMIFS(Table2[NewPointsHome],Table2[GameDate], "&lt;=" &amp; $A30, Table2[HomeTeam], W$1)</f>
        <v>16</v>
      </c>
      <c r="X30" s="145">
        <f>SUMIFS(Table2[NewPointsAway],Table2[GameDate], "&lt;=" &amp; $A30, Table2[AwayTeam], X$1)+SUMIFS(Table2[NewPointsHome],Table2[GameDate], "&lt;=" &amp; $A30, Table2[HomeTeam], X$1)</f>
        <v>13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10</v>
      </c>
      <c r="AB30" s="145">
        <f>SUMIFS(Table2[NewPointsAway],Table2[GameDate], "&lt;=" &amp; $A30, Table2[AwayTeam], AB$1)+SUMIFS(Table2[NewPointsHome],Table2[GameDate], "&lt;=" &amp; $A30, Table2[HomeTeam], AB$1)</f>
        <v>11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15</v>
      </c>
      <c r="AF30" s="145">
        <f>SUMIFS(Table2[NewPointsAway],Table2[GameDate], "&lt;=" &amp; $A30, Table2[AwayTeam], AF$1)+SUMIFS(Table2[NewPointsHome],Table2[GameDate], "&lt;=" &amp; $A30, Table2[HomeTeam], AF$1)</f>
        <v>14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11</v>
      </c>
      <c r="C31" s="145">
        <f>SUMIFS(Table2[NewPointsAway],Table2[GameDate], "&lt;=" &amp; $A31, Table2[AwayTeam], C$1)+SUMIFS(Table2[NewPointsHome],Table2[GameDate], "&lt;=" &amp; $A31, Table2[HomeTeam], C$1)</f>
        <v>10</v>
      </c>
      <c r="D31" s="145">
        <f>SUMIFS(Table2[NewPointsAway],Table2[GameDate], "&lt;=" &amp; $A31, Table2[AwayTeam], D$1)+SUMIFS(Table2[NewPointsHome],Table2[GameDate], "&lt;=" &amp; $A31, Table2[HomeTeam], D$1)</f>
        <v>10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12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12</v>
      </c>
      <c r="I31" s="145">
        <f>SUMIFS(Table2[NewPointsAway],Table2[GameDate], "&lt;=" &amp; $A31, Table2[AwayTeam], I$1)+SUMIFS(Table2[NewPointsHome],Table2[GameDate], "&lt;=" &amp; $A31, Table2[HomeTeam], I$1)</f>
        <v>16</v>
      </c>
      <c r="J31" s="145">
        <f>SUMIFS(Table2[NewPointsAway],Table2[GameDate], "&lt;=" &amp; $A31, Table2[AwayTeam], J$1)+SUMIFS(Table2[NewPointsHome],Table2[GameDate], "&lt;=" &amp; $A31, Table2[HomeTeam], J$1)</f>
        <v>13</v>
      </c>
      <c r="K31" s="145">
        <f>SUMIFS(Table2[NewPointsAway],Table2[GameDate], "&lt;=" &amp; $A31, Table2[AwayTeam], K$1)+SUMIFS(Table2[NewPointsHome],Table2[GameDate], "&lt;=" &amp; $A31, Table2[HomeTeam], K$1)</f>
        <v>14</v>
      </c>
      <c r="L31" s="145">
        <f>SUMIFS(Table2[NewPointsAway],Table2[GameDate], "&lt;=" &amp; $A31, Table2[AwayTeam], L$1)+SUMIFS(Table2[NewPointsHome],Table2[GameDate], "&lt;=" &amp; $A31, Table2[HomeTeam], L$1)</f>
        <v>12</v>
      </c>
      <c r="M31" s="145">
        <f>SUMIFS(Table2[NewPointsAway],Table2[GameDate], "&lt;=" &amp; $A31, Table2[AwayTeam], M$1)+SUMIFS(Table2[NewPointsHome],Table2[GameDate], "&lt;=" &amp; $A31, Table2[HomeTeam], M$1)</f>
        <v>11</v>
      </c>
      <c r="N31" s="145">
        <f>SUMIFS(Table2[NewPointsAway],Table2[GameDate], "&lt;=" &amp; $A31, Table2[AwayTeam], N$1)+SUMIFS(Table2[NewPointsHome],Table2[GameDate], "&lt;=" &amp; $A31, Table2[HomeTeam], N$1)</f>
        <v>13</v>
      </c>
      <c r="O31" s="145">
        <f>SUMIFS(Table2[NewPointsAway],Table2[GameDate], "&lt;=" &amp; $A31, Table2[AwayTeam], O$1)+SUMIFS(Table2[NewPointsHome],Table2[GameDate], "&lt;=" &amp; $A31, Table2[HomeTeam], O$1)</f>
        <v>9</v>
      </c>
      <c r="P31" s="145">
        <f>SUMIFS(Table2[NewPointsAway],Table2[GameDate], "&lt;=" &amp; $A31, Table2[AwayTeam], P$1)+SUMIFS(Table2[NewPointsHome],Table2[GameDate], "&lt;=" &amp; $A31, Table2[HomeTeam], P$1)</f>
        <v>16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10</v>
      </c>
      <c r="U31" s="145">
        <f>SUMIFS(Table2[NewPointsAway],Table2[GameDate], "&lt;=" &amp; $A31, Table2[AwayTeam], U$1)+SUMIFS(Table2[NewPointsHome],Table2[GameDate], "&lt;=" &amp; $A31, Table2[HomeTeam], U$1)</f>
        <v>11</v>
      </c>
      <c r="V31" s="145">
        <f>SUMIFS(Table2[NewPointsAway],Table2[GameDate], "&lt;=" &amp; $A31, Table2[AwayTeam], V$1)+SUMIFS(Table2[NewPointsHome],Table2[GameDate], "&lt;=" &amp; $A31, Table2[HomeTeam], V$1)</f>
        <v>11</v>
      </c>
      <c r="W31" s="145">
        <f>SUMIFS(Table2[NewPointsAway],Table2[GameDate], "&lt;=" &amp; $A31, Table2[AwayTeam], W$1)+SUMIFS(Table2[NewPointsHome],Table2[GameDate], "&lt;=" &amp; $A31, Table2[HomeTeam], W$1)</f>
        <v>16</v>
      </c>
      <c r="X31" s="145">
        <f>SUMIFS(Table2[NewPointsAway],Table2[GameDate], "&lt;=" &amp; $A31, Table2[AwayTeam], X$1)+SUMIFS(Table2[NewPointsHome],Table2[GameDate], "&lt;=" &amp; $A31, Table2[HomeTeam], X$1)</f>
        <v>13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10</v>
      </c>
      <c r="AB31" s="145">
        <f>SUMIFS(Table2[NewPointsAway],Table2[GameDate], "&lt;=" &amp; $A31, Table2[AwayTeam], AB$1)+SUMIFS(Table2[NewPointsHome],Table2[GameDate], "&lt;=" &amp; $A31, Table2[HomeTeam], AB$1)</f>
        <v>11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15</v>
      </c>
      <c r="AF31" s="145">
        <f>SUMIFS(Table2[NewPointsAway],Table2[GameDate], "&lt;=" &amp; $A31, Table2[AwayTeam], AF$1)+SUMIFS(Table2[NewPointsHome],Table2[GameDate], "&lt;=" &amp; $A31, Table2[HomeTeam], AF$1)</f>
        <v>14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11</v>
      </c>
      <c r="C32" s="145">
        <f>SUMIFS(Table2[NewPointsAway],Table2[GameDate], "&lt;=" &amp; $A32, Table2[AwayTeam], C$1)+SUMIFS(Table2[NewPointsHome],Table2[GameDate], "&lt;=" &amp; $A32, Table2[HomeTeam], C$1)</f>
        <v>10</v>
      </c>
      <c r="D32" s="145">
        <f>SUMIFS(Table2[NewPointsAway],Table2[GameDate], "&lt;=" &amp; $A32, Table2[AwayTeam], D$1)+SUMIFS(Table2[NewPointsHome],Table2[GameDate], "&lt;=" &amp; $A32, Table2[HomeTeam], D$1)</f>
        <v>10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12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12</v>
      </c>
      <c r="I32" s="145">
        <f>SUMIFS(Table2[NewPointsAway],Table2[GameDate], "&lt;=" &amp; $A32, Table2[AwayTeam], I$1)+SUMIFS(Table2[NewPointsHome],Table2[GameDate], "&lt;=" &amp; $A32, Table2[HomeTeam], I$1)</f>
        <v>16</v>
      </c>
      <c r="J32" s="145">
        <f>SUMIFS(Table2[NewPointsAway],Table2[GameDate], "&lt;=" &amp; $A32, Table2[AwayTeam], J$1)+SUMIFS(Table2[NewPointsHome],Table2[GameDate], "&lt;=" &amp; $A32, Table2[HomeTeam], J$1)</f>
        <v>13</v>
      </c>
      <c r="K32" s="145">
        <f>SUMIFS(Table2[NewPointsAway],Table2[GameDate], "&lt;=" &amp; $A32, Table2[AwayTeam], K$1)+SUMIFS(Table2[NewPointsHome],Table2[GameDate], "&lt;=" &amp; $A32, Table2[HomeTeam], K$1)</f>
        <v>14</v>
      </c>
      <c r="L32" s="145">
        <f>SUMIFS(Table2[NewPointsAway],Table2[GameDate], "&lt;=" &amp; $A32, Table2[AwayTeam], L$1)+SUMIFS(Table2[NewPointsHome],Table2[GameDate], "&lt;=" &amp; $A32, Table2[HomeTeam], L$1)</f>
        <v>12</v>
      </c>
      <c r="M32" s="145">
        <f>SUMIFS(Table2[NewPointsAway],Table2[GameDate], "&lt;=" &amp; $A32, Table2[AwayTeam], M$1)+SUMIFS(Table2[NewPointsHome],Table2[GameDate], "&lt;=" &amp; $A32, Table2[HomeTeam], M$1)</f>
        <v>11</v>
      </c>
      <c r="N32" s="145">
        <f>SUMIFS(Table2[NewPointsAway],Table2[GameDate], "&lt;=" &amp; $A32, Table2[AwayTeam], N$1)+SUMIFS(Table2[NewPointsHome],Table2[GameDate], "&lt;=" &amp; $A32, Table2[HomeTeam], N$1)</f>
        <v>13</v>
      </c>
      <c r="O32" s="145">
        <f>SUMIFS(Table2[NewPointsAway],Table2[GameDate], "&lt;=" &amp; $A32, Table2[AwayTeam], O$1)+SUMIFS(Table2[NewPointsHome],Table2[GameDate], "&lt;=" &amp; $A32, Table2[HomeTeam], O$1)</f>
        <v>9</v>
      </c>
      <c r="P32" s="145">
        <f>SUMIFS(Table2[NewPointsAway],Table2[GameDate], "&lt;=" &amp; $A32, Table2[AwayTeam], P$1)+SUMIFS(Table2[NewPointsHome],Table2[GameDate], "&lt;=" &amp; $A32, Table2[HomeTeam], P$1)</f>
        <v>16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10</v>
      </c>
      <c r="U32" s="145">
        <f>SUMIFS(Table2[NewPointsAway],Table2[GameDate], "&lt;=" &amp; $A32, Table2[AwayTeam], U$1)+SUMIFS(Table2[NewPointsHome],Table2[GameDate], "&lt;=" &amp; $A32, Table2[HomeTeam], U$1)</f>
        <v>11</v>
      </c>
      <c r="V32" s="145">
        <f>SUMIFS(Table2[NewPointsAway],Table2[GameDate], "&lt;=" &amp; $A32, Table2[AwayTeam], V$1)+SUMIFS(Table2[NewPointsHome],Table2[GameDate], "&lt;=" &amp; $A32, Table2[HomeTeam], V$1)</f>
        <v>11</v>
      </c>
      <c r="W32" s="145">
        <f>SUMIFS(Table2[NewPointsAway],Table2[GameDate], "&lt;=" &amp; $A32, Table2[AwayTeam], W$1)+SUMIFS(Table2[NewPointsHome],Table2[GameDate], "&lt;=" &amp; $A32, Table2[HomeTeam], W$1)</f>
        <v>16</v>
      </c>
      <c r="X32" s="145">
        <f>SUMIFS(Table2[NewPointsAway],Table2[GameDate], "&lt;=" &amp; $A32, Table2[AwayTeam], X$1)+SUMIFS(Table2[NewPointsHome],Table2[GameDate], "&lt;=" &amp; $A32, Table2[HomeTeam], X$1)</f>
        <v>13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10</v>
      </c>
      <c r="AB32" s="145">
        <f>SUMIFS(Table2[NewPointsAway],Table2[GameDate], "&lt;=" &amp; $A32, Table2[AwayTeam], AB$1)+SUMIFS(Table2[NewPointsHome],Table2[GameDate], "&lt;=" &amp; $A32, Table2[HomeTeam], AB$1)</f>
        <v>11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15</v>
      </c>
      <c r="AF32" s="145">
        <f>SUMIFS(Table2[NewPointsAway],Table2[GameDate], "&lt;=" &amp; $A32, Table2[AwayTeam], AF$1)+SUMIFS(Table2[NewPointsHome],Table2[GameDate], "&lt;=" &amp; $A32, Table2[HomeTeam], AF$1)</f>
        <v>14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11</v>
      </c>
      <c r="C33" s="145">
        <f>SUMIFS(Table2[NewPointsAway],Table2[GameDate], "&lt;=" &amp; $A33, Table2[AwayTeam], C$1)+SUMIFS(Table2[NewPointsHome],Table2[GameDate], "&lt;=" &amp; $A33, Table2[HomeTeam], C$1)</f>
        <v>10</v>
      </c>
      <c r="D33" s="145">
        <f>SUMIFS(Table2[NewPointsAway],Table2[GameDate], "&lt;=" &amp; $A33, Table2[AwayTeam], D$1)+SUMIFS(Table2[NewPointsHome],Table2[GameDate], "&lt;=" &amp; $A33, Table2[HomeTeam], D$1)</f>
        <v>10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12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12</v>
      </c>
      <c r="I33" s="145">
        <f>SUMIFS(Table2[NewPointsAway],Table2[GameDate], "&lt;=" &amp; $A33, Table2[AwayTeam], I$1)+SUMIFS(Table2[NewPointsHome],Table2[GameDate], "&lt;=" &amp; $A33, Table2[HomeTeam], I$1)</f>
        <v>16</v>
      </c>
      <c r="J33" s="145">
        <f>SUMIFS(Table2[NewPointsAway],Table2[GameDate], "&lt;=" &amp; $A33, Table2[AwayTeam], J$1)+SUMIFS(Table2[NewPointsHome],Table2[GameDate], "&lt;=" &amp; $A33, Table2[HomeTeam], J$1)</f>
        <v>13</v>
      </c>
      <c r="K33" s="145">
        <f>SUMIFS(Table2[NewPointsAway],Table2[GameDate], "&lt;=" &amp; $A33, Table2[AwayTeam], K$1)+SUMIFS(Table2[NewPointsHome],Table2[GameDate], "&lt;=" &amp; $A33, Table2[HomeTeam], K$1)</f>
        <v>14</v>
      </c>
      <c r="L33" s="145">
        <f>SUMIFS(Table2[NewPointsAway],Table2[GameDate], "&lt;=" &amp; $A33, Table2[AwayTeam], L$1)+SUMIFS(Table2[NewPointsHome],Table2[GameDate], "&lt;=" &amp; $A33, Table2[HomeTeam], L$1)</f>
        <v>12</v>
      </c>
      <c r="M33" s="145">
        <f>SUMIFS(Table2[NewPointsAway],Table2[GameDate], "&lt;=" &amp; $A33, Table2[AwayTeam], M$1)+SUMIFS(Table2[NewPointsHome],Table2[GameDate], "&lt;=" &amp; $A33, Table2[HomeTeam], M$1)</f>
        <v>11</v>
      </c>
      <c r="N33" s="145">
        <f>SUMIFS(Table2[NewPointsAway],Table2[GameDate], "&lt;=" &amp; $A33, Table2[AwayTeam], N$1)+SUMIFS(Table2[NewPointsHome],Table2[GameDate], "&lt;=" &amp; $A33, Table2[HomeTeam], N$1)</f>
        <v>13</v>
      </c>
      <c r="O33" s="145">
        <f>SUMIFS(Table2[NewPointsAway],Table2[GameDate], "&lt;=" &amp; $A33, Table2[AwayTeam], O$1)+SUMIFS(Table2[NewPointsHome],Table2[GameDate], "&lt;=" &amp; $A33, Table2[HomeTeam], O$1)</f>
        <v>9</v>
      </c>
      <c r="P33" s="145">
        <f>SUMIFS(Table2[NewPointsAway],Table2[GameDate], "&lt;=" &amp; $A33, Table2[AwayTeam], P$1)+SUMIFS(Table2[NewPointsHome],Table2[GameDate], "&lt;=" &amp; $A33, Table2[HomeTeam], P$1)</f>
        <v>16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10</v>
      </c>
      <c r="U33" s="145">
        <f>SUMIFS(Table2[NewPointsAway],Table2[GameDate], "&lt;=" &amp; $A33, Table2[AwayTeam], U$1)+SUMIFS(Table2[NewPointsHome],Table2[GameDate], "&lt;=" &amp; $A33, Table2[HomeTeam], U$1)</f>
        <v>11</v>
      </c>
      <c r="V33" s="145">
        <f>SUMIFS(Table2[NewPointsAway],Table2[GameDate], "&lt;=" &amp; $A33, Table2[AwayTeam], V$1)+SUMIFS(Table2[NewPointsHome],Table2[GameDate], "&lt;=" &amp; $A33, Table2[HomeTeam], V$1)</f>
        <v>11</v>
      </c>
      <c r="W33" s="145">
        <f>SUMIFS(Table2[NewPointsAway],Table2[GameDate], "&lt;=" &amp; $A33, Table2[AwayTeam], W$1)+SUMIFS(Table2[NewPointsHome],Table2[GameDate], "&lt;=" &amp; $A33, Table2[HomeTeam], W$1)</f>
        <v>16</v>
      </c>
      <c r="X33" s="145">
        <f>SUMIFS(Table2[NewPointsAway],Table2[GameDate], "&lt;=" &amp; $A33, Table2[AwayTeam], X$1)+SUMIFS(Table2[NewPointsHome],Table2[GameDate], "&lt;=" &amp; $A33, Table2[HomeTeam], X$1)</f>
        <v>13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10</v>
      </c>
      <c r="AB33" s="145">
        <f>SUMIFS(Table2[NewPointsAway],Table2[GameDate], "&lt;=" &amp; $A33, Table2[AwayTeam], AB$1)+SUMIFS(Table2[NewPointsHome],Table2[GameDate], "&lt;=" &amp; $A33, Table2[HomeTeam], AB$1)</f>
        <v>11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15</v>
      </c>
      <c r="AF33" s="145">
        <f>SUMIFS(Table2[NewPointsAway],Table2[GameDate], "&lt;=" &amp; $A33, Table2[AwayTeam], AF$1)+SUMIFS(Table2[NewPointsHome],Table2[GameDate], "&lt;=" &amp; $A33, Table2[HomeTeam], AF$1)</f>
        <v>14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11</v>
      </c>
      <c r="C34" s="145">
        <f>SUMIFS(Table2[NewPointsAway],Table2[GameDate], "&lt;=" &amp; $A34, Table2[AwayTeam], C$1)+SUMIFS(Table2[NewPointsHome],Table2[GameDate], "&lt;=" &amp; $A34, Table2[HomeTeam], C$1)</f>
        <v>10</v>
      </c>
      <c r="D34" s="145">
        <f>SUMIFS(Table2[NewPointsAway],Table2[GameDate], "&lt;=" &amp; $A34, Table2[AwayTeam], D$1)+SUMIFS(Table2[NewPointsHome],Table2[GameDate], "&lt;=" &amp; $A34, Table2[HomeTeam], D$1)</f>
        <v>10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12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12</v>
      </c>
      <c r="I34" s="145">
        <f>SUMIFS(Table2[NewPointsAway],Table2[GameDate], "&lt;=" &amp; $A34, Table2[AwayTeam], I$1)+SUMIFS(Table2[NewPointsHome],Table2[GameDate], "&lt;=" &amp; $A34, Table2[HomeTeam], I$1)</f>
        <v>16</v>
      </c>
      <c r="J34" s="145">
        <f>SUMIFS(Table2[NewPointsAway],Table2[GameDate], "&lt;=" &amp; $A34, Table2[AwayTeam], J$1)+SUMIFS(Table2[NewPointsHome],Table2[GameDate], "&lt;=" &amp; $A34, Table2[HomeTeam], J$1)</f>
        <v>13</v>
      </c>
      <c r="K34" s="145">
        <f>SUMIFS(Table2[NewPointsAway],Table2[GameDate], "&lt;=" &amp; $A34, Table2[AwayTeam], K$1)+SUMIFS(Table2[NewPointsHome],Table2[GameDate], "&lt;=" &amp; $A34, Table2[HomeTeam], K$1)</f>
        <v>14</v>
      </c>
      <c r="L34" s="145">
        <f>SUMIFS(Table2[NewPointsAway],Table2[GameDate], "&lt;=" &amp; $A34, Table2[AwayTeam], L$1)+SUMIFS(Table2[NewPointsHome],Table2[GameDate], "&lt;=" &amp; $A34, Table2[HomeTeam], L$1)</f>
        <v>12</v>
      </c>
      <c r="M34" s="145">
        <f>SUMIFS(Table2[NewPointsAway],Table2[GameDate], "&lt;=" &amp; $A34, Table2[AwayTeam], M$1)+SUMIFS(Table2[NewPointsHome],Table2[GameDate], "&lt;=" &amp; $A34, Table2[HomeTeam], M$1)</f>
        <v>11</v>
      </c>
      <c r="N34" s="145">
        <f>SUMIFS(Table2[NewPointsAway],Table2[GameDate], "&lt;=" &amp; $A34, Table2[AwayTeam], N$1)+SUMIFS(Table2[NewPointsHome],Table2[GameDate], "&lt;=" &amp; $A34, Table2[HomeTeam], N$1)</f>
        <v>13</v>
      </c>
      <c r="O34" s="145">
        <f>SUMIFS(Table2[NewPointsAway],Table2[GameDate], "&lt;=" &amp; $A34, Table2[AwayTeam], O$1)+SUMIFS(Table2[NewPointsHome],Table2[GameDate], "&lt;=" &amp; $A34, Table2[HomeTeam], O$1)</f>
        <v>9</v>
      </c>
      <c r="P34" s="145">
        <f>SUMIFS(Table2[NewPointsAway],Table2[GameDate], "&lt;=" &amp; $A34, Table2[AwayTeam], P$1)+SUMIFS(Table2[NewPointsHome],Table2[GameDate], "&lt;=" &amp; $A34, Table2[HomeTeam], P$1)</f>
        <v>16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10</v>
      </c>
      <c r="U34" s="145">
        <f>SUMIFS(Table2[NewPointsAway],Table2[GameDate], "&lt;=" &amp; $A34, Table2[AwayTeam], U$1)+SUMIFS(Table2[NewPointsHome],Table2[GameDate], "&lt;=" &amp; $A34, Table2[HomeTeam], U$1)</f>
        <v>11</v>
      </c>
      <c r="V34" s="145">
        <f>SUMIFS(Table2[NewPointsAway],Table2[GameDate], "&lt;=" &amp; $A34, Table2[AwayTeam], V$1)+SUMIFS(Table2[NewPointsHome],Table2[GameDate], "&lt;=" &amp; $A34, Table2[HomeTeam], V$1)</f>
        <v>11</v>
      </c>
      <c r="W34" s="145">
        <f>SUMIFS(Table2[NewPointsAway],Table2[GameDate], "&lt;=" &amp; $A34, Table2[AwayTeam], W$1)+SUMIFS(Table2[NewPointsHome],Table2[GameDate], "&lt;=" &amp; $A34, Table2[HomeTeam], W$1)</f>
        <v>16</v>
      </c>
      <c r="X34" s="145">
        <f>SUMIFS(Table2[NewPointsAway],Table2[GameDate], "&lt;=" &amp; $A34, Table2[AwayTeam], X$1)+SUMIFS(Table2[NewPointsHome],Table2[GameDate], "&lt;=" &amp; $A34, Table2[HomeTeam], X$1)</f>
        <v>13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10</v>
      </c>
      <c r="AB34" s="145">
        <f>SUMIFS(Table2[NewPointsAway],Table2[GameDate], "&lt;=" &amp; $A34, Table2[AwayTeam], AB$1)+SUMIFS(Table2[NewPointsHome],Table2[GameDate], "&lt;=" &amp; $A34, Table2[HomeTeam], AB$1)</f>
        <v>11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15</v>
      </c>
      <c r="AF34" s="145">
        <f>SUMIFS(Table2[NewPointsAway],Table2[GameDate], "&lt;=" &amp; $A34, Table2[AwayTeam], AF$1)+SUMIFS(Table2[NewPointsHome],Table2[GameDate], "&lt;=" &amp; $A34, Table2[HomeTeam], AF$1)</f>
        <v>14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11</v>
      </c>
      <c r="C35" s="145">
        <f>SUMIFS(Table2[NewPointsAway],Table2[GameDate], "&lt;=" &amp; $A35, Table2[AwayTeam], C$1)+SUMIFS(Table2[NewPointsHome],Table2[GameDate], "&lt;=" &amp; $A35, Table2[HomeTeam], C$1)</f>
        <v>10</v>
      </c>
      <c r="D35" s="145">
        <f>SUMIFS(Table2[NewPointsAway],Table2[GameDate], "&lt;=" &amp; $A35, Table2[AwayTeam], D$1)+SUMIFS(Table2[NewPointsHome],Table2[GameDate], "&lt;=" &amp; $A35, Table2[HomeTeam], D$1)</f>
        <v>10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12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12</v>
      </c>
      <c r="I35" s="145">
        <f>SUMIFS(Table2[NewPointsAway],Table2[GameDate], "&lt;=" &amp; $A35, Table2[AwayTeam], I$1)+SUMIFS(Table2[NewPointsHome],Table2[GameDate], "&lt;=" &amp; $A35, Table2[HomeTeam], I$1)</f>
        <v>16</v>
      </c>
      <c r="J35" s="145">
        <f>SUMIFS(Table2[NewPointsAway],Table2[GameDate], "&lt;=" &amp; $A35, Table2[AwayTeam], J$1)+SUMIFS(Table2[NewPointsHome],Table2[GameDate], "&lt;=" &amp; $A35, Table2[HomeTeam], J$1)</f>
        <v>13</v>
      </c>
      <c r="K35" s="145">
        <f>SUMIFS(Table2[NewPointsAway],Table2[GameDate], "&lt;=" &amp; $A35, Table2[AwayTeam], K$1)+SUMIFS(Table2[NewPointsHome],Table2[GameDate], "&lt;=" &amp; $A35, Table2[HomeTeam], K$1)</f>
        <v>14</v>
      </c>
      <c r="L35" s="145">
        <f>SUMIFS(Table2[NewPointsAway],Table2[GameDate], "&lt;=" &amp; $A35, Table2[AwayTeam], L$1)+SUMIFS(Table2[NewPointsHome],Table2[GameDate], "&lt;=" &amp; $A35, Table2[HomeTeam], L$1)</f>
        <v>12</v>
      </c>
      <c r="M35" s="145">
        <f>SUMIFS(Table2[NewPointsAway],Table2[GameDate], "&lt;=" &amp; $A35, Table2[AwayTeam], M$1)+SUMIFS(Table2[NewPointsHome],Table2[GameDate], "&lt;=" &amp; $A35, Table2[HomeTeam], M$1)</f>
        <v>11</v>
      </c>
      <c r="N35" s="145">
        <f>SUMIFS(Table2[NewPointsAway],Table2[GameDate], "&lt;=" &amp; $A35, Table2[AwayTeam], N$1)+SUMIFS(Table2[NewPointsHome],Table2[GameDate], "&lt;=" &amp; $A35, Table2[HomeTeam], N$1)</f>
        <v>13</v>
      </c>
      <c r="O35" s="145">
        <f>SUMIFS(Table2[NewPointsAway],Table2[GameDate], "&lt;=" &amp; $A35, Table2[AwayTeam], O$1)+SUMIFS(Table2[NewPointsHome],Table2[GameDate], "&lt;=" &amp; $A35, Table2[HomeTeam], O$1)</f>
        <v>9</v>
      </c>
      <c r="P35" s="145">
        <f>SUMIFS(Table2[NewPointsAway],Table2[GameDate], "&lt;=" &amp; $A35, Table2[AwayTeam], P$1)+SUMIFS(Table2[NewPointsHome],Table2[GameDate], "&lt;=" &amp; $A35, Table2[HomeTeam], P$1)</f>
        <v>16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10</v>
      </c>
      <c r="U35" s="145">
        <f>SUMIFS(Table2[NewPointsAway],Table2[GameDate], "&lt;=" &amp; $A35, Table2[AwayTeam], U$1)+SUMIFS(Table2[NewPointsHome],Table2[GameDate], "&lt;=" &amp; $A35, Table2[HomeTeam], U$1)</f>
        <v>11</v>
      </c>
      <c r="V35" s="145">
        <f>SUMIFS(Table2[NewPointsAway],Table2[GameDate], "&lt;=" &amp; $A35, Table2[AwayTeam], V$1)+SUMIFS(Table2[NewPointsHome],Table2[GameDate], "&lt;=" &amp; $A35, Table2[HomeTeam], V$1)</f>
        <v>11</v>
      </c>
      <c r="W35" s="145">
        <f>SUMIFS(Table2[NewPointsAway],Table2[GameDate], "&lt;=" &amp; $A35, Table2[AwayTeam], W$1)+SUMIFS(Table2[NewPointsHome],Table2[GameDate], "&lt;=" &amp; $A35, Table2[HomeTeam], W$1)</f>
        <v>16</v>
      </c>
      <c r="X35" s="145">
        <f>SUMIFS(Table2[NewPointsAway],Table2[GameDate], "&lt;=" &amp; $A35, Table2[AwayTeam], X$1)+SUMIFS(Table2[NewPointsHome],Table2[GameDate], "&lt;=" &amp; $A35, Table2[HomeTeam], X$1)</f>
        <v>13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10</v>
      </c>
      <c r="AB35" s="145">
        <f>SUMIFS(Table2[NewPointsAway],Table2[GameDate], "&lt;=" &amp; $A35, Table2[AwayTeam], AB$1)+SUMIFS(Table2[NewPointsHome],Table2[GameDate], "&lt;=" &amp; $A35, Table2[HomeTeam], AB$1)</f>
        <v>11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15</v>
      </c>
      <c r="AF35" s="145">
        <f>SUMIFS(Table2[NewPointsAway],Table2[GameDate], "&lt;=" &amp; $A35, Table2[AwayTeam], AF$1)+SUMIFS(Table2[NewPointsHome],Table2[GameDate], "&lt;=" &amp; $A35, Table2[HomeTeam], AF$1)</f>
        <v>14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11</v>
      </c>
      <c r="C36" s="145">
        <f>SUMIFS(Table2[NewPointsAway],Table2[GameDate], "&lt;=" &amp; $A36, Table2[AwayTeam], C$1)+SUMIFS(Table2[NewPointsHome],Table2[GameDate], "&lt;=" &amp; $A36, Table2[HomeTeam], C$1)</f>
        <v>10</v>
      </c>
      <c r="D36" s="145">
        <f>SUMIFS(Table2[NewPointsAway],Table2[GameDate], "&lt;=" &amp; $A36, Table2[AwayTeam], D$1)+SUMIFS(Table2[NewPointsHome],Table2[GameDate], "&lt;=" &amp; $A36, Table2[HomeTeam], D$1)</f>
        <v>10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12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12</v>
      </c>
      <c r="I36" s="145">
        <f>SUMIFS(Table2[NewPointsAway],Table2[GameDate], "&lt;=" &amp; $A36, Table2[AwayTeam], I$1)+SUMIFS(Table2[NewPointsHome],Table2[GameDate], "&lt;=" &amp; $A36, Table2[HomeTeam], I$1)</f>
        <v>16</v>
      </c>
      <c r="J36" s="145">
        <f>SUMIFS(Table2[NewPointsAway],Table2[GameDate], "&lt;=" &amp; $A36, Table2[AwayTeam], J$1)+SUMIFS(Table2[NewPointsHome],Table2[GameDate], "&lt;=" &amp; $A36, Table2[HomeTeam], J$1)</f>
        <v>13</v>
      </c>
      <c r="K36" s="145">
        <f>SUMIFS(Table2[NewPointsAway],Table2[GameDate], "&lt;=" &amp; $A36, Table2[AwayTeam], K$1)+SUMIFS(Table2[NewPointsHome],Table2[GameDate], "&lt;=" &amp; $A36, Table2[HomeTeam], K$1)</f>
        <v>14</v>
      </c>
      <c r="L36" s="145">
        <f>SUMIFS(Table2[NewPointsAway],Table2[GameDate], "&lt;=" &amp; $A36, Table2[AwayTeam], L$1)+SUMIFS(Table2[NewPointsHome],Table2[GameDate], "&lt;=" &amp; $A36, Table2[HomeTeam], L$1)</f>
        <v>12</v>
      </c>
      <c r="M36" s="145">
        <f>SUMIFS(Table2[NewPointsAway],Table2[GameDate], "&lt;=" &amp; $A36, Table2[AwayTeam], M$1)+SUMIFS(Table2[NewPointsHome],Table2[GameDate], "&lt;=" &amp; $A36, Table2[HomeTeam], M$1)</f>
        <v>11</v>
      </c>
      <c r="N36" s="145">
        <f>SUMIFS(Table2[NewPointsAway],Table2[GameDate], "&lt;=" &amp; $A36, Table2[AwayTeam], N$1)+SUMIFS(Table2[NewPointsHome],Table2[GameDate], "&lt;=" &amp; $A36, Table2[HomeTeam], N$1)</f>
        <v>13</v>
      </c>
      <c r="O36" s="145">
        <f>SUMIFS(Table2[NewPointsAway],Table2[GameDate], "&lt;=" &amp; $A36, Table2[AwayTeam], O$1)+SUMIFS(Table2[NewPointsHome],Table2[GameDate], "&lt;=" &amp; $A36, Table2[HomeTeam], O$1)</f>
        <v>9</v>
      </c>
      <c r="P36" s="145">
        <f>SUMIFS(Table2[NewPointsAway],Table2[GameDate], "&lt;=" &amp; $A36, Table2[AwayTeam], P$1)+SUMIFS(Table2[NewPointsHome],Table2[GameDate], "&lt;=" &amp; $A36, Table2[HomeTeam], P$1)</f>
        <v>16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10</v>
      </c>
      <c r="U36" s="145">
        <f>SUMIFS(Table2[NewPointsAway],Table2[GameDate], "&lt;=" &amp; $A36, Table2[AwayTeam], U$1)+SUMIFS(Table2[NewPointsHome],Table2[GameDate], "&lt;=" &amp; $A36, Table2[HomeTeam], U$1)</f>
        <v>11</v>
      </c>
      <c r="V36" s="145">
        <f>SUMIFS(Table2[NewPointsAway],Table2[GameDate], "&lt;=" &amp; $A36, Table2[AwayTeam], V$1)+SUMIFS(Table2[NewPointsHome],Table2[GameDate], "&lt;=" &amp; $A36, Table2[HomeTeam], V$1)</f>
        <v>11</v>
      </c>
      <c r="W36" s="145">
        <f>SUMIFS(Table2[NewPointsAway],Table2[GameDate], "&lt;=" &amp; $A36, Table2[AwayTeam], W$1)+SUMIFS(Table2[NewPointsHome],Table2[GameDate], "&lt;=" &amp; $A36, Table2[HomeTeam], W$1)</f>
        <v>16</v>
      </c>
      <c r="X36" s="145">
        <f>SUMIFS(Table2[NewPointsAway],Table2[GameDate], "&lt;=" &amp; $A36, Table2[AwayTeam], X$1)+SUMIFS(Table2[NewPointsHome],Table2[GameDate], "&lt;=" &amp; $A36, Table2[HomeTeam], X$1)</f>
        <v>13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10</v>
      </c>
      <c r="AB36" s="145">
        <f>SUMIFS(Table2[NewPointsAway],Table2[GameDate], "&lt;=" &amp; $A36, Table2[AwayTeam], AB$1)+SUMIFS(Table2[NewPointsHome],Table2[GameDate], "&lt;=" &amp; $A36, Table2[HomeTeam], AB$1)</f>
        <v>11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15</v>
      </c>
      <c r="AF36" s="145">
        <f>SUMIFS(Table2[NewPointsAway],Table2[GameDate], "&lt;=" &amp; $A36, Table2[AwayTeam], AF$1)+SUMIFS(Table2[NewPointsHome],Table2[GameDate], "&lt;=" &amp; $A36, Table2[HomeTeam], AF$1)</f>
        <v>14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11</v>
      </c>
      <c r="C37" s="145">
        <f>SUMIFS(Table2[NewPointsAway],Table2[GameDate], "&lt;=" &amp; $A37, Table2[AwayTeam], C$1)+SUMIFS(Table2[NewPointsHome],Table2[GameDate], "&lt;=" &amp; $A37, Table2[HomeTeam], C$1)</f>
        <v>10</v>
      </c>
      <c r="D37" s="145">
        <f>SUMIFS(Table2[NewPointsAway],Table2[GameDate], "&lt;=" &amp; $A37, Table2[AwayTeam], D$1)+SUMIFS(Table2[NewPointsHome],Table2[GameDate], "&lt;=" &amp; $A37, Table2[HomeTeam], D$1)</f>
        <v>10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12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12</v>
      </c>
      <c r="I37" s="145">
        <f>SUMIFS(Table2[NewPointsAway],Table2[GameDate], "&lt;=" &amp; $A37, Table2[AwayTeam], I$1)+SUMIFS(Table2[NewPointsHome],Table2[GameDate], "&lt;=" &amp; $A37, Table2[HomeTeam], I$1)</f>
        <v>16</v>
      </c>
      <c r="J37" s="145">
        <f>SUMIFS(Table2[NewPointsAway],Table2[GameDate], "&lt;=" &amp; $A37, Table2[AwayTeam], J$1)+SUMIFS(Table2[NewPointsHome],Table2[GameDate], "&lt;=" &amp; $A37, Table2[HomeTeam], J$1)</f>
        <v>13</v>
      </c>
      <c r="K37" s="145">
        <f>SUMIFS(Table2[NewPointsAway],Table2[GameDate], "&lt;=" &amp; $A37, Table2[AwayTeam], K$1)+SUMIFS(Table2[NewPointsHome],Table2[GameDate], "&lt;=" &amp; $A37, Table2[HomeTeam], K$1)</f>
        <v>14</v>
      </c>
      <c r="L37" s="145">
        <f>SUMIFS(Table2[NewPointsAway],Table2[GameDate], "&lt;=" &amp; $A37, Table2[AwayTeam], L$1)+SUMIFS(Table2[NewPointsHome],Table2[GameDate], "&lt;=" &amp; $A37, Table2[HomeTeam], L$1)</f>
        <v>12</v>
      </c>
      <c r="M37" s="145">
        <f>SUMIFS(Table2[NewPointsAway],Table2[GameDate], "&lt;=" &amp; $A37, Table2[AwayTeam], M$1)+SUMIFS(Table2[NewPointsHome],Table2[GameDate], "&lt;=" &amp; $A37, Table2[HomeTeam], M$1)</f>
        <v>11</v>
      </c>
      <c r="N37" s="145">
        <f>SUMIFS(Table2[NewPointsAway],Table2[GameDate], "&lt;=" &amp; $A37, Table2[AwayTeam], N$1)+SUMIFS(Table2[NewPointsHome],Table2[GameDate], "&lt;=" &amp; $A37, Table2[HomeTeam], N$1)</f>
        <v>13</v>
      </c>
      <c r="O37" s="145">
        <f>SUMIFS(Table2[NewPointsAway],Table2[GameDate], "&lt;=" &amp; $A37, Table2[AwayTeam], O$1)+SUMIFS(Table2[NewPointsHome],Table2[GameDate], "&lt;=" &amp; $A37, Table2[HomeTeam], O$1)</f>
        <v>9</v>
      </c>
      <c r="P37" s="145">
        <f>SUMIFS(Table2[NewPointsAway],Table2[GameDate], "&lt;=" &amp; $A37, Table2[AwayTeam], P$1)+SUMIFS(Table2[NewPointsHome],Table2[GameDate], "&lt;=" &amp; $A37, Table2[HomeTeam], P$1)</f>
        <v>16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10</v>
      </c>
      <c r="U37" s="145">
        <f>SUMIFS(Table2[NewPointsAway],Table2[GameDate], "&lt;=" &amp; $A37, Table2[AwayTeam], U$1)+SUMIFS(Table2[NewPointsHome],Table2[GameDate], "&lt;=" &amp; $A37, Table2[HomeTeam], U$1)</f>
        <v>11</v>
      </c>
      <c r="V37" s="145">
        <f>SUMIFS(Table2[NewPointsAway],Table2[GameDate], "&lt;=" &amp; $A37, Table2[AwayTeam], V$1)+SUMIFS(Table2[NewPointsHome],Table2[GameDate], "&lt;=" &amp; $A37, Table2[HomeTeam], V$1)</f>
        <v>11</v>
      </c>
      <c r="W37" s="145">
        <f>SUMIFS(Table2[NewPointsAway],Table2[GameDate], "&lt;=" &amp; $A37, Table2[AwayTeam], W$1)+SUMIFS(Table2[NewPointsHome],Table2[GameDate], "&lt;=" &amp; $A37, Table2[HomeTeam], W$1)</f>
        <v>16</v>
      </c>
      <c r="X37" s="145">
        <f>SUMIFS(Table2[NewPointsAway],Table2[GameDate], "&lt;=" &amp; $A37, Table2[AwayTeam], X$1)+SUMIFS(Table2[NewPointsHome],Table2[GameDate], "&lt;=" &amp; $A37, Table2[HomeTeam], X$1)</f>
        <v>13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10</v>
      </c>
      <c r="AB37" s="145">
        <f>SUMIFS(Table2[NewPointsAway],Table2[GameDate], "&lt;=" &amp; $A37, Table2[AwayTeam], AB$1)+SUMIFS(Table2[NewPointsHome],Table2[GameDate], "&lt;=" &amp; $A37, Table2[HomeTeam], AB$1)</f>
        <v>11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15</v>
      </c>
      <c r="AF37" s="145">
        <f>SUMIFS(Table2[NewPointsAway],Table2[GameDate], "&lt;=" &amp; $A37, Table2[AwayTeam], AF$1)+SUMIFS(Table2[NewPointsHome],Table2[GameDate], "&lt;=" &amp; $A37, Table2[HomeTeam], AF$1)</f>
        <v>14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11</v>
      </c>
      <c r="C38" s="145">
        <f>SUMIFS(Table2[NewPointsAway],Table2[GameDate], "&lt;=" &amp; $A38, Table2[AwayTeam], C$1)+SUMIFS(Table2[NewPointsHome],Table2[GameDate], "&lt;=" &amp; $A38, Table2[HomeTeam], C$1)</f>
        <v>10</v>
      </c>
      <c r="D38" s="145">
        <f>SUMIFS(Table2[NewPointsAway],Table2[GameDate], "&lt;=" &amp; $A38, Table2[AwayTeam], D$1)+SUMIFS(Table2[NewPointsHome],Table2[GameDate], "&lt;=" &amp; $A38, Table2[HomeTeam], D$1)</f>
        <v>10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12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12</v>
      </c>
      <c r="I38" s="145">
        <f>SUMIFS(Table2[NewPointsAway],Table2[GameDate], "&lt;=" &amp; $A38, Table2[AwayTeam], I$1)+SUMIFS(Table2[NewPointsHome],Table2[GameDate], "&lt;=" &amp; $A38, Table2[HomeTeam], I$1)</f>
        <v>16</v>
      </c>
      <c r="J38" s="145">
        <f>SUMIFS(Table2[NewPointsAway],Table2[GameDate], "&lt;=" &amp; $A38, Table2[AwayTeam], J$1)+SUMIFS(Table2[NewPointsHome],Table2[GameDate], "&lt;=" &amp; $A38, Table2[HomeTeam], J$1)</f>
        <v>13</v>
      </c>
      <c r="K38" s="145">
        <f>SUMIFS(Table2[NewPointsAway],Table2[GameDate], "&lt;=" &amp; $A38, Table2[AwayTeam], K$1)+SUMIFS(Table2[NewPointsHome],Table2[GameDate], "&lt;=" &amp; $A38, Table2[HomeTeam], K$1)</f>
        <v>14</v>
      </c>
      <c r="L38" s="145">
        <f>SUMIFS(Table2[NewPointsAway],Table2[GameDate], "&lt;=" &amp; $A38, Table2[AwayTeam], L$1)+SUMIFS(Table2[NewPointsHome],Table2[GameDate], "&lt;=" &amp; $A38, Table2[HomeTeam], L$1)</f>
        <v>12</v>
      </c>
      <c r="M38" s="145">
        <f>SUMIFS(Table2[NewPointsAway],Table2[GameDate], "&lt;=" &amp; $A38, Table2[AwayTeam], M$1)+SUMIFS(Table2[NewPointsHome],Table2[GameDate], "&lt;=" &amp; $A38, Table2[HomeTeam], M$1)</f>
        <v>11</v>
      </c>
      <c r="N38" s="145">
        <f>SUMIFS(Table2[NewPointsAway],Table2[GameDate], "&lt;=" &amp; $A38, Table2[AwayTeam], N$1)+SUMIFS(Table2[NewPointsHome],Table2[GameDate], "&lt;=" &amp; $A38, Table2[HomeTeam], N$1)</f>
        <v>13</v>
      </c>
      <c r="O38" s="145">
        <f>SUMIFS(Table2[NewPointsAway],Table2[GameDate], "&lt;=" &amp; $A38, Table2[AwayTeam], O$1)+SUMIFS(Table2[NewPointsHome],Table2[GameDate], "&lt;=" &amp; $A38, Table2[HomeTeam], O$1)</f>
        <v>9</v>
      </c>
      <c r="P38" s="145">
        <f>SUMIFS(Table2[NewPointsAway],Table2[GameDate], "&lt;=" &amp; $A38, Table2[AwayTeam], P$1)+SUMIFS(Table2[NewPointsHome],Table2[GameDate], "&lt;=" &amp; $A38, Table2[HomeTeam], P$1)</f>
        <v>16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10</v>
      </c>
      <c r="U38" s="145">
        <f>SUMIFS(Table2[NewPointsAway],Table2[GameDate], "&lt;=" &amp; $A38, Table2[AwayTeam], U$1)+SUMIFS(Table2[NewPointsHome],Table2[GameDate], "&lt;=" &amp; $A38, Table2[HomeTeam], U$1)</f>
        <v>11</v>
      </c>
      <c r="V38" s="145">
        <f>SUMIFS(Table2[NewPointsAway],Table2[GameDate], "&lt;=" &amp; $A38, Table2[AwayTeam], V$1)+SUMIFS(Table2[NewPointsHome],Table2[GameDate], "&lt;=" &amp; $A38, Table2[HomeTeam], V$1)</f>
        <v>11</v>
      </c>
      <c r="W38" s="145">
        <f>SUMIFS(Table2[NewPointsAway],Table2[GameDate], "&lt;=" &amp; $A38, Table2[AwayTeam], W$1)+SUMIFS(Table2[NewPointsHome],Table2[GameDate], "&lt;=" &amp; $A38, Table2[HomeTeam], W$1)</f>
        <v>16</v>
      </c>
      <c r="X38" s="145">
        <f>SUMIFS(Table2[NewPointsAway],Table2[GameDate], "&lt;=" &amp; $A38, Table2[AwayTeam], X$1)+SUMIFS(Table2[NewPointsHome],Table2[GameDate], "&lt;=" &amp; $A38, Table2[HomeTeam], X$1)</f>
        <v>13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10</v>
      </c>
      <c r="AB38" s="145">
        <f>SUMIFS(Table2[NewPointsAway],Table2[GameDate], "&lt;=" &amp; $A38, Table2[AwayTeam], AB$1)+SUMIFS(Table2[NewPointsHome],Table2[GameDate], "&lt;=" &amp; $A38, Table2[HomeTeam], AB$1)</f>
        <v>11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15</v>
      </c>
      <c r="AF38" s="145">
        <f>SUMIFS(Table2[NewPointsAway],Table2[GameDate], "&lt;=" &amp; $A38, Table2[AwayTeam], AF$1)+SUMIFS(Table2[NewPointsHome],Table2[GameDate], "&lt;=" &amp; $A38, Table2[HomeTeam], AF$1)</f>
        <v>14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11</v>
      </c>
      <c r="C39" s="145">
        <f>SUMIFS(Table2[NewPointsAway],Table2[GameDate], "&lt;=" &amp; $A39, Table2[AwayTeam], C$1)+SUMIFS(Table2[NewPointsHome],Table2[GameDate], "&lt;=" &amp; $A39, Table2[HomeTeam], C$1)</f>
        <v>10</v>
      </c>
      <c r="D39" s="145">
        <f>SUMIFS(Table2[NewPointsAway],Table2[GameDate], "&lt;=" &amp; $A39, Table2[AwayTeam], D$1)+SUMIFS(Table2[NewPointsHome],Table2[GameDate], "&lt;=" &amp; $A39, Table2[HomeTeam], D$1)</f>
        <v>10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12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12</v>
      </c>
      <c r="I39" s="145">
        <f>SUMIFS(Table2[NewPointsAway],Table2[GameDate], "&lt;=" &amp; $A39, Table2[AwayTeam], I$1)+SUMIFS(Table2[NewPointsHome],Table2[GameDate], "&lt;=" &amp; $A39, Table2[HomeTeam], I$1)</f>
        <v>16</v>
      </c>
      <c r="J39" s="145">
        <f>SUMIFS(Table2[NewPointsAway],Table2[GameDate], "&lt;=" &amp; $A39, Table2[AwayTeam], J$1)+SUMIFS(Table2[NewPointsHome],Table2[GameDate], "&lt;=" &amp; $A39, Table2[HomeTeam], J$1)</f>
        <v>13</v>
      </c>
      <c r="K39" s="145">
        <f>SUMIFS(Table2[NewPointsAway],Table2[GameDate], "&lt;=" &amp; $A39, Table2[AwayTeam], K$1)+SUMIFS(Table2[NewPointsHome],Table2[GameDate], "&lt;=" &amp; $A39, Table2[HomeTeam], K$1)</f>
        <v>14</v>
      </c>
      <c r="L39" s="145">
        <f>SUMIFS(Table2[NewPointsAway],Table2[GameDate], "&lt;=" &amp; $A39, Table2[AwayTeam], L$1)+SUMIFS(Table2[NewPointsHome],Table2[GameDate], "&lt;=" &amp; $A39, Table2[HomeTeam], L$1)</f>
        <v>12</v>
      </c>
      <c r="M39" s="145">
        <f>SUMIFS(Table2[NewPointsAway],Table2[GameDate], "&lt;=" &amp; $A39, Table2[AwayTeam], M$1)+SUMIFS(Table2[NewPointsHome],Table2[GameDate], "&lt;=" &amp; $A39, Table2[HomeTeam], M$1)</f>
        <v>11</v>
      </c>
      <c r="N39" s="145">
        <f>SUMIFS(Table2[NewPointsAway],Table2[GameDate], "&lt;=" &amp; $A39, Table2[AwayTeam], N$1)+SUMIFS(Table2[NewPointsHome],Table2[GameDate], "&lt;=" &amp; $A39, Table2[HomeTeam], N$1)</f>
        <v>13</v>
      </c>
      <c r="O39" s="145">
        <f>SUMIFS(Table2[NewPointsAway],Table2[GameDate], "&lt;=" &amp; $A39, Table2[AwayTeam], O$1)+SUMIFS(Table2[NewPointsHome],Table2[GameDate], "&lt;=" &amp; $A39, Table2[HomeTeam], O$1)</f>
        <v>9</v>
      </c>
      <c r="P39" s="145">
        <f>SUMIFS(Table2[NewPointsAway],Table2[GameDate], "&lt;=" &amp; $A39, Table2[AwayTeam], P$1)+SUMIFS(Table2[NewPointsHome],Table2[GameDate], "&lt;=" &amp; $A39, Table2[HomeTeam], P$1)</f>
        <v>16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10</v>
      </c>
      <c r="U39" s="145">
        <f>SUMIFS(Table2[NewPointsAway],Table2[GameDate], "&lt;=" &amp; $A39, Table2[AwayTeam], U$1)+SUMIFS(Table2[NewPointsHome],Table2[GameDate], "&lt;=" &amp; $A39, Table2[HomeTeam], U$1)</f>
        <v>11</v>
      </c>
      <c r="V39" s="145">
        <f>SUMIFS(Table2[NewPointsAway],Table2[GameDate], "&lt;=" &amp; $A39, Table2[AwayTeam], V$1)+SUMIFS(Table2[NewPointsHome],Table2[GameDate], "&lt;=" &amp; $A39, Table2[HomeTeam], V$1)</f>
        <v>11</v>
      </c>
      <c r="W39" s="145">
        <f>SUMIFS(Table2[NewPointsAway],Table2[GameDate], "&lt;=" &amp; $A39, Table2[AwayTeam], W$1)+SUMIFS(Table2[NewPointsHome],Table2[GameDate], "&lt;=" &amp; $A39, Table2[HomeTeam], W$1)</f>
        <v>16</v>
      </c>
      <c r="X39" s="145">
        <f>SUMIFS(Table2[NewPointsAway],Table2[GameDate], "&lt;=" &amp; $A39, Table2[AwayTeam], X$1)+SUMIFS(Table2[NewPointsHome],Table2[GameDate], "&lt;=" &amp; $A39, Table2[HomeTeam], X$1)</f>
        <v>13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10</v>
      </c>
      <c r="AB39" s="145">
        <f>SUMIFS(Table2[NewPointsAway],Table2[GameDate], "&lt;=" &amp; $A39, Table2[AwayTeam], AB$1)+SUMIFS(Table2[NewPointsHome],Table2[GameDate], "&lt;=" &amp; $A39, Table2[HomeTeam], AB$1)</f>
        <v>11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15</v>
      </c>
      <c r="AF39" s="145">
        <f>SUMIFS(Table2[NewPointsAway],Table2[GameDate], "&lt;=" &amp; $A39, Table2[AwayTeam], AF$1)+SUMIFS(Table2[NewPointsHome],Table2[GameDate], "&lt;=" &amp; $A39, Table2[HomeTeam], AF$1)</f>
        <v>14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11</v>
      </c>
      <c r="C40" s="145">
        <f>SUMIFS(Table2[NewPointsAway],Table2[GameDate], "&lt;=" &amp; $A40, Table2[AwayTeam], C$1)+SUMIFS(Table2[NewPointsHome],Table2[GameDate], "&lt;=" &amp; $A40, Table2[HomeTeam], C$1)</f>
        <v>10</v>
      </c>
      <c r="D40" s="145">
        <f>SUMIFS(Table2[NewPointsAway],Table2[GameDate], "&lt;=" &amp; $A40, Table2[AwayTeam], D$1)+SUMIFS(Table2[NewPointsHome],Table2[GameDate], "&lt;=" &amp; $A40, Table2[HomeTeam], D$1)</f>
        <v>10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12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12</v>
      </c>
      <c r="I40" s="145">
        <f>SUMIFS(Table2[NewPointsAway],Table2[GameDate], "&lt;=" &amp; $A40, Table2[AwayTeam], I$1)+SUMIFS(Table2[NewPointsHome],Table2[GameDate], "&lt;=" &amp; $A40, Table2[HomeTeam], I$1)</f>
        <v>16</v>
      </c>
      <c r="J40" s="145">
        <f>SUMIFS(Table2[NewPointsAway],Table2[GameDate], "&lt;=" &amp; $A40, Table2[AwayTeam], J$1)+SUMIFS(Table2[NewPointsHome],Table2[GameDate], "&lt;=" &amp; $A40, Table2[HomeTeam], J$1)</f>
        <v>13</v>
      </c>
      <c r="K40" s="145">
        <f>SUMIFS(Table2[NewPointsAway],Table2[GameDate], "&lt;=" &amp; $A40, Table2[AwayTeam], K$1)+SUMIFS(Table2[NewPointsHome],Table2[GameDate], "&lt;=" &amp; $A40, Table2[HomeTeam], K$1)</f>
        <v>14</v>
      </c>
      <c r="L40" s="145">
        <f>SUMIFS(Table2[NewPointsAway],Table2[GameDate], "&lt;=" &amp; $A40, Table2[AwayTeam], L$1)+SUMIFS(Table2[NewPointsHome],Table2[GameDate], "&lt;=" &amp; $A40, Table2[HomeTeam], L$1)</f>
        <v>12</v>
      </c>
      <c r="M40" s="145">
        <f>SUMIFS(Table2[NewPointsAway],Table2[GameDate], "&lt;=" &amp; $A40, Table2[AwayTeam], M$1)+SUMIFS(Table2[NewPointsHome],Table2[GameDate], "&lt;=" &amp; $A40, Table2[HomeTeam], M$1)</f>
        <v>11</v>
      </c>
      <c r="N40" s="145">
        <f>SUMIFS(Table2[NewPointsAway],Table2[GameDate], "&lt;=" &amp; $A40, Table2[AwayTeam], N$1)+SUMIFS(Table2[NewPointsHome],Table2[GameDate], "&lt;=" &amp; $A40, Table2[HomeTeam], N$1)</f>
        <v>13</v>
      </c>
      <c r="O40" s="145">
        <f>SUMIFS(Table2[NewPointsAway],Table2[GameDate], "&lt;=" &amp; $A40, Table2[AwayTeam], O$1)+SUMIFS(Table2[NewPointsHome],Table2[GameDate], "&lt;=" &amp; $A40, Table2[HomeTeam], O$1)</f>
        <v>9</v>
      </c>
      <c r="P40" s="145">
        <f>SUMIFS(Table2[NewPointsAway],Table2[GameDate], "&lt;=" &amp; $A40, Table2[AwayTeam], P$1)+SUMIFS(Table2[NewPointsHome],Table2[GameDate], "&lt;=" &amp; $A40, Table2[HomeTeam], P$1)</f>
        <v>16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10</v>
      </c>
      <c r="U40" s="145">
        <f>SUMIFS(Table2[NewPointsAway],Table2[GameDate], "&lt;=" &amp; $A40, Table2[AwayTeam], U$1)+SUMIFS(Table2[NewPointsHome],Table2[GameDate], "&lt;=" &amp; $A40, Table2[HomeTeam], U$1)</f>
        <v>11</v>
      </c>
      <c r="V40" s="145">
        <f>SUMIFS(Table2[NewPointsAway],Table2[GameDate], "&lt;=" &amp; $A40, Table2[AwayTeam], V$1)+SUMIFS(Table2[NewPointsHome],Table2[GameDate], "&lt;=" &amp; $A40, Table2[HomeTeam], V$1)</f>
        <v>11</v>
      </c>
      <c r="W40" s="145">
        <f>SUMIFS(Table2[NewPointsAway],Table2[GameDate], "&lt;=" &amp; $A40, Table2[AwayTeam], W$1)+SUMIFS(Table2[NewPointsHome],Table2[GameDate], "&lt;=" &amp; $A40, Table2[HomeTeam], W$1)</f>
        <v>16</v>
      </c>
      <c r="X40" s="145">
        <f>SUMIFS(Table2[NewPointsAway],Table2[GameDate], "&lt;=" &amp; $A40, Table2[AwayTeam], X$1)+SUMIFS(Table2[NewPointsHome],Table2[GameDate], "&lt;=" &amp; $A40, Table2[HomeTeam], X$1)</f>
        <v>13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10</v>
      </c>
      <c r="AB40" s="145">
        <f>SUMIFS(Table2[NewPointsAway],Table2[GameDate], "&lt;=" &amp; $A40, Table2[AwayTeam], AB$1)+SUMIFS(Table2[NewPointsHome],Table2[GameDate], "&lt;=" &amp; $A40, Table2[HomeTeam], AB$1)</f>
        <v>11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15</v>
      </c>
      <c r="AF40" s="145">
        <f>SUMIFS(Table2[NewPointsAway],Table2[GameDate], "&lt;=" &amp; $A40, Table2[AwayTeam], AF$1)+SUMIFS(Table2[NewPointsHome],Table2[GameDate], "&lt;=" &amp; $A40, Table2[HomeTeam], AF$1)</f>
        <v>14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11</v>
      </c>
      <c r="C41" s="145">
        <f>SUMIFS(Table2[NewPointsAway],Table2[GameDate], "&lt;=" &amp; $A41, Table2[AwayTeam], C$1)+SUMIFS(Table2[NewPointsHome],Table2[GameDate], "&lt;=" &amp; $A41, Table2[HomeTeam], C$1)</f>
        <v>10</v>
      </c>
      <c r="D41" s="145">
        <f>SUMIFS(Table2[NewPointsAway],Table2[GameDate], "&lt;=" &amp; $A41, Table2[AwayTeam], D$1)+SUMIFS(Table2[NewPointsHome],Table2[GameDate], "&lt;=" &amp; $A41, Table2[HomeTeam], D$1)</f>
        <v>10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12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12</v>
      </c>
      <c r="I41" s="145">
        <f>SUMIFS(Table2[NewPointsAway],Table2[GameDate], "&lt;=" &amp; $A41, Table2[AwayTeam], I$1)+SUMIFS(Table2[NewPointsHome],Table2[GameDate], "&lt;=" &amp; $A41, Table2[HomeTeam], I$1)</f>
        <v>16</v>
      </c>
      <c r="J41" s="145">
        <f>SUMIFS(Table2[NewPointsAway],Table2[GameDate], "&lt;=" &amp; $A41, Table2[AwayTeam], J$1)+SUMIFS(Table2[NewPointsHome],Table2[GameDate], "&lt;=" &amp; $A41, Table2[HomeTeam], J$1)</f>
        <v>13</v>
      </c>
      <c r="K41" s="145">
        <f>SUMIFS(Table2[NewPointsAway],Table2[GameDate], "&lt;=" &amp; $A41, Table2[AwayTeam], K$1)+SUMIFS(Table2[NewPointsHome],Table2[GameDate], "&lt;=" &amp; $A41, Table2[HomeTeam], K$1)</f>
        <v>14</v>
      </c>
      <c r="L41" s="145">
        <f>SUMIFS(Table2[NewPointsAway],Table2[GameDate], "&lt;=" &amp; $A41, Table2[AwayTeam], L$1)+SUMIFS(Table2[NewPointsHome],Table2[GameDate], "&lt;=" &amp; $A41, Table2[HomeTeam], L$1)</f>
        <v>12</v>
      </c>
      <c r="M41" s="145">
        <f>SUMIFS(Table2[NewPointsAway],Table2[GameDate], "&lt;=" &amp; $A41, Table2[AwayTeam], M$1)+SUMIFS(Table2[NewPointsHome],Table2[GameDate], "&lt;=" &amp; $A41, Table2[HomeTeam], M$1)</f>
        <v>11</v>
      </c>
      <c r="N41" s="145">
        <f>SUMIFS(Table2[NewPointsAway],Table2[GameDate], "&lt;=" &amp; $A41, Table2[AwayTeam], N$1)+SUMIFS(Table2[NewPointsHome],Table2[GameDate], "&lt;=" &amp; $A41, Table2[HomeTeam], N$1)</f>
        <v>13</v>
      </c>
      <c r="O41" s="145">
        <f>SUMIFS(Table2[NewPointsAway],Table2[GameDate], "&lt;=" &amp; $A41, Table2[AwayTeam], O$1)+SUMIFS(Table2[NewPointsHome],Table2[GameDate], "&lt;=" &amp; $A41, Table2[HomeTeam], O$1)</f>
        <v>9</v>
      </c>
      <c r="P41" s="145">
        <f>SUMIFS(Table2[NewPointsAway],Table2[GameDate], "&lt;=" &amp; $A41, Table2[AwayTeam], P$1)+SUMIFS(Table2[NewPointsHome],Table2[GameDate], "&lt;=" &amp; $A41, Table2[HomeTeam], P$1)</f>
        <v>16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10</v>
      </c>
      <c r="U41" s="145">
        <f>SUMIFS(Table2[NewPointsAway],Table2[GameDate], "&lt;=" &amp; $A41, Table2[AwayTeam], U$1)+SUMIFS(Table2[NewPointsHome],Table2[GameDate], "&lt;=" &amp; $A41, Table2[HomeTeam], U$1)</f>
        <v>11</v>
      </c>
      <c r="V41" s="145">
        <f>SUMIFS(Table2[NewPointsAway],Table2[GameDate], "&lt;=" &amp; $A41, Table2[AwayTeam], V$1)+SUMIFS(Table2[NewPointsHome],Table2[GameDate], "&lt;=" &amp; $A41, Table2[HomeTeam], V$1)</f>
        <v>11</v>
      </c>
      <c r="W41" s="145">
        <f>SUMIFS(Table2[NewPointsAway],Table2[GameDate], "&lt;=" &amp; $A41, Table2[AwayTeam], W$1)+SUMIFS(Table2[NewPointsHome],Table2[GameDate], "&lt;=" &amp; $A41, Table2[HomeTeam], W$1)</f>
        <v>16</v>
      </c>
      <c r="X41" s="145">
        <f>SUMIFS(Table2[NewPointsAway],Table2[GameDate], "&lt;=" &amp; $A41, Table2[AwayTeam], X$1)+SUMIFS(Table2[NewPointsHome],Table2[GameDate], "&lt;=" &amp; $A41, Table2[HomeTeam], X$1)</f>
        <v>13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10</v>
      </c>
      <c r="AB41" s="145">
        <f>SUMIFS(Table2[NewPointsAway],Table2[GameDate], "&lt;=" &amp; $A41, Table2[AwayTeam], AB$1)+SUMIFS(Table2[NewPointsHome],Table2[GameDate], "&lt;=" &amp; $A41, Table2[HomeTeam], AB$1)</f>
        <v>11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15</v>
      </c>
      <c r="AF41" s="145">
        <f>SUMIFS(Table2[NewPointsAway],Table2[GameDate], "&lt;=" &amp; $A41, Table2[AwayTeam], AF$1)+SUMIFS(Table2[NewPointsHome],Table2[GameDate], "&lt;=" &amp; $A41, Table2[HomeTeam], AF$1)</f>
        <v>14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11</v>
      </c>
      <c r="C42" s="145">
        <f>SUMIFS(Table2[NewPointsAway],Table2[GameDate], "&lt;=" &amp; $A42, Table2[AwayTeam], C$1)+SUMIFS(Table2[NewPointsHome],Table2[GameDate], "&lt;=" &amp; $A42, Table2[HomeTeam], C$1)</f>
        <v>10</v>
      </c>
      <c r="D42" s="145">
        <f>SUMIFS(Table2[NewPointsAway],Table2[GameDate], "&lt;=" &amp; $A42, Table2[AwayTeam], D$1)+SUMIFS(Table2[NewPointsHome],Table2[GameDate], "&lt;=" &amp; $A42, Table2[HomeTeam], D$1)</f>
        <v>10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12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12</v>
      </c>
      <c r="I42" s="145">
        <f>SUMIFS(Table2[NewPointsAway],Table2[GameDate], "&lt;=" &amp; $A42, Table2[AwayTeam], I$1)+SUMIFS(Table2[NewPointsHome],Table2[GameDate], "&lt;=" &amp; $A42, Table2[HomeTeam], I$1)</f>
        <v>16</v>
      </c>
      <c r="J42" s="145">
        <f>SUMIFS(Table2[NewPointsAway],Table2[GameDate], "&lt;=" &amp; $A42, Table2[AwayTeam], J$1)+SUMIFS(Table2[NewPointsHome],Table2[GameDate], "&lt;=" &amp; $A42, Table2[HomeTeam], J$1)</f>
        <v>13</v>
      </c>
      <c r="K42" s="145">
        <f>SUMIFS(Table2[NewPointsAway],Table2[GameDate], "&lt;=" &amp; $A42, Table2[AwayTeam], K$1)+SUMIFS(Table2[NewPointsHome],Table2[GameDate], "&lt;=" &amp; $A42, Table2[HomeTeam], K$1)</f>
        <v>14</v>
      </c>
      <c r="L42" s="145">
        <f>SUMIFS(Table2[NewPointsAway],Table2[GameDate], "&lt;=" &amp; $A42, Table2[AwayTeam], L$1)+SUMIFS(Table2[NewPointsHome],Table2[GameDate], "&lt;=" &amp; $A42, Table2[HomeTeam], L$1)</f>
        <v>12</v>
      </c>
      <c r="M42" s="145">
        <f>SUMIFS(Table2[NewPointsAway],Table2[GameDate], "&lt;=" &amp; $A42, Table2[AwayTeam], M$1)+SUMIFS(Table2[NewPointsHome],Table2[GameDate], "&lt;=" &amp; $A42, Table2[HomeTeam], M$1)</f>
        <v>11</v>
      </c>
      <c r="N42" s="145">
        <f>SUMIFS(Table2[NewPointsAway],Table2[GameDate], "&lt;=" &amp; $A42, Table2[AwayTeam], N$1)+SUMIFS(Table2[NewPointsHome],Table2[GameDate], "&lt;=" &amp; $A42, Table2[HomeTeam], N$1)</f>
        <v>13</v>
      </c>
      <c r="O42" s="145">
        <f>SUMIFS(Table2[NewPointsAway],Table2[GameDate], "&lt;=" &amp; $A42, Table2[AwayTeam], O$1)+SUMIFS(Table2[NewPointsHome],Table2[GameDate], "&lt;=" &amp; $A42, Table2[HomeTeam], O$1)</f>
        <v>9</v>
      </c>
      <c r="P42" s="145">
        <f>SUMIFS(Table2[NewPointsAway],Table2[GameDate], "&lt;=" &amp; $A42, Table2[AwayTeam], P$1)+SUMIFS(Table2[NewPointsHome],Table2[GameDate], "&lt;=" &amp; $A42, Table2[HomeTeam], P$1)</f>
        <v>16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10</v>
      </c>
      <c r="U42" s="145">
        <f>SUMIFS(Table2[NewPointsAway],Table2[GameDate], "&lt;=" &amp; $A42, Table2[AwayTeam], U$1)+SUMIFS(Table2[NewPointsHome],Table2[GameDate], "&lt;=" &amp; $A42, Table2[HomeTeam], U$1)</f>
        <v>11</v>
      </c>
      <c r="V42" s="145">
        <f>SUMIFS(Table2[NewPointsAway],Table2[GameDate], "&lt;=" &amp; $A42, Table2[AwayTeam], V$1)+SUMIFS(Table2[NewPointsHome],Table2[GameDate], "&lt;=" &amp; $A42, Table2[HomeTeam], V$1)</f>
        <v>11</v>
      </c>
      <c r="W42" s="145">
        <f>SUMIFS(Table2[NewPointsAway],Table2[GameDate], "&lt;=" &amp; $A42, Table2[AwayTeam], W$1)+SUMIFS(Table2[NewPointsHome],Table2[GameDate], "&lt;=" &amp; $A42, Table2[HomeTeam], W$1)</f>
        <v>16</v>
      </c>
      <c r="X42" s="145">
        <f>SUMIFS(Table2[NewPointsAway],Table2[GameDate], "&lt;=" &amp; $A42, Table2[AwayTeam], X$1)+SUMIFS(Table2[NewPointsHome],Table2[GameDate], "&lt;=" &amp; $A42, Table2[HomeTeam], X$1)</f>
        <v>13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10</v>
      </c>
      <c r="AB42" s="145">
        <f>SUMIFS(Table2[NewPointsAway],Table2[GameDate], "&lt;=" &amp; $A42, Table2[AwayTeam], AB$1)+SUMIFS(Table2[NewPointsHome],Table2[GameDate], "&lt;=" &amp; $A42, Table2[HomeTeam], AB$1)</f>
        <v>11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15</v>
      </c>
      <c r="AF42" s="145">
        <f>SUMIFS(Table2[NewPointsAway],Table2[GameDate], "&lt;=" &amp; $A42, Table2[AwayTeam], AF$1)+SUMIFS(Table2[NewPointsHome],Table2[GameDate], "&lt;=" &amp; $A42, Table2[HomeTeam], AF$1)</f>
        <v>14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11</v>
      </c>
      <c r="C43" s="145">
        <f>SUMIFS(Table2[NewPointsAway],Table2[GameDate], "&lt;=" &amp; $A43, Table2[AwayTeam], C$1)+SUMIFS(Table2[NewPointsHome],Table2[GameDate], "&lt;=" &amp; $A43, Table2[HomeTeam], C$1)</f>
        <v>10</v>
      </c>
      <c r="D43" s="145">
        <f>SUMIFS(Table2[NewPointsAway],Table2[GameDate], "&lt;=" &amp; $A43, Table2[AwayTeam], D$1)+SUMIFS(Table2[NewPointsHome],Table2[GameDate], "&lt;=" &amp; $A43, Table2[HomeTeam], D$1)</f>
        <v>10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12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12</v>
      </c>
      <c r="I43" s="145">
        <f>SUMIFS(Table2[NewPointsAway],Table2[GameDate], "&lt;=" &amp; $A43, Table2[AwayTeam], I$1)+SUMIFS(Table2[NewPointsHome],Table2[GameDate], "&lt;=" &amp; $A43, Table2[HomeTeam], I$1)</f>
        <v>16</v>
      </c>
      <c r="J43" s="145">
        <f>SUMIFS(Table2[NewPointsAway],Table2[GameDate], "&lt;=" &amp; $A43, Table2[AwayTeam], J$1)+SUMIFS(Table2[NewPointsHome],Table2[GameDate], "&lt;=" &amp; $A43, Table2[HomeTeam], J$1)</f>
        <v>13</v>
      </c>
      <c r="K43" s="145">
        <f>SUMIFS(Table2[NewPointsAway],Table2[GameDate], "&lt;=" &amp; $A43, Table2[AwayTeam], K$1)+SUMIFS(Table2[NewPointsHome],Table2[GameDate], "&lt;=" &amp; $A43, Table2[HomeTeam], K$1)</f>
        <v>14</v>
      </c>
      <c r="L43" s="145">
        <f>SUMIFS(Table2[NewPointsAway],Table2[GameDate], "&lt;=" &amp; $A43, Table2[AwayTeam], L$1)+SUMIFS(Table2[NewPointsHome],Table2[GameDate], "&lt;=" &amp; $A43, Table2[HomeTeam], L$1)</f>
        <v>12</v>
      </c>
      <c r="M43" s="145">
        <f>SUMIFS(Table2[NewPointsAway],Table2[GameDate], "&lt;=" &amp; $A43, Table2[AwayTeam], M$1)+SUMIFS(Table2[NewPointsHome],Table2[GameDate], "&lt;=" &amp; $A43, Table2[HomeTeam], M$1)</f>
        <v>11</v>
      </c>
      <c r="N43" s="145">
        <f>SUMIFS(Table2[NewPointsAway],Table2[GameDate], "&lt;=" &amp; $A43, Table2[AwayTeam], N$1)+SUMIFS(Table2[NewPointsHome],Table2[GameDate], "&lt;=" &amp; $A43, Table2[HomeTeam], N$1)</f>
        <v>13</v>
      </c>
      <c r="O43" s="145">
        <f>SUMIFS(Table2[NewPointsAway],Table2[GameDate], "&lt;=" &amp; $A43, Table2[AwayTeam], O$1)+SUMIFS(Table2[NewPointsHome],Table2[GameDate], "&lt;=" &amp; $A43, Table2[HomeTeam], O$1)</f>
        <v>9</v>
      </c>
      <c r="P43" s="145">
        <f>SUMIFS(Table2[NewPointsAway],Table2[GameDate], "&lt;=" &amp; $A43, Table2[AwayTeam], P$1)+SUMIFS(Table2[NewPointsHome],Table2[GameDate], "&lt;=" &amp; $A43, Table2[HomeTeam], P$1)</f>
        <v>16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10</v>
      </c>
      <c r="U43" s="145">
        <f>SUMIFS(Table2[NewPointsAway],Table2[GameDate], "&lt;=" &amp; $A43, Table2[AwayTeam], U$1)+SUMIFS(Table2[NewPointsHome],Table2[GameDate], "&lt;=" &amp; $A43, Table2[HomeTeam], U$1)</f>
        <v>11</v>
      </c>
      <c r="V43" s="145">
        <f>SUMIFS(Table2[NewPointsAway],Table2[GameDate], "&lt;=" &amp; $A43, Table2[AwayTeam], V$1)+SUMIFS(Table2[NewPointsHome],Table2[GameDate], "&lt;=" &amp; $A43, Table2[HomeTeam], V$1)</f>
        <v>11</v>
      </c>
      <c r="W43" s="145">
        <f>SUMIFS(Table2[NewPointsAway],Table2[GameDate], "&lt;=" &amp; $A43, Table2[AwayTeam], W$1)+SUMIFS(Table2[NewPointsHome],Table2[GameDate], "&lt;=" &amp; $A43, Table2[HomeTeam], W$1)</f>
        <v>16</v>
      </c>
      <c r="X43" s="145">
        <f>SUMIFS(Table2[NewPointsAway],Table2[GameDate], "&lt;=" &amp; $A43, Table2[AwayTeam], X$1)+SUMIFS(Table2[NewPointsHome],Table2[GameDate], "&lt;=" &amp; $A43, Table2[HomeTeam], X$1)</f>
        <v>13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10</v>
      </c>
      <c r="AB43" s="145">
        <f>SUMIFS(Table2[NewPointsAway],Table2[GameDate], "&lt;=" &amp; $A43, Table2[AwayTeam], AB$1)+SUMIFS(Table2[NewPointsHome],Table2[GameDate], "&lt;=" &amp; $A43, Table2[HomeTeam], AB$1)</f>
        <v>11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15</v>
      </c>
      <c r="AF43" s="145">
        <f>SUMIFS(Table2[NewPointsAway],Table2[GameDate], "&lt;=" &amp; $A43, Table2[AwayTeam], AF$1)+SUMIFS(Table2[NewPointsHome],Table2[GameDate], "&lt;=" &amp; $A43, Table2[HomeTeam], AF$1)</f>
        <v>14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11</v>
      </c>
      <c r="C44" s="145">
        <f>SUMIFS(Table2[NewPointsAway],Table2[GameDate], "&lt;=" &amp; $A44, Table2[AwayTeam], C$1)+SUMIFS(Table2[NewPointsHome],Table2[GameDate], "&lt;=" &amp; $A44, Table2[HomeTeam], C$1)</f>
        <v>10</v>
      </c>
      <c r="D44" s="145">
        <f>SUMIFS(Table2[NewPointsAway],Table2[GameDate], "&lt;=" &amp; $A44, Table2[AwayTeam], D$1)+SUMIFS(Table2[NewPointsHome],Table2[GameDate], "&lt;=" &amp; $A44, Table2[HomeTeam], D$1)</f>
        <v>10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12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12</v>
      </c>
      <c r="I44" s="145">
        <f>SUMIFS(Table2[NewPointsAway],Table2[GameDate], "&lt;=" &amp; $A44, Table2[AwayTeam], I$1)+SUMIFS(Table2[NewPointsHome],Table2[GameDate], "&lt;=" &amp; $A44, Table2[HomeTeam], I$1)</f>
        <v>16</v>
      </c>
      <c r="J44" s="145">
        <f>SUMIFS(Table2[NewPointsAway],Table2[GameDate], "&lt;=" &amp; $A44, Table2[AwayTeam], J$1)+SUMIFS(Table2[NewPointsHome],Table2[GameDate], "&lt;=" &amp; $A44, Table2[HomeTeam], J$1)</f>
        <v>13</v>
      </c>
      <c r="K44" s="145">
        <f>SUMIFS(Table2[NewPointsAway],Table2[GameDate], "&lt;=" &amp; $A44, Table2[AwayTeam], K$1)+SUMIFS(Table2[NewPointsHome],Table2[GameDate], "&lt;=" &amp; $A44, Table2[HomeTeam], K$1)</f>
        <v>14</v>
      </c>
      <c r="L44" s="145">
        <f>SUMIFS(Table2[NewPointsAway],Table2[GameDate], "&lt;=" &amp; $A44, Table2[AwayTeam], L$1)+SUMIFS(Table2[NewPointsHome],Table2[GameDate], "&lt;=" &amp; $A44, Table2[HomeTeam], L$1)</f>
        <v>12</v>
      </c>
      <c r="M44" s="145">
        <f>SUMIFS(Table2[NewPointsAway],Table2[GameDate], "&lt;=" &amp; $A44, Table2[AwayTeam], M$1)+SUMIFS(Table2[NewPointsHome],Table2[GameDate], "&lt;=" &amp; $A44, Table2[HomeTeam], M$1)</f>
        <v>11</v>
      </c>
      <c r="N44" s="145">
        <f>SUMIFS(Table2[NewPointsAway],Table2[GameDate], "&lt;=" &amp; $A44, Table2[AwayTeam], N$1)+SUMIFS(Table2[NewPointsHome],Table2[GameDate], "&lt;=" &amp; $A44, Table2[HomeTeam], N$1)</f>
        <v>13</v>
      </c>
      <c r="O44" s="145">
        <f>SUMIFS(Table2[NewPointsAway],Table2[GameDate], "&lt;=" &amp; $A44, Table2[AwayTeam], O$1)+SUMIFS(Table2[NewPointsHome],Table2[GameDate], "&lt;=" &amp; $A44, Table2[HomeTeam], O$1)</f>
        <v>9</v>
      </c>
      <c r="P44" s="145">
        <f>SUMIFS(Table2[NewPointsAway],Table2[GameDate], "&lt;=" &amp; $A44, Table2[AwayTeam], P$1)+SUMIFS(Table2[NewPointsHome],Table2[GameDate], "&lt;=" &amp; $A44, Table2[HomeTeam], P$1)</f>
        <v>16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10</v>
      </c>
      <c r="U44" s="145">
        <f>SUMIFS(Table2[NewPointsAway],Table2[GameDate], "&lt;=" &amp; $A44, Table2[AwayTeam], U$1)+SUMIFS(Table2[NewPointsHome],Table2[GameDate], "&lt;=" &amp; $A44, Table2[HomeTeam], U$1)</f>
        <v>11</v>
      </c>
      <c r="V44" s="145">
        <f>SUMIFS(Table2[NewPointsAway],Table2[GameDate], "&lt;=" &amp; $A44, Table2[AwayTeam], V$1)+SUMIFS(Table2[NewPointsHome],Table2[GameDate], "&lt;=" &amp; $A44, Table2[HomeTeam], V$1)</f>
        <v>11</v>
      </c>
      <c r="W44" s="145">
        <f>SUMIFS(Table2[NewPointsAway],Table2[GameDate], "&lt;=" &amp; $A44, Table2[AwayTeam], W$1)+SUMIFS(Table2[NewPointsHome],Table2[GameDate], "&lt;=" &amp; $A44, Table2[HomeTeam], W$1)</f>
        <v>16</v>
      </c>
      <c r="X44" s="145">
        <f>SUMIFS(Table2[NewPointsAway],Table2[GameDate], "&lt;=" &amp; $A44, Table2[AwayTeam], X$1)+SUMIFS(Table2[NewPointsHome],Table2[GameDate], "&lt;=" &amp; $A44, Table2[HomeTeam], X$1)</f>
        <v>13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10</v>
      </c>
      <c r="AB44" s="145">
        <f>SUMIFS(Table2[NewPointsAway],Table2[GameDate], "&lt;=" &amp; $A44, Table2[AwayTeam], AB$1)+SUMIFS(Table2[NewPointsHome],Table2[GameDate], "&lt;=" &amp; $A44, Table2[HomeTeam], AB$1)</f>
        <v>11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15</v>
      </c>
      <c r="AF44" s="145">
        <f>SUMIFS(Table2[NewPointsAway],Table2[GameDate], "&lt;=" &amp; $A44, Table2[AwayTeam], AF$1)+SUMIFS(Table2[NewPointsHome],Table2[GameDate], "&lt;=" &amp; $A44, Table2[HomeTeam], AF$1)</f>
        <v>14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11</v>
      </c>
      <c r="C45" s="145">
        <f>SUMIFS(Table2[NewPointsAway],Table2[GameDate], "&lt;=" &amp; $A45, Table2[AwayTeam], C$1)+SUMIFS(Table2[NewPointsHome],Table2[GameDate], "&lt;=" &amp; $A45, Table2[HomeTeam], C$1)</f>
        <v>10</v>
      </c>
      <c r="D45" s="145">
        <f>SUMIFS(Table2[NewPointsAway],Table2[GameDate], "&lt;=" &amp; $A45, Table2[AwayTeam], D$1)+SUMIFS(Table2[NewPointsHome],Table2[GameDate], "&lt;=" &amp; $A45, Table2[HomeTeam], D$1)</f>
        <v>10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12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12</v>
      </c>
      <c r="I45" s="145">
        <f>SUMIFS(Table2[NewPointsAway],Table2[GameDate], "&lt;=" &amp; $A45, Table2[AwayTeam], I$1)+SUMIFS(Table2[NewPointsHome],Table2[GameDate], "&lt;=" &amp; $A45, Table2[HomeTeam], I$1)</f>
        <v>16</v>
      </c>
      <c r="J45" s="145">
        <f>SUMIFS(Table2[NewPointsAway],Table2[GameDate], "&lt;=" &amp; $A45, Table2[AwayTeam], J$1)+SUMIFS(Table2[NewPointsHome],Table2[GameDate], "&lt;=" &amp; $A45, Table2[HomeTeam], J$1)</f>
        <v>13</v>
      </c>
      <c r="K45" s="145">
        <f>SUMIFS(Table2[NewPointsAway],Table2[GameDate], "&lt;=" &amp; $A45, Table2[AwayTeam], K$1)+SUMIFS(Table2[NewPointsHome],Table2[GameDate], "&lt;=" &amp; $A45, Table2[HomeTeam], K$1)</f>
        <v>14</v>
      </c>
      <c r="L45" s="145">
        <f>SUMIFS(Table2[NewPointsAway],Table2[GameDate], "&lt;=" &amp; $A45, Table2[AwayTeam], L$1)+SUMIFS(Table2[NewPointsHome],Table2[GameDate], "&lt;=" &amp; $A45, Table2[HomeTeam], L$1)</f>
        <v>12</v>
      </c>
      <c r="M45" s="145">
        <f>SUMIFS(Table2[NewPointsAway],Table2[GameDate], "&lt;=" &amp; $A45, Table2[AwayTeam], M$1)+SUMIFS(Table2[NewPointsHome],Table2[GameDate], "&lt;=" &amp; $A45, Table2[HomeTeam], M$1)</f>
        <v>11</v>
      </c>
      <c r="N45" s="145">
        <f>SUMIFS(Table2[NewPointsAway],Table2[GameDate], "&lt;=" &amp; $A45, Table2[AwayTeam], N$1)+SUMIFS(Table2[NewPointsHome],Table2[GameDate], "&lt;=" &amp; $A45, Table2[HomeTeam], N$1)</f>
        <v>13</v>
      </c>
      <c r="O45" s="145">
        <f>SUMIFS(Table2[NewPointsAway],Table2[GameDate], "&lt;=" &amp; $A45, Table2[AwayTeam], O$1)+SUMIFS(Table2[NewPointsHome],Table2[GameDate], "&lt;=" &amp; $A45, Table2[HomeTeam], O$1)</f>
        <v>9</v>
      </c>
      <c r="P45" s="145">
        <f>SUMIFS(Table2[NewPointsAway],Table2[GameDate], "&lt;=" &amp; $A45, Table2[AwayTeam], P$1)+SUMIFS(Table2[NewPointsHome],Table2[GameDate], "&lt;=" &amp; $A45, Table2[HomeTeam], P$1)</f>
        <v>16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10</v>
      </c>
      <c r="U45" s="145">
        <f>SUMIFS(Table2[NewPointsAway],Table2[GameDate], "&lt;=" &amp; $A45, Table2[AwayTeam], U$1)+SUMIFS(Table2[NewPointsHome],Table2[GameDate], "&lt;=" &amp; $A45, Table2[HomeTeam], U$1)</f>
        <v>11</v>
      </c>
      <c r="V45" s="145">
        <f>SUMIFS(Table2[NewPointsAway],Table2[GameDate], "&lt;=" &amp; $A45, Table2[AwayTeam], V$1)+SUMIFS(Table2[NewPointsHome],Table2[GameDate], "&lt;=" &amp; $A45, Table2[HomeTeam], V$1)</f>
        <v>11</v>
      </c>
      <c r="W45" s="145">
        <f>SUMIFS(Table2[NewPointsAway],Table2[GameDate], "&lt;=" &amp; $A45, Table2[AwayTeam], W$1)+SUMIFS(Table2[NewPointsHome],Table2[GameDate], "&lt;=" &amp; $A45, Table2[HomeTeam], W$1)</f>
        <v>16</v>
      </c>
      <c r="X45" s="145">
        <f>SUMIFS(Table2[NewPointsAway],Table2[GameDate], "&lt;=" &amp; $A45, Table2[AwayTeam], X$1)+SUMIFS(Table2[NewPointsHome],Table2[GameDate], "&lt;=" &amp; $A45, Table2[HomeTeam], X$1)</f>
        <v>13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10</v>
      </c>
      <c r="AB45" s="145">
        <f>SUMIFS(Table2[NewPointsAway],Table2[GameDate], "&lt;=" &amp; $A45, Table2[AwayTeam], AB$1)+SUMIFS(Table2[NewPointsHome],Table2[GameDate], "&lt;=" &amp; $A45, Table2[HomeTeam], AB$1)</f>
        <v>11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15</v>
      </c>
      <c r="AF45" s="145">
        <f>SUMIFS(Table2[NewPointsAway],Table2[GameDate], "&lt;=" &amp; $A45, Table2[AwayTeam], AF$1)+SUMIFS(Table2[NewPointsHome],Table2[GameDate], "&lt;=" &amp; $A45, Table2[HomeTeam], AF$1)</f>
        <v>14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11</v>
      </c>
      <c r="C46" s="145">
        <f>SUMIFS(Table2[NewPointsAway],Table2[GameDate], "&lt;=" &amp; $A46, Table2[AwayTeam], C$1)+SUMIFS(Table2[NewPointsHome],Table2[GameDate], "&lt;=" &amp; $A46, Table2[HomeTeam], C$1)</f>
        <v>10</v>
      </c>
      <c r="D46" s="145">
        <f>SUMIFS(Table2[NewPointsAway],Table2[GameDate], "&lt;=" &amp; $A46, Table2[AwayTeam], D$1)+SUMIFS(Table2[NewPointsHome],Table2[GameDate], "&lt;=" &amp; $A46, Table2[HomeTeam], D$1)</f>
        <v>10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12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12</v>
      </c>
      <c r="I46" s="145">
        <f>SUMIFS(Table2[NewPointsAway],Table2[GameDate], "&lt;=" &amp; $A46, Table2[AwayTeam], I$1)+SUMIFS(Table2[NewPointsHome],Table2[GameDate], "&lt;=" &amp; $A46, Table2[HomeTeam], I$1)</f>
        <v>16</v>
      </c>
      <c r="J46" s="145">
        <f>SUMIFS(Table2[NewPointsAway],Table2[GameDate], "&lt;=" &amp; $A46, Table2[AwayTeam], J$1)+SUMIFS(Table2[NewPointsHome],Table2[GameDate], "&lt;=" &amp; $A46, Table2[HomeTeam], J$1)</f>
        <v>13</v>
      </c>
      <c r="K46" s="145">
        <f>SUMIFS(Table2[NewPointsAway],Table2[GameDate], "&lt;=" &amp; $A46, Table2[AwayTeam], K$1)+SUMIFS(Table2[NewPointsHome],Table2[GameDate], "&lt;=" &amp; $A46, Table2[HomeTeam], K$1)</f>
        <v>14</v>
      </c>
      <c r="L46" s="145">
        <f>SUMIFS(Table2[NewPointsAway],Table2[GameDate], "&lt;=" &amp; $A46, Table2[AwayTeam], L$1)+SUMIFS(Table2[NewPointsHome],Table2[GameDate], "&lt;=" &amp; $A46, Table2[HomeTeam], L$1)</f>
        <v>12</v>
      </c>
      <c r="M46" s="145">
        <f>SUMIFS(Table2[NewPointsAway],Table2[GameDate], "&lt;=" &amp; $A46, Table2[AwayTeam], M$1)+SUMIFS(Table2[NewPointsHome],Table2[GameDate], "&lt;=" &amp; $A46, Table2[HomeTeam], M$1)</f>
        <v>11</v>
      </c>
      <c r="N46" s="145">
        <f>SUMIFS(Table2[NewPointsAway],Table2[GameDate], "&lt;=" &amp; $A46, Table2[AwayTeam], N$1)+SUMIFS(Table2[NewPointsHome],Table2[GameDate], "&lt;=" &amp; $A46, Table2[HomeTeam], N$1)</f>
        <v>13</v>
      </c>
      <c r="O46" s="145">
        <f>SUMIFS(Table2[NewPointsAway],Table2[GameDate], "&lt;=" &amp; $A46, Table2[AwayTeam], O$1)+SUMIFS(Table2[NewPointsHome],Table2[GameDate], "&lt;=" &amp; $A46, Table2[HomeTeam], O$1)</f>
        <v>9</v>
      </c>
      <c r="P46" s="145">
        <f>SUMIFS(Table2[NewPointsAway],Table2[GameDate], "&lt;=" &amp; $A46, Table2[AwayTeam], P$1)+SUMIFS(Table2[NewPointsHome],Table2[GameDate], "&lt;=" &amp; $A46, Table2[HomeTeam], P$1)</f>
        <v>16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10</v>
      </c>
      <c r="U46" s="145">
        <f>SUMIFS(Table2[NewPointsAway],Table2[GameDate], "&lt;=" &amp; $A46, Table2[AwayTeam], U$1)+SUMIFS(Table2[NewPointsHome],Table2[GameDate], "&lt;=" &amp; $A46, Table2[HomeTeam], U$1)</f>
        <v>11</v>
      </c>
      <c r="V46" s="145">
        <f>SUMIFS(Table2[NewPointsAway],Table2[GameDate], "&lt;=" &amp; $A46, Table2[AwayTeam], V$1)+SUMIFS(Table2[NewPointsHome],Table2[GameDate], "&lt;=" &amp; $A46, Table2[HomeTeam], V$1)</f>
        <v>11</v>
      </c>
      <c r="W46" s="145">
        <f>SUMIFS(Table2[NewPointsAway],Table2[GameDate], "&lt;=" &amp; $A46, Table2[AwayTeam], W$1)+SUMIFS(Table2[NewPointsHome],Table2[GameDate], "&lt;=" &amp; $A46, Table2[HomeTeam], W$1)</f>
        <v>16</v>
      </c>
      <c r="X46" s="145">
        <f>SUMIFS(Table2[NewPointsAway],Table2[GameDate], "&lt;=" &amp; $A46, Table2[AwayTeam], X$1)+SUMIFS(Table2[NewPointsHome],Table2[GameDate], "&lt;=" &amp; $A46, Table2[HomeTeam], X$1)</f>
        <v>13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10</v>
      </c>
      <c r="AB46" s="145">
        <f>SUMIFS(Table2[NewPointsAway],Table2[GameDate], "&lt;=" &amp; $A46, Table2[AwayTeam], AB$1)+SUMIFS(Table2[NewPointsHome],Table2[GameDate], "&lt;=" &amp; $A46, Table2[HomeTeam], AB$1)</f>
        <v>11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15</v>
      </c>
      <c r="AF46" s="145">
        <f>SUMIFS(Table2[NewPointsAway],Table2[GameDate], "&lt;=" &amp; $A46, Table2[AwayTeam], AF$1)+SUMIFS(Table2[NewPointsHome],Table2[GameDate], "&lt;=" &amp; $A46, Table2[HomeTeam], AF$1)</f>
        <v>14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11</v>
      </c>
      <c r="C47" s="145">
        <f>SUMIFS(Table2[NewPointsAway],Table2[GameDate], "&lt;=" &amp; $A47, Table2[AwayTeam], C$1)+SUMIFS(Table2[NewPointsHome],Table2[GameDate], "&lt;=" &amp; $A47, Table2[HomeTeam], C$1)</f>
        <v>10</v>
      </c>
      <c r="D47" s="145">
        <f>SUMIFS(Table2[NewPointsAway],Table2[GameDate], "&lt;=" &amp; $A47, Table2[AwayTeam], D$1)+SUMIFS(Table2[NewPointsHome],Table2[GameDate], "&lt;=" &amp; $A47, Table2[HomeTeam], D$1)</f>
        <v>10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12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12</v>
      </c>
      <c r="I47" s="145">
        <f>SUMIFS(Table2[NewPointsAway],Table2[GameDate], "&lt;=" &amp; $A47, Table2[AwayTeam], I$1)+SUMIFS(Table2[NewPointsHome],Table2[GameDate], "&lt;=" &amp; $A47, Table2[HomeTeam], I$1)</f>
        <v>16</v>
      </c>
      <c r="J47" s="145">
        <f>SUMIFS(Table2[NewPointsAway],Table2[GameDate], "&lt;=" &amp; $A47, Table2[AwayTeam], J$1)+SUMIFS(Table2[NewPointsHome],Table2[GameDate], "&lt;=" &amp; $A47, Table2[HomeTeam], J$1)</f>
        <v>13</v>
      </c>
      <c r="K47" s="145">
        <f>SUMIFS(Table2[NewPointsAway],Table2[GameDate], "&lt;=" &amp; $A47, Table2[AwayTeam], K$1)+SUMIFS(Table2[NewPointsHome],Table2[GameDate], "&lt;=" &amp; $A47, Table2[HomeTeam], K$1)</f>
        <v>14</v>
      </c>
      <c r="L47" s="145">
        <f>SUMIFS(Table2[NewPointsAway],Table2[GameDate], "&lt;=" &amp; $A47, Table2[AwayTeam], L$1)+SUMIFS(Table2[NewPointsHome],Table2[GameDate], "&lt;=" &amp; $A47, Table2[HomeTeam], L$1)</f>
        <v>12</v>
      </c>
      <c r="M47" s="145">
        <f>SUMIFS(Table2[NewPointsAway],Table2[GameDate], "&lt;=" &amp; $A47, Table2[AwayTeam], M$1)+SUMIFS(Table2[NewPointsHome],Table2[GameDate], "&lt;=" &amp; $A47, Table2[HomeTeam], M$1)</f>
        <v>11</v>
      </c>
      <c r="N47" s="145">
        <f>SUMIFS(Table2[NewPointsAway],Table2[GameDate], "&lt;=" &amp; $A47, Table2[AwayTeam], N$1)+SUMIFS(Table2[NewPointsHome],Table2[GameDate], "&lt;=" &amp; $A47, Table2[HomeTeam], N$1)</f>
        <v>13</v>
      </c>
      <c r="O47" s="145">
        <f>SUMIFS(Table2[NewPointsAway],Table2[GameDate], "&lt;=" &amp; $A47, Table2[AwayTeam], O$1)+SUMIFS(Table2[NewPointsHome],Table2[GameDate], "&lt;=" &amp; $A47, Table2[HomeTeam], O$1)</f>
        <v>9</v>
      </c>
      <c r="P47" s="145">
        <f>SUMIFS(Table2[NewPointsAway],Table2[GameDate], "&lt;=" &amp; $A47, Table2[AwayTeam], P$1)+SUMIFS(Table2[NewPointsHome],Table2[GameDate], "&lt;=" &amp; $A47, Table2[HomeTeam], P$1)</f>
        <v>16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10</v>
      </c>
      <c r="U47" s="145">
        <f>SUMIFS(Table2[NewPointsAway],Table2[GameDate], "&lt;=" &amp; $A47, Table2[AwayTeam], U$1)+SUMIFS(Table2[NewPointsHome],Table2[GameDate], "&lt;=" &amp; $A47, Table2[HomeTeam], U$1)</f>
        <v>11</v>
      </c>
      <c r="V47" s="145">
        <f>SUMIFS(Table2[NewPointsAway],Table2[GameDate], "&lt;=" &amp; $A47, Table2[AwayTeam], V$1)+SUMIFS(Table2[NewPointsHome],Table2[GameDate], "&lt;=" &amp; $A47, Table2[HomeTeam], V$1)</f>
        <v>11</v>
      </c>
      <c r="W47" s="145">
        <f>SUMIFS(Table2[NewPointsAway],Table2[GameDate], "&lt;=" &amp; $A47, Table2[AwayTeam], W$1)+SUMIFS(Table2[NewPointsHome],Table2[GameDate], "&lt;=" &amp; $A47, Table2[HomeTeam], W$1)</f>
        <v>16</v>
      </c>
      <c r="X47" s="145">
        <f>SUMIFS(Table2[NewPointsAway],Table2[GameDate], "&lt;=" &amp; $A47, Table2[AwayTeam], X$1)+SUMIFS(Table2[NewPointsHome],Table2[GameDate], "&lt;=" &amp; $A47, Table2[HomeTeam], X$1)</f>
        <v>13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10</v>
      </c>
      <c r="AB47" s="145">
        <f>SUMIFS(Table2[NewPointsAway],Table2[GameDate], "&lt;=" &amp; $A47, Table2[AwayTeam], AB$1)+SUMIFS(Table2[NewPointsHome],Table2[GameDate], "&lt;=" &amp; $A47, Table2[HomeTeam], AB$1)</f>
        <v>11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15</v>
      </c>
      <c r="AF47" s="145">
        <f>SUMIFS(Table2[NewPointsAway],Table2[GameDate], "&lt;=" &amp; $A47, Table2[AwayTeam], AF$1)+SUMIFS(Table2[NewPointsHome],Table2[GameDate], "&lt;=" &amp; $A47, Table2[HomeTeam], AF$1)</f>
        <v>14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11</v>
      </c>
      <c r="C48" s="145">
        <f>SUMIFS(Table2[NewPointsAway],Table2[GameDate], "&lt;=" &amp; $A48, Table2[AwayTeam], C$1)+SUMIFS(Table2[NewPointsHome],Table2[GameDate], "&lt;=" &amp; $A48, Table2[HomeTeam], C$1)</f>
        <v>10</v>
      </c>
      <c r="D48" s="145">
        <f>SUMIFS(Table2[NewPointsAway],Table2[GameDate], "&lt;=" &amp; $A48, Table2[AwayTeam], D$1)+SUMIFS(Table2[NewPointsHome],Table2[GameDate], "&lt;=" &amp; $A48, Table2[HomeTeam], D$1)</f>
        <v>10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12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12</v>
      </c>
      <c r="I48" s="145">
        <f>SUMIFS(Table2[NewPointsAway],Table2[GameDate], "&lt;=" &amp; $A48, Table2[AwayTeam], I$1)+SUMIFS(Table2[NewPointsHome],Table2[GameDate], "&lt;=" &amp; $A48, Table2[HomeTeam], I$1)</f>
        <v>16</v>
      </c>
      <c r="J48" s="145">
        <f>SUMIFS(Table2[NewPointsAway],Table2[GameDate], "&lt;=" &amp; $A48, Table2[AwayTeam], J$1)+SUMIFS(Table2[NewPointsHome],Table2[GameDate], "&lt;=" &amp; $A48, Table2[HomeTeam], J$1)</f>
        <v>13</v>
      </c>
      <c r="K48" s="145">
        <f>SUMIFS(Table2[NewPointsAway],Table2[GameDate], "&lt;=" &amp; $A48, Table2[AwayTeam], K$1)+SUMIFS(Table2[NewPointsHome],Table2[GameDate], "&lt;=" &amp; $A48, Table2[HomeTeam], K$1)</f>
        <v>14</v>
      </c>
      <c r="L48" s="145">
        <f>SUMIFS(Table2[NewPointsAway],Table2[GameDate], "&lt;=" &amp; $A48, Table2[AwayTeam], L$1)+SUMIFS(Table2[NewPointsHome],Table2[GameDate], "&lt;=" &amp; $A48, Table2[HomeTeam], L$1)</f>
        <v>12</v>
      </c>
      <c r="M48" s="145">
        <f>SUMIFS(Table2[NewPointsAway],Table2[GameDate], "&lt;=" &amp; $A48, Table2[AwayTeam], M$1)+SUMIFS(Table2[NewPointsHome],Table2[GameDate], "&lt;=" &amp; $A48, Table2[HomeTeam], M$1)</f>
        <v>11</v>
      </c>
      <c r="N48" s="145">
        <f>SUMIFS(Table2[NewPointsAway],Table2[GameDate], "&lt;=" &amp; $A48, Table2[AwayTeam], N$1)+SUMIFS(Table2[NewPointsHome],Table2[GameDate], "&lt;=" &amp; $A48, Table2[HomeTeam], N$1)</f>
        <v>13</v>
      </c>
      <c r="O48" s="145">
        <f>SUMIFS(Table2[NewPointsAway],Table2[GameDate], "&lt;=" &amp; $A48, Table2[AwayTeam], O$1)+SUMIFS(Table2[NewPointsHome],Table2[GameDate], "&lt;=" &amp; $A48, Table2[HomeTeam], O$1)</f>
        <v>9</v>
      </c>
      <c r="P48" s="145">
        <f>SUMIFS(Table2[NewPointsAway],Table2[GameDate], "&lt;=" &amp; $A48, Table2[AwayTeam], P$1)+SUMIFS(Table2[NewPointsHome],Table2[GameDate], "&lt;=" &amp; $A48, Table2[HomeTeam], P$1)</f>
        <v>16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10</v>
      </c>
      <c r="U48" s="145">
        <f>SUMIFS(Table2[NewPointsAway],Table2[GameDate], "&lt;=" &amp; $A48, Table2[AwayTeam], U$1)+SUMIFS(Table2[NewPointsHome],Table2[GameDate], "&lt;=" &amp; $A48, Table2[HomeTeam], U$1)</f>
        <v>11</v>
      </c>
      <c r="V48" s="145">
        <f>SUMIFS(Table2[NewPointsAway],Table2[GameDate], "&lt;=" &amp; $A48, Table2[AwayTeam], V$1)+SUMIFS(Table2[NewPointsHome],Table2[GameDate], "&lt;=" &amp; $A48, Table2[HomeTeam], V$1)</f>
        <v>11</v>
      </c>
      <c r="W48" s="145">
        <f>SUMIFS(Table2[NewPointsAway],Table2[GameDate], "&lt;=" &amp; $A48, Table2[AwayTeam], W$1)+SUMIFS(Table2[NewPointsHome],Table2[GameDate], "&lt;=" &amp; $A48, Table2[HomeTeam], W$1)</f>
        <v>16</v>
      </c>
      <c r="X48" s="145">
        <f>SUMIFS(Table2[NewPointsAway],Table2[GameDate], "&lt;=" &amp; $A48, Table2[AwayTeam], X$1)+SUMIFS(Table2[NewPointsHome],Table2[GameDate], "&lt;=" &amp; $A48, Table2[HomeTeam], X$1)</f>
        <v>13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10</v>
      </c>
      <c r="AB48" s="145">
        <f>SUMIFS(Table2[NewPointsAway],Table2[GameDate], "&lt;=" &amp; $A48, Table2[AwayTeam], AB$1)+SUMIFS(Table2[NewPointsHome],Table2[GameDate], "&lt;=" &amp; $A48, Table2[HomeTeam], AB$1)</f>
        <v>11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15</v>
      </c>
      <c r="AF48" s="145">
        <f>SUMIFS(Table2[NewPointsAway],Table2[GameDate], "&lt;=" &amp; $A48, Table2[AwayTeam], AF$1)+SUMIFS(Table2[NewPointsHome],Table2[GameDate], "&lt;=" &amp; $A48, Table2[HomeTeam], AF$1)</f>
        <v>14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11</v>
      </c>
      <c r="C49" s="145">
        <f>SUMIFS(Table2[NewPointsAway],Table2[GameDate], "&lt;=" &amp; $A49, Table2[AwayTeam], C$1)+SUMIFS(Table2[NewPointsHome],Table2[GameDate], "&lt;=" &amp; $A49, Table2[HomeTeam], C$1)</f>
        <v>10</v>
      </c>
      <c r="D49" s="145">
        <f>SUMIFS(Table2[NewPointsAway],Table2[GameDate], "&lt;=" &amp; $A49, Table2[AwayTeam], D$1)+SUMIFS(Table2[NewPointsHome],Table2[GameDate], "&lt;=" &amp; $A49, Table2[HomeTeam], D$1)</f>
        <v>10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12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12</v>
      </c>
      <c r="I49" s="145">
        <f>SUMIFS(Table2[NewPointsAway],Table2[GameDate], "&lt;=" &amp; $A49, Table2[AwayTeam], I$1)+SUMIFS(Table2[NewPointsHome],Table2[GameDate], "&lt;=" &amp; $A49, Table2[HomeTeam], I$1)</f>
        <v>16</v>
      </c>
      <c r="J49" s="145">
        <f>SUMIFS(Table2[NewPointsAway],Table2[GameDate], "&lt;=" &amp; $A49, Table2[AwayTeam], J$1)+SUMIFS(Table2[NewPointsHome],Table2[GameDate], "&lt;=" &amp; $A49, Table2[HomeTeam], J$1)</f>
        <v>13</v>
      </c>
      <c r="K49" s="145">
        <f>SUMIFS(Table2[NewPointsAway],Table2[GameDate], "&lt;=" &amp; $A49, Table2[AwayTeam], K$1)+SUMIFS(Table2[NewPointsHome],Table2[GameDate], "&lt;=" &amp; $A49, Table2[HomeTeam], K$1)</f>
        <v>14</v>
      </c>
      <c r="L49" s="145">
        <f>SUMIFS(Table2[NewPointsAway],Table2[GameDate], "&lt;=" &amp; $A49, Table2[AwayTeam], L$1)+SUMIFS(Table2[NewPointsHome],Table2[GameDate], "&lt;=" &amp; $A49, Table2[HomeTeam], L$1)</f>
        <v>12</v>
      </c>
      <c r="M49" s="145">
        <f>SUMIFS(Table2[NewPointsAway],Table2[GameDate], "&lt;=" &amp; $A49, Table2[AwayTeam], M$1)+SUMIFS(Table2[NewPointsHome],Table2[GameDate], "&lt;=" &amp; $A49, Table2[HomeTeam], M$1)</f>
        <v>11</v>
      </c>
      <c r="N49" s="145">
        <f>SUMIFS(Table2[NewPointsAway],Table2[GameDate], "&lt;=" &amp; $A49, Table2[AwayTeam], N$1)+SUMIFS(Table2[NewPointsHome],Table2[GameDate], "&lt;=" &amp; $A49, Table2[HomeTeam], N$1)</f>
        <v>13</v>
      </c>
      <c r="O49" s="145">
        <f>SUMIFS(Table2[NewPointsAway],Table2[GameDate], "&lt;=" &amp; $A49, Table2[AwayTeam], O$1)+SUMIFS(Table2[NewPointsHome],Table2[GameDate], "&lt;=" &amp; $A49, Table2[HomeTeam], O$1)</f>
        <v>9</v>
      </c>
      <c r="P49" s="145">
        <f>SUMIFS(Table2[NewPointsAway],Table2[GameDate], "&lt;=" &amp; $A49, Table2[AwayTeam], P$1)+SUMIFS(Table2[NewPointsHome],Table2[GameDate], "&lt;=" &amp; $A49, Table2[HomeTeam], P$1)</f>
        <v>16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10</v>
      </c>
      <c r="U49" s="145">
        <f>SUMIFS(Table2[NewPointsAway],Table2[GameDate], "&lt;=" &amp; $A49, Table2[AwayTeam], U$1)+SUMIFS(Table2[NewPointsHome],Table2[GameDate], "&lt;=" &amp; $A49, Table2[HomeTeam], U$1)</f>
        <v>11</v>
      </c>
      <c r="V49" s="145">
        <f>SUMIFS(Table2[NewPointsAway],Table2[GameDate], "&lt;=" &amp; $A49, Table2[AwayTeam], V$1)+SUMIFS(Table2[NewPointsHome],Table2[GameDate], "&lt;=" &amp; $A49, Table2[HomeTeam], V$1)</f>
        <v>11</v>
      </c>
      <c r="W49" s="145">
        <f>SUMIFS(Table2[NewPointsAway],Table2[GameDate], "&lt;=" &amp; $A49, Table2[AwayTeam], W$1)+SUMIFS(Table2[NewPointsHome],Table2[GameDate], "&lt;=" &amp; $A49, Table2[HomeTeam], W$1)</f>
        <v>16</v>
      </c>
      <c r="X49" s="145">
        <f>SUMIFS(Table2[NewPointsAway],Table2[GameDate], "&lt;=" &amp; $A49, Table2[AwayTeam], X$1)+SUMIFS(Table2[NewPointsHome],Table2[GameDate], "&lt;=" &amp; $A49, Table2[HomeTeam], X$1)</f>
        <v>13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10</v>
      </c>
      <c r="AB49" s="145">
        <f>SUMIFS(Table2[NewPointsAway],Table2[GameDate], "&lt;=" &amp; $A49, Table2[AwayTeam], AB$1)+SUMIFS(Table2[NewPointsHome],Table2[GameDate], "&lt;=" &amp; $A49, Table2[HomeTeam], AB$1)</f>
        <v>11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15</v>
      </c>
      <c r="AF49" s="145">
        <f>SUMIFS(Table2[NewPointsAway],Table2[GameDate], "&lt;=" &amp; $A49, Table2[AwayTeam], AF$1)+SUMIFS(Table2[NewPointsHome],Table2[GameDate], "&lt;=" &amp; $A49, Table2[HomeTeam], AF$1)</f>
        <v>14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11</v>
      </c>
      <c r="C50" s="145">
        <f>SUMIFS(Table2[NewPointsAway],Table2[GameDate], "&lt;=" &amp; $A50, Table2[AwayTeam], C$1)+SUMIFS(Table2[NewPointsHome],Table2[GameDate], "&lt;=" &amp; $A50, Table2[HomeTeam], C$1)</f>
        <v>10</v>
      </c>
      <c r="D50" s="145">
        <f>SUMIFS(Table2[NewPointsAway],Table2[GameDate], "&lt;=" &amp; $A50, Table2[AwayTeam], D$1)+SUMIFS(Table2[NewPointsHome],Table2[GameDate], "&lt;=" &amp; $A50, Table2[HomeTeam], D$1)</f>
        <v>10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12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12</v>
      </c>
      <c r="I50" s="145">
        <f>SUMIFS(Table2[NewPointsAway],Table2[GameDate], "&lt;=" &amp; $A50, Table2[AwayTeam], I$1)+SUMIFS(Table2[NewPointsHome],Table2[GameDate], "&lt;=" &amp; $A50, Table2[HomeTeam], I$1)</f>
        <v>16</v>
      </c>
      <c r="J50" s="145">
        <f>SUMIFS(Table2[NewPointsAway],Table2[GameDate], "&lt;=" &amp; $A50, Table2[AwayTeam], J$1)+SUMIFS(Table2[NewPointsHome],Table2[GameDate], "&lt;=" &amp; $A50, Table2[HomeTeam], J$1)</f>
        <v>13</v>
      </c>
      <c r="K50" s="145">
        <f>SUMIFS(Table2[NewPointsAway],Table2[GameDate], "&lt;=" &amp; $A50, Table2[AwayTeam], K$1)+SUMIFS(Table2[NewPointsHome],Table2[GameDate], "&lt;=" &amp; $A50, Table2[HomeTeam], K$1)</f>
        <v>14</v>
      </c>
      <c r="L50" s="145">
        <f>SUMIFS(Table2[NewPointsAway],Table2[GameDate], "&lt;=" &amp; $A50, Table2[AwayTeam], L$1)+SUMIFS(Table2[NewPointsHome],Table2[GameDate], "&lt;=" &amp; $A50, Table2[HomeTeam], L$1)</f>
        <v>12</v>
      </c>
      <c r="M50" s="145">
        <f>SUMIFS(Table2[NewPointsAway],Table2[GameDate], "&lt;=" &amp; $A50, Table2[AwayTeam], M$1)+SUMIFS(Table2[NewPointsHome],Table2[GameDate], "&lt;=" &amp; $A50, Table2[HomeTeam], M$1)</f>
        <v>11</v>
      </c>
      <c r="N50" s="145">
        <f>SUMIFS(Table2[NewPointsAway],Table2[GameDate], "&lt;=" &amp; $A50, Table2[AwayTeam], N$1)+SUMIFS(Table2[NewPointsHome],Table2[GameDate], "&lt;=" &amp; $A50, Table2[HomeTeam], N$1)</f>
        <v>13</v>
      </c>
      <c r="O50" s="145">
        <f>SUMIFS(Table2[NewPointsAway],Table2[GameDate], "&lt;=" &amp; $A50, Table2[AwayTeam], O$1)+SUMIFS(Table2[NewPointsHome],Table2[GameDate], "&lt;=" &amp; $A50, Table2[HomeTeam], O$1)</f>
        <v>9</v>
      </c>
      <c r="P50" s="145">
        <f>SUMIFS(Table2[NewPointsAway],Table2[GameDate], "&lt;=" &amp; $A50, Table2[AwayTeam], P$1)+SUMIFS(Table2[NewPointsHome],Table2[GameDate], "&lt;=" &amp; $A50, Table2[HomeTeam], P$1)</f>
        <v>16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10</v>
      </c>
      <c r="U50" s="145">
        <f>SUMIFS(Table2[NewPointsAway],Table2[GameDate], "&lt;=" &amp; $A50, Table2[AwayTeam], U$1)+SUMIFS(Table2[NewPointsHome],Table2[GameDate], "&lt;=" &amp; $A50, Table2[HomeTeam], U$1)</f>
        <v>11</v>
      </c>
      <c r="V50" s="145">
        <f>SUMIFS(Table2[NewPointsAway],Table2[GameDate], "&lt;=" &amp; $A50, Table2[AwayTeam], V$1)+SUMIFS(Table2[NewPointsHome],Table2[GameDate], "&lt;=" &amp; $A50, Table2[HomeTeam], V$1)</f>
        <v>11</v>
      </c>
      <c r="W50" s="145">
        <f>SUMIFS(Table2[NewPointsAway],Table2[GameDate], "&lt;=" &amp; $A50, Table2[AwayTeam], W$1)+SUMIFS(Table2[NewPointsHome],Table2[GameDate], "&lt;=" &amp; $A50, Table2[HomeTeam], W$1)</f>
        <v>16</v>
      </c>
      <c r="X50" s="145">
        <f>SUMIFS(Table2[NewPointsAway],Table2[GameDate], "&lt;=" &amp; $A50, Table2[AwayTeam], X$1)+SUMIFS(Table2[NewPointsHome],Table2[GameDate], "&lt;=" &amp; $A50, Table2[HomeTeam], X$1)</f>
        <v>13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10</v>
      </c>
      <c r="AB50" s="145">
        <f>SUMIFS(Table2[NewPointsAway],Table2[GameDate], "&lt;=" &amp; $A50, Table2[AwayTeam], AB$1)+SUMIFS(Table2[NewPointsHome],Table2[GameDate], "&lt;=" &amp; $A50, Table2[HomeTeam], AB$1)</f>
        <v>11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15</v>
      </c>
      <c r="AF50" s="145">
        <f>SUMIFS(Table2[NewPointsAway],Table2[GameDate], "&lt;=" &amp; $A50, Table2[AwayTeam], AF$1)+SUMIFS(Table2[NewPointsHome],Table2[GameDate], "&lt;=" &amp; $A50, Table2[HomeTeam], AF$1)</f>
        <v>14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11</v>
      </c>
      <c r="C51" s="145">
        <f>SUMIFS(Table2[NewPointsAway],Table2[GameDate], "&lt;=" &amp; $A51, Table2[AwayTeam], C$1)+SUMIFS(Table2[NewPointsHome],Table2[GameDate], "&lt;=" &amp; $A51, Table2[HomeTeam], C$1)</f>
        <v>10</v>
      </c>
      <c r="D51" s="145">
        <f>SUMIFS(Table2[NewPointsAway],Table2[GameDate], "&lt;=" &amp; $A51, Table2[AwayTeam], D$1)+SUMIFS(Table2[NewPointsHome],Table2[GameDate], "&lt;=" &amp; $A51, Table2[HomeTeam], D$1)</f>
        <v>10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12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12</v>
      </c>
      <c r="I51" s="145">
        <f>SUMIFS(Table2[NewPointsAway],Table2[GameDate], "&lt;=" &amp; $A51, Table2[AwayTeam], I$1)+SUMIFS(Table2[NewPointsHome],Table2[GameDate], "&lt;=" &amp; $A51, Table2[HomeTeam], I$1)</f>
        <v>16</v>
      </c>
      <c r="J51" s="145">
        <f>SUMIFS(Table2[NewPointsAway],Table2[GameDate], "&lt;=" &amp; $A51, Table2[AwayTeam], J$1)+SUMIFS(Table2[NewPointsHome],Table2[GameDate], "&lt;=" &amp; $A51, Table2[HomeTeam], J$1)</f>
        <v>13</v>
      </c>
      <c r="K51" s="145">
        <f>SUMIFS(Table2[NewPointsAway],Table2[GameDate], "&lt;=" &amp; $A51, Table2[AwayTeam], K$1)+SUMIFS(Table2[NewPointsHome],Table2[GameDate], "&lt;=" &amp; $A51, Table2[HomeTeam], K$1)</f>
        <v>14</v>
      </c>
      <c r="L51" s="145">
        <f>SUMIFS(Table2[NewPointsAway],Table2[GameDate], "&lt;=" &amp; $A51, Table2[AwayTeam], L$1)+SUMIFS(Table2[NewPointsHome],Table2[GameDate], "&lt;=" &amp; $A51, Table2[HomeTeam], L$1)</f>
        <v>12</v>
      </c>
      <c r="M51" s="145">
        <f>SUMIFS(Table2[NewPointsAway],Table2[GameDate], "&lt;=" &amp; $A51, Table2[AwayTeam], M$1)+SUMIFS(Table2[NewPointsHome],Table2[GameDate], "&lt;=" &amp; $A51, Table2[HomeTeam], M$1)</f>
        <v>11</v>
      </c>
      <c r="N51" s="145">
        <f>SUMIFS(Table2[NewPointsAway],Table2[GameDate], "&lt;=" &amp; $A51, Table2[AwayTeam], N$1)+SUMIFS(Table2[NewPointsHome],Table2[GameDate], "&lt;=" &amp; $A51, Table2[HomeTeam], N$1)</f>
        <v>13</v>
      </c>
      <c r="O51" s="145">
        <f>SUMIFS(Table2[NewPointsAway],Table2[GameDate], "&lt;=" &amp; $A51, Table2[AwayTeam], O$1)+SUMIFS(Table2[NewPointsHome],Table2[GameDate], "&lt;=" &amp; $A51, Table2[HomeTeam], O$1)</f>
        <v>9</v>
      </c>
      <c r="P51" s="145">
        <f>SUMIFS(Table2[NewPointsAway],Table2[GameDate], "&lt;=" &amp; $A51, Table2[AwayTeam], P$1)+SUMIFS(Table2[NewPointsHome],Table2[GameDate], "&lt;=" &amp; $A51, Table2[HomeTeam], P$1)</f>
        <v>16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10</v>
      </c>
      <c r="U51" s="145">
        <f>SUMIFS(Table2[NewPointsAway],Table2[GameDate], "&lt;=" &amp; $A51, Table2[AwayTeam], U$1)+SUMIFS(Table2[NewPointsHome],Table2[GameDate], "&lt;=" &amp; $A51, Table2[HomeTeam], U$1)</f>
        <v>11</v>
      </c>
      <c r="V51" s="145">
        <f>SUMIFS(Table2[NewPointsAway],Table2[GameDate], "&lt;=" &amp; $A51, Table2[AwayTeam], V$1)+SUMIFS(Table2[NewPointsHome],Table2[GameDate], "&lt;=" &amp; $A51, Table2[HomeTeam], V$1)</f>
        <v>11</v>
      </c>
      <c r="W51" s="145">
        <f>SUMIFS(Table2[NewPointsAway],Table2[GameDate], "&lt;=" &amp; $A51, Table2[AwayTeam], W$1)+SUMIFS(Table2[NewPointsHome],Table2[GameDate], "&lt;=" &amp; $A51, Table2[HomeTeam], W$1)</f>
        <v>16</v>
      </c>
      <c r="X51" s="145">
        <f>SUMIFS(Table2[NewPointsAway],Table2[GameDate], "&lt;=" &amp; $A51, Table2[AwayTeam], X$1)+SUMIFS(Table2[NewPointsHome],Table2[GameDate], "&lt;=" &amp; $A51, Table2[HomeTeam], X$1)</f>
        <v>13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10</v>
      </c>
      <c r="AB51" s="145">
        <f>SUMIFS(Table2[NewPointsAway],Table2[GameDate], "&lt;=" &amp; $A51, Table2[AwayTeam], AB$1)+SUMIFS(Table2[NewPointsHome],Table2[GameDate], "&lt;=" &amp; $A51, Table2[HomeTeam], AB$1)</f>
        <v>11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15</v>
      </c>
      <c r="AF51" s="145">
        <f>SUMIFS(Table2[NewPointsAway],Table2[GameDate], "&lt;=" &amp; $A51, Table2[AwayTeam], AF$1)+SUMIFS(Table2[NewPointsHome],Table2[GameDate], "&lt;=" &amp; $A51, Table2[HomeTeam], AF$1)</f>
        <v>14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11</v>
      </c>
      <c r="C52" s="145">
        <f>SUMIFS(Table2[NewPointsAway],Table2[GameDate], "&lt;=" &amp; $A52, Table2[AwayTeam], C$1)+SUMIFS(Table2[NewPointsHome],Table2[GameDate], "&lt;=" &amp; $A52, Table2[HomeTeam], C$1)</f>
        <v>10</v>
      </c>
      <c r="D52" s="145">
        <f>SUMIFS(Table2[NewPointsAway],Table2[GameDate], "&lt;=" &amp; $A52, Table2[AwayTeam], D$1)+SUMIFS(Table2[NewPointsHome],Table2[GameDate], "&lt;=" &amp; $A52, Table2[HomeTeam], D$1)</f>
        <v>10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12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12</v>
      </c>
      <c r="I52" s="145">
        <f>SUMIFS(Table2[NewPointsAway],Table2[GameDate], "&lt;=" &amp; $A52, Table2[AwayTeam], I$1)+SUMIFS(Table2[NewPointsHome],Table2[GameDate], "&lt;=" &amp; $A52, Table2[HomeTeam], I$1)</f>
        <v>16</v>
      </c>
      <c r="J52" s="145">
        <f>SUMIFS(Table2[NewPointsAway],Table2[GameDate], "&lt;=" &amp; $A52, Table2[AwayTeam], J$1)+SUMIFS(Table2[NewPointsHome],Table2[GameDate], "&lt;=" &amp; $A52, Table2[HomeTeam], J$1)</f>
        <v>13</v>
      </c>
      <c r="K52" s="145">
        <f>SUMIFS(Table2[NewPointsAway],Table2[GameDate], "&lt;=" &amp; $A52, Table2[AwayTeam], K$1)+SUMIFS(Table2[NewPointsHome],Table2[GameDate], "&lt;=" &amp; $A52, Table2[HomeTeam], K$1)</f>
        <v>14</v>
      </c>
      <c r="L52" s="145">
        <f>SUMIFS(Table2[NewPointsAway],Table2[GameDate], "&lt;=" &amp; $A52, Table2[AwayTeam], L$1)+SUMIFS(Table2[NewPointsHome],Table2[GameDate], "&lt;=" &amp; $A52, Table2[HomeTeam], L$1)</f>
        <v>12</v>
      </c>
      <c r="M52" s="145">
        <f>SUMIFS(Table2[NewPointsAway],Table2[GameDate], "&lt;=" &amp; $A52, Table2[AwayTeam], M$1)+SUMIFS(Table2[NewPointsHome],Table2[GameDate], "&lt;=" &amp; $A52, Table2[HomeTeam], M$1)</f>
        <v>11</v>
      </c>
      <c r="N52" s="145">
        <f>SUMIFS(Table2[NewPointsAway],Table2[GameDate], "&lt;=" &amp; $A52, Table2[AwayTeam], N$1)+SUMIFS(Table2[NewPointsHome],Table2[GameDate], "&lt;=" &amp; $A52, Table2[HomeTeam], N$1)</f>
        <v>13</v>
      </c>
      <c r="O52" s="145">
        <f>SUMIFS(Table2[NewPointsAway],Table2[GameDate], "&lt;=" &amp; $A52, Table2[AwayTeam], O$1)+SUMIFS(Table2[NewPointsHome],Table2[GameDate], "&lt;=" &amp; $A52, Table2[HomeTeam], O$1)</f>
        <v>9</v>
      </c>
      <c r="P52" s="145">
        <f>SUMIFS(Table2[NewPointsAway],Table2[GameDate], "&lt;=" &amp; $A52, Table2[AwayTeam], P$1)+SUMIFS(Table2[NewPointsHome],Table2[GameDate], "&lt;=" &amp; $A52, Table2[HomeTeam], P$1)</f>
        <v>16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10</v>
      </c>
      <c r="U52" s="145">
        <f>SUMIFS(Table2[NewPointsAway],Table2[GameDate], "&lt;=" &amp; $A52, Table2[AwayTeam], U$1)+SUMIFS(Table2[NewPointsHome],Table2[GameDate], "&lt;=" &amp; $A52, Table2[HomeTeam], U$1)</f>
        <v>11</v>
      </c>
      <c r="V52" s="145">
        <f>SUMIFS(Table2[NewPointsAway],Table2[GameDate], "&lt;=" &amp; $A52, Table2[AwayTeam], V$1)+SUMIFS(Table2[NewPointsHome],Table2[GameDate], "&lt;=" &amp; $A52, Table2[HomeTeam], V$1)</f>
        <v>11</v>
      </c>
      <c r="W52" s="145">
        <f>SUMIFS(Table2[NewPointsAway],Table2[GameDate], "&lt;=" &amp; $A52, Table2[AwayTeam], W$1)+SUMIFS(Table2[NewPointsHome],Table2[GameDate], "&lt;=" &amp; $A52, Table2[HomeTeam], W$1)</f>
        <v>16</v>
      </c>
      <c r="X52" s="145">
        <f>SUMIFS(Table2[NewPointsAway],Table2[GameDate], "&lt;=" &amp; $A52, Table2[AwayTeam], X$1)+SUMIFS(Table2[NewPointsHome],Table2[GameDate], "&lt;=" &amp; $A52, Table2[HomeTeam], X$1)</f>
        <v>13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10</v>
      </c>
      <c r="AB52" s="145">
        <f>SUMIFS(Table2[NewPointsAway],Table2[GameDate], "&lt;=" &amp; $A52, Table2[AwayTeam], AB$1)+SUMIFS(Table2[NewPointsHome],Table2[GameDate], "&lt;=" &amp; $A52, Table2[HomeTeam], AB$1)</f>
        <v>11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15</v>
      </c>
      <c r="AF52" s="145">
        <f>SUMIFS(Table2[NewPointsAway],Table2[GameDate], "&lt;=" &amp; $A52, Table2[AwayTeam], AF$1)+SUMIFS(Table2[NewPointsHome],Table2[GameDate], "&lt;=" &amp; $A52, Table2[HomeTeam], AF$1)</f>
        <v>14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11</v>
      </c>
      <c r="C53" s="145">
        <f>SUMIFS(Table2[NewPointsAway],Table2[GameDate], "&lt;=" &amp; $A53, Table2[AwayTeam], C$1)+SUMIFS(Table2[NewPointsHome],Table2[GameDate], "&lt;=" &amp; $A53, Table2[HomeTeam], C$1)</f>
        <v>10</v>
      </c>
      <c r="D53" s="145">
        <f>SUMIFS(Table2[NewPointsAway],Table2[GameDate], "&lt;=" &amp; $A53, Table2[AwayTeam], D$1)+SUMIFS(Table2[NewPointsHome],Table2[GameDate], "&lt;=" &amp; $A53, Table2[HomeTeam], D$1)</f>
        <v>10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12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12</v>
      </c>
      <c r="I53" s="145">
        <f>SUMIFS(Table2[NewPointsAway],Table2[GameDate], "&lt;=" &amp; $A53, Table2[AwayTeam], I$1)+SUMIFS(Table2[NewPointsHome],Table2[GameDate], "&lt;=" &amp; $A53, Table2[HomeTeam], I$1)</f>
        <v>16</v>
      </c>
      <c r="J53" s="145">
        <f>SUMIFS(Table2[NewPointsAway],Table2[GameDate], "&lt;=" &amp; $A53, Table2[AwayTeam], J$1)+SUMIFS(Table2[NewPointsHome],Table2[GameDate], "&lt;=" &amp; $A53, Table2[HomeTeam], J$1)</f>
        <v>13</v>
      </c>
      <c r="K53" s="145">
        <f>SUMIFS(Table2[NewPointsAway],Table2[GameDate], "&lt;=" &amp; $A53, Table2[AwayTeam], K$1)+SUMIFS(Table2[NewPointsHome],Table2[GameDate], "&lt;=" &amp; $A53, Table2[HomeTeam], K$1)</f>
        <v>14</v>
      </c>
      <c r="L53" s="145">
        <f>SUMIFS(Table2[NewPointsAway],Table2[GameDate], "&lt;=" &amp; $A53, Table2[AwayTeam], L$1)+SUMIFS(Table2[NewPointsHome],Table2[GameDate], "&lt;=" &amp; $A53, Table2[HomeTeam], L$1)</f>
        <v>12</v>
      </c>
      <c r="M53" s="145">
        <f>SUMIFS(Table2[NewPointsAway],Table2[GameDate], "&lt;=" &amp; $A53, Table2[AwayTeam], M$1)+SUMIFS(Table2[NewPointsHome],Table2[GameDate], "&lt;=" &amp; $A53, Table2[HomeTeam], M$1)</f>
        <v>11</v>
      </c>
      <c r="N53" s="145">
        <f>SUMIFS(Table2[NewPointsAway],Table2[GameDate], "&lt;=" &amp; $A53, Table2[AwayTeam], N$1)+SUMIFS(Table2[NewPointsHome],Table2[GameDate], "&lt;=" &amp; $A53, Table2[HomeTeam], N$1)</f>
        <v>13</v>
      </c>
      <c r="O53" s="145">
        <f>SUMIFS(Table2[NewPointsAway],Table2[GameDate], "&lt;=" &amp; $A53, Table2[AwayTeam], O$1)+SUMIFS(Table2[NewPointsHome],Table2[GameDate], "&lt;=" &amp; $A53, Table2[HomeTeam], O$1)</f>
        <v>9</v>
      </c>
      <c r="P53" s="145">
        <f>SUMIFS(Table2[NewPointsAway],Table2[GameDate], "&lt;=" &amp; $A53, Table2[AwayTeam], P$1)+SUMIFS(Table2[NewPointsHome],Table2[GameDate], "&lt;=" &amp; $A53, Table2[HomeTeam], P$1)</f>
        <v>16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10</v>
      </c>
      <c r="U53" s="145">
        <f>SUMIFS(Table2[NewPointsAway],Table2[GameDate], "&lt;=" &amp; $A53, Table2[AwayTeam], U$1)+SUMIFS(Table2[NewPointsHome],Table2[GameDate], "&lt;=" &amp; $A53, Table2[HomeTeam], U$1)</f>
        <v>11</v>
      </c>
      <c r="V53" s="145">
        <f>SUMIFS(Table2[NewPointsAway],Table2[GameDate], "&lt;=" &amp; $A53, Table2[AwayTeam], V$1)+SUMIFS(Table2[NewPointsHome],Table2[GameDate], "&lt;=" &amp; $A53, Table2[HomeTeam], V$1)</f>
        <v>11</v>
      </c>
      <c r="W53" s="145">
        <f>SUMIFS(Table2[NewPointsAway],Table2[GameDate], "&lt;=" &amp; $A53, Table2[AwayTeam], W$1)+SUMIFS(Table2[NewPointsHome],Table2[GameDate], "&lt;=" &amp; $A53, Table2[HomeTeam], W$1)</f>
        <v>16</v>
      </c>
      <c r="X53" s="145">
        <f>SUMIFS(Table2[NewPointsAway],Table2[GameDate], "&lt;=" &amp; $A53, Table2[AwayTeam], X$1)+SUMIFS(Table2[NewPointsHome],Table2[GameDate], "&lt;=" &amp; $A53, Table2[HomeTeam], X$1)</f>
        <v>13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10</v>
      </c>
      <c r="AB53" s="145">
        <f>SUMIFS(Table2[NewPointsAway],Table2[GameDate], "&lt;=" &amp; $A53, Table2[AwayTeam], AB$1)+SUMIFS(Table2[NewPointsHome],Table2[GameDate], "&lt;=" &amp; $A53, Table2[HomeTeam], AB$1)</f>
        <v>11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15</v>
      </c>
      <c r="AF53" s="145">
        <f>SUMIFS(Table2[NewPointsAway],Table2[GameDate], "&lt;=" &amp; $A53, Table2[AwayTeam], AF$1)+SUMIFS(Table2[NewPointsHome],Table2[GameDate], "&lt;=" &amp; $A53, Table2[HomeTeam], AF$1)</f>
        <v>14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11</v>
      </c>
      <c r="C54" s="145">
        <f>SUMIFS(Table2[NewPointsAway],Table2[GameDate], "&lt;=" &amp; $A54, Table2[AwayTeam], C$1)+SUMIFS(Table2[NewPointsHome],Table2[GameDate], "&lt;=" &amp; $A54, Table2[HomeTeam], C$1)</f>
        <v>10</v>
      </c>
      <c r="D54" s="145">
        <f>SUMIFS(Table2[NewPointsAway],Table2[GameDate], "&lt;=" &amp; $A54, Table2[AwayTeam], D$1)+SUMIFS(Table2[NewPointsHome],Table2[GameDate], "&lt;=" &amp; $A54, Table2[HomeTeam], D$1)</f>
        <v>10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12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12</v>
      </c>
      <c r="I54" s="145">
        <f>SUMIFS(Table2[NewPointsAway],Table2[GameDate], "&lt;=" &amp; $A54, Table2[AwayTeam], I$1)+SUMIFS(Table2[NewPointsHome],Table2[GameDate], "&lt;=" &amp; $A54, Table2[HomeTeam], I$1)</f>
        <v>16</v>
      </c>
      <c r="J54" s="145">
        <f>SUMIFS(Table2[NewPointsAway],Table2[GameDate], "&lt;=" &amp; $A54, Table2[AwayTeam], J$1)+SUMIFS(Table2[NewPointsHome],Table2[GameDate], "&lt;=" &amp; $A54, Table2[HomeTeam], J$1)</f>
        <v>13</v>
      </c>
      <c r="K54" s="145">
        <f>SUMIFS(Table2[NewPointsAway],Table2[GameDate], "&lt;=" &amp; $A54, Table2[AwayTeam], K$1)+SUMIFS(Table2[NewPointsHome],Table2[GameDate], "&lt;=" &amp; $A54, Table2[HomeTeam], K$1)</f>
        <v>14</v>
      </c>
      <c r="L54" s="145">
        <f>SUMIFS(Table2[NewPointsAway],Table2[GameDate], "&lt;=" &amp; $A54, Table2[AwayTeam], L$1)+SUMIFS(Table2[NewPointsHome],Table2[GameDate], "&lt;=" &amp; $A54, Table2[HomeTeam], L$1)</f>
        <v>12</v>
      </c>
      <c r="M54" s="145">
        <f>SUMIFS(Table2[NewPointsAway],Table2[GameDate], "&lt;=" &amp; $A54, Table2[AwayTeam], M$1)+SUMIFS(Table2[NewPointsHome],Table2[GameDate], "&lt;=" &amp; $A54, Table2[HomeTeam], M$1)</f>
        <v>11</v>
      </c>
      <c r="N54" s="145">
        <f>SUMIFS(Table2[NewPointsAway],Table2[GameDate], "&lt;=" &amp; $A54, Table2[AwayTeam], N$1)+SUMIFS(Table2[NewPointsHome],Table2[GameDate], "&lt;=" &amp; $A54, Table2[HomeTeam], N$1)</f>
        <v>13</v>
      </c>
      <c r="O54" s="145">
        <f>SUMIFS(Table2[NewPointsAway],Table2[GameDate], "&lt;=" &amp; $A54, Table2[AwayTeam], O$1)+SUMIFS(Table2[NewPointsHome],Table2[GameDate], "&lt;=" &amp; $A54, Table2[HomeTeam], O$1)</f>
        <v>9</v>
      </c>
      <c r="P54" s="145">
        <f>SUMIFS(Table2[NewPointsAway],Table2[GameDate], "&lt;=" &amp; $A54, Table2[AwayTeam], P$1)+SUMIFS(Table2[NewPointsHome],Table2[GameDate], "&lt;=" &amp; $A54, Table2[HomeTeam], P$1)</f>
        <v>16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10</v>
      </c>
      <c r="U54" s="145">
        <f>SUMIFS(Table2[NewPointsAway],Table2[GameDate], "&lt;=" &amp; $A54, Table2[AwayTeam], U$1)+SUMIFS(Table2[NewPointsHome],Table2[GameDate], "&lt;=" &amp; $A54, Table2[HomeTeam], U$1)</f>
        <v>11</v>
      </c>
      <c r="V54" s="145">
        <f>SUMIFS(Table2[NewPointsAway],Table2[GameDate], "&lt;=" &amp; $A54, Table2[AwayTeam], V$1)+SUMIFS(Table2[NewPointsHome],Table2[GameDate], "&lt;=" &amp; $A54, Table2[HomeTeam], V$1)</f>
        <v>11</v>
      </c>
      <c r="W54" s="145">
        <f>SUMIFS(Table2[NewPointsAway],Table2[GameDate], "&lt;=" &amp; $A54, Table2[AwayTeam], W$1)+SUMIFS(Table2[NewPointsHome],Table2[GameDate], "&lt;=" &amp; $A54, Table2[HomeTeam], W$1)</f>
        <v>16</v>
      </c>
      <c r="X54" s="145">
        <f>SUMIFS(Table2[NewPointsAway],Table2[GameDate], "&lt;=" &amp; $A54, Table2[AwayTeam], X$1)+SUMIFS(Table2[NewPointsHome],Table2[GameDate], "&lt;=" &amp; $A54, Table2[HomeTeam], X$1)</f>
        <v>13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10</v>
      </c>
      <c r="AB54" s="145">
        <f>SUMIFS(Table2[NewPointsAway],Table2[GameDate], "&lt;=" &amp; $A54, Table2[AwayTeam], AB$1)+SUMIFS(Table2[NewPointsHome],Table2[GameDate], "&lt;=" &amp; $A54, Table2[HomeTeam], AB$1)</f>
        <v>11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15</v>
      </c>
      <c r="AF54" s="145">
        <f>SUMIFS(Table2[NewPointsAway],Table2[GameDate], "&lt;=" &amp; $A54, Table2[AwayTeam], AF$1)+SUMIFS(Table2[NewPointsHome],Table2[GameDate], "&lt;=" &amp; $A54, Table2[HomeTeam], AF$1)</f>
        <v>14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11</v>
      </c>
      <c r="C55" s="145">
        <f>SUMIFS(Table2[NewPointsAway],Table2[GameDate], "&lt;=" &amp; $A55, Table2[AwayTeam], C$1)+SUMIFS(Table2[NewPointsHome],Table2[GameDate], "&lt;=" &amp; $A55, Table2[HomeTeam], C$1)</f>
        <v>10</v>
      </c>
      <c r="D55" s="145">
        <f>SUMIFS(Table2[NewPointsAway],Table2[GameDate], "&lt;=" &amp; $A55, Table2[AwayTeam], D$1)+SUMIFS(Table2[NewPointsHome],Table2[GameDate], "&lt;=" &amp; $A55, Table2[HomeTeam], D$1)</f>
        <v>10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12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12</v>
      </c>
      <c r="I55" s="145">
        <f>SUMIFS(Table2[NewPointsAway],Table2[GameDate], "&lt;=" &amp; $A55, Table2[AwayTeam], I$1)+SUMIFS(Table2[NewPointsHome],Table2[GameDate], "&lt;=" &amp; $A55, Table2[HomeTeam], I$1)</f>
        <v>16</v>
      </c>
      <c r="J55" s="145">
        <f>SUMIFS(Table2[NewPointsAway],Table2[GameDate], "&lt;=" &amp; $A55, Table2[AwayTeam], J$1)+SUMIFS(Table2[NewPointsHome],Table2[GameDate], "&lt;=" &amp; $A55, Table2[HomeTeam], J$1)</f>
        <v>13</v>
      </c>
      <c r="K55" s="145">
        <f>SUMIFS(Table2[NewPointsAway],Table2[GameDate], "&lt;=" &amp; $A55, Table2[AwayTeam], K$1)+SUMIFS(Table2[NewPointsHome],Table2[GameDate], "&lt;=" &amp; $A55, Table2[HomeTeam], K$1)</f>
        <v>14</v>
      </c>
      <c r="L55" s="145">
        <f>SUMIFS(Table2[NewPointsAway],Table2[GameDate], "&lt;=" &amp; $A55, Table2[AwayTeam], L$1)+SUMIFS(Table2[NewPointsHome],Table2[GameDate], "&lt;=" &amp; $A55, Table2[HomeTeam], L$1)</f>
        <v>12</v>
      </c>
      <c r="M55" s="145">
        <f>SUMIFS(Table2[NewPointsAway],Table2[GameDate], "&lt;=" &amp; $A55, Table2[AwayTeam], M$1)+SUMIFS(Table2[NewPointsHome],Table2[GameDate], "&lt;=" &amp; $A55, Table2[HomeTeam], M$1)</f>
        <v>11</v>
      </c>
      <c r="N55" s="145">
        <f>SUMIFS(Table2[NewPointsAway],Table2[GameDate], "&lt;=" &amp; $A55, Table2[AwayTeam], N$1)+SUMIFS(Table2[NewPointsHome],Table2[GameDate], "&lt;=" &amp; $A55, Table2[HomeTeam], N$1)</f>
        <v>13</v>
      </c>
      <c r="O55" s="145">
        <f>SUMIFS(Table2[NewPointsAway],Table2[GameDate], "&lt;=" &amp; $A55, Table2[AwayTeam], O$1)+SUMIFS(Table2[NewPointsHome],Table2[GameDate], "&lt;=" &amp; $A55, Table2[HomeTeam], O$1)</f>
        <v>9</v>
      </c>
      <c r="P55" s="145">
        <f>SUMIFS(Table2[NewPointsAway],Table2[GameDate], "&lt;=" &amp; $A55, Table2[AwayTeam], P$1)+SUMIFS(Table2[NewPointsHome],Table2[GameDate], "&lt;=" &amp; $A55, Table2[HomeTeam], P$1)</f>
        <v>16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10</v>
      </c>
      <c r="U55" s="145">
        <f>SUMIFS(Table2[NewPointsAway],Table2[GameDate], "&lt;=" &amp; $A55, Table2[AwayTeam], U$1)+SUMIFS(Table2[NewPointsHome],Table2[GameDate], "&lt;=" &amp; $A55, Table2[HomeTeam], U$1)</f>
        <v>11</v>
      </c>
      <c r="V55" s="145">
        <f>SUMIFS(Table2[NewPointsAway],Table2[GameDate], "&lt;=" &amp; $A55, Table2[AwayTeam], V$1)+SUMIFS(Table2[NewPointsHome],Table2[GameDate], "&lt;=" &amp; $A55, Table2[HomeTeam], V$1)</f>
        <v>11</v>
      </c>
      <c r="W55" s="145">
        <f>SUMIFS(Table2[NewPointsAway],Table2[GameDate], "&lt;=" &amp; $A55, Table2[AwayTeam], W$1)+SUMIFS(Table2[NewPointsHome],Table2[GameDate], "&lt;=" &amp; $A55, Table2[HomeTeam], W$1)</f>
        <v>16</v>
      </c>
      <c r="X55" s="145">
        <f>SUMIFS(Table2[NewPointsAway],Table2[GameDate], "&lt;=" &amp; $A55, Table2[AwayTeam], X$1)+SUMIFS(Table2[NewPointsHome],Table2[GameDate], "&lt;=" &amp; $A55, Table2[HomeTeam], X$1)</f>
        <v>13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10</v>
      </c>
      <c r="AB55" s="145">
        <f>SUMIFS(Table2[NewPointsAway],Table2[GameDate], "&lt;=" &amp; $A55, Table2[AwayTeam], AB$1)+SUMIFS(Table2[NewPointsHome],Table2[GameDate], "&lt;=" &amp; $A55, Table2[HomeTeam], AB$1)</f>
        <v>11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15</v>
      </c>
      <c r="AF55" s="145">
        <f>SUMIFS(Table2[NewPointsAway],Table2[GameDate], "&lt;=" &amp; $A55, Table2[AwayTeam], AF$1)+SUMIFS(Table2[NewPointsHome],Table2[GameDate], "&lt;=" &amp; $A55, Table2[HomeTeam], AF$1)</f>
        <v>14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11</v>
      </c>
      <c r="C56" s="145">
        <f>SUMIFS(Table2[NewPointsAway],Table2[GameDate], "&lt;=" &amp; $A56, Table2[AwayTeam], C$1)+SUMIFS(Table2[NewPointsHome],Table2[GameDate], "&lt;=" &amp; $A56, Table2[HomeTeam], C$1)</f>
        <v>10</v>
      </c>
      <c r="D56" s="145">
        <f>SUMIFS(Table2[NewPointsAway],Table2[GameDate], "&lt;=" &amp; $A56, Table2[AwayTeam], D$1)+SUMIFS(Table2[NewPointsHome],Table2[GameDate], "&lt;=" &amp; $A56, Table2[HomeTeam], D$1)</f>
        <v>10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12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12</v>
      </c>
      <c r="I56" s="145">
        <f>SUMIFS(Table2[NewPointsAway],Table2[GameDate], "&lt;=" &amp; $A56, Table2[AwayTeam], I$1)+SUMIFS(Table2[NewPointsHome],Table2[GameDate], "&lt;=" &amp; $A56, Table2[HomeTeam], I$1)</f>
        <v>16</v>
      </c>
      <c r="J56" s="145">
        <f>SUMIFS(Table2[NewPointsAway],Table2[GameDate], "&lt;=" &amp; $A56, Table2[AwayTeam], J$1)+SUMIFS(Table2[NewPointsHome],Table2[GameDate], "&lt;=" &amp; $A56, Table2[HomeTeam], J$1)</f>
        <v>13</v>
      </c>
      <c r="K56" s="145">
        <f>SUMIFS(Table2[NewPointsAway],Table2[GameDate], "&lt;=" &amp; $A56, Table2[AwayTeam], K$1)+SUMIFS(Table2[NewPointsHome],Table2[GameDate], "&lt;=" &amp; $A56, Table2[HomeTeam], K$1)</f>
        <v>14</v>
      </c>
      <c r="L56" s="145">
        <f>SUMIFS(Table2[NewPointsAway],Table2[GameDate], "&lt;=" &amp; $A56, Table2[AwayTeam], L$1)+SUMIFS(Table2[NewPointsHome],Table2[GameDate], "&lt;=" &amp; $A56, Table2[HomeTeam], L$1)</f>
        <v>12</v>
      </c>
      <c r="M56" s="145">
        <f>SUMIFS(Table2[NewPointsAway],Table2[GameDate], "&lt;=" &amp; $A56, Table2[AwayTeam], M$1)+SUMIFS(Table2[NewPointsHome],Table2[GameDate], "&lt;=" &amp; $A56, Table2[HomeTeam], M$1)</f>
        <v>11</v>
      </c>
      <c r="N56" s="145">
        <f>SUMIFS(Table2[NewPointsAway],Table2[GameDate], "&lt;=" &amp; $A56, Table2[AwayTeam], N$1)+SUMIFS(Table2[NewPointsHome],Table2[GameDate], "&lt;=" &amp; $A56, Table2[HomeTeam], N$1)</f>
        <v>13</v>
      </c>
      <c r="O56" s="145">
        <f>SUMIFS(Table2[NewPointsAway],Table2[GameDate], "&lt;=" &amp; $A56, Table2[AwayTeam], O$1)+SUMIFS(Table2[NewPointsHome],Table2[GameDate], "&lt;=" &amp; $A56, Table2[HomeTeam], O$1)</f>
        <v>9</v>
      </c>
      <c r="P56" s="145">
        <f>SUMIFS(Table2[NewPointsAway],Table2[GameDate], "&lt;=" &amp; $A56, Table2[AwayTeam], P$1)+SUMIFS(Table2[NewPointsHome],Table2[GameDate], "&lt;=" &amp; $A56, Table2[HomeTeam], P$1)</f>
        <v>16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10</v>
      </c>
      <c r="U56" s="145">
        <f>SUMIFS(Table2[NewPointsAway],Table2[GameDate], "&lt;=" &amp; $A56, Table2[AwayTeam], U$1)+SUMIFS(Table2[NewPointsHome],Table2[GameDate], "&lt;=" &amp; $A56, Table2[HomeTeam], U$1)</f>
        <v>11</v>
      </c>
      <c r="V56" s="145">
        <f>SUMIFS(Table2[NewPointsAway],Table2[GameDate], "&lt;=" &amp; $A56, Table2[AwayTeam], V$1)+SUMIFS(Table2[NewPointsHome],Table2[GameDate], "&lt;=" &amp; $A56, Table2[HomeTeam], V$1)</f>
        <v>11</v>
      </c>
      <c r="W56" s="145">
        <f>SUMIFS(Table2[NewPointsAway],Table2[GameDate], "&lt;=" &amp; $A56, Table2[AwayTeam], W$1)+SUMIFS(Table2[NewPointsHome],Table2[GameDate], "&lt;=" &amp; $A56, Table2[HomeTeam], W$1)</f>
        <v>16</v>
      </c>
      <c r="X56" s="145">
        <f>SUMIFS(Table2[NewPointsAway],Table2[GameDate], "&lt;=" &amp; $A56, Table2[AwayTeam], X$1)+SUMIFS(Table2[NewPointsHome],Table2[GameDate], "&lt;=" &amp; $A56, Table2[HomeTeam], X$1)</f>
        <v>13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10</v>
      </c>
      <c r="AB56" s="145">
        <f>SUMIFS(Table2[NewPointsAway],Table2[GameDate], "&lt;=" &amp; $A56, Table2[AwayTeam], AB$1)+SUMIFS(Table2[NewPointsHome],Table2[GameDate], "&lt;=" &amp; $A56, Table2[HomeTeam], AB$1)</f>
        <v>11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15</v>
      </c>
      <c r="AF56" s="145">
        <f>SUMIFS(Table2[NewPointsAway],Table2[GameDate], "&lt;=" &amp; $A56, Table2[AwayTeam], AF$1)+SUMIFS(Table2[NewPointsHome],Table2[GameDate], "&lt;=" &amp; $A56, Table2[HomeTeam], AF$1)</f>
        <v>14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11</v>
      </c>
      <c r="C57" s="145">
        <f>SUMIFS(Table2[NewPointsAway],Table2[GameDate], "&lt;=" &amp; $A57, Table2[AwayTeam], C$1)+SUMIFS(Table2[NewPointsHome],Table2[GameDate], "&lt;=" &amp; $A57, Table2[HomeTeam], C$1)</f>
        <v>10</v>
      </c>
      <c r="D57" s="145">
        <f>SUMIFS(Table2[NewPointsAway],Table2[GameDate], "&lt;=" &amp; $A57, Table2[AwayTeam], D$1)+SUMIFS(Table2[NewPointsHome],Table2[GameDate], "&lt;=" &amp; $A57, Table2[HomeTeam], D$1)</f>
        <v>10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12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12</v>
      </c>
      <c r="I57" s="145">
        <f>SUMIFS(Table2[NewPointsAway],Table2[GameDate], "&lt;=" &amp; $A57, Table2[AwayTeam], I$1)+SUMIFS(Table2[NewPointsHome],Table2[GameDate], "&lt;=" &amp; $A57, Table2[HomeTeam], I$1)</f>
        <v>16</v>
      </c>
      <c r="J57" s="145">
        <f>SUMIFS(Table2[NewPointsAway],Table2[GameDate], "&lt;=" &amp; $A57, Table2[AwayTeam], J$1)+SUMIFS(Table2[NewPointsHome],Table2[GameDate], "&lt;=" &amp; $A57, Table2[HomeTeam], J$1)</f>
        <v>13</v>
      </c>
      <c r="K57" s="145">
        <f>SUMIFS(Table2[NewPointsAway],Table2[GameDate], "&lt;=" &amp; $A57, Table2[AwayTeam], K$1)+SUMIFS(Table2[NewPointsHome],Table2[GameDate], "&lt;=" &amp; $A57, Table2[HomeTeam], K$1)</f>
        <v>14</v>
      </c>
      <c r="L57" s="145">
        <f>SUMIFS(Table2[NewPointsAway],Table2[GameDate], "&lt;=" &amp; $A57, Table2[AwayTeam], L$1)+SUMIFS(Table2[NewPointsHome],Table2[GameDate], "&lt;=" &amp; $A57, Table2[HomeTeam], L$1)</f>
        <v>12</v>
      </c>
      <c r="M57" s="145">
        <f>SUMIFS(Table2[NewPointsAway],Table2[GameDate], "&lt;=" &amp; $A57, Table2[AwayTeam], M$1)+SUMIFS(Table2[NewPointsHome],Table2[GameDate], "&lt;=" &amp; $A57, Table2[HomeTeam], M$1)</f>
        <v>11</v>
      </c>
      <c r="N57" s="145">
        <f>SUMIFS(Table2[NewPointsAway],Table2[GameDate], "&lt;=" &amp; $A57, Table2[AwayTeam], N$1)+SUMIFS(Table2[NewPointsHome],Table2[GameDate], "&lt;=" &amp; $A57, Table2[HomeTeam], N$1)</f>
        <v>13</v>
      </c>
      <c r="O57" s="145">
        <f>SUMIFS(Table2[NewPointsAway],Table2[GameDate], "&lt;=" &amp; $A57, Table2[AwayTeam], O$1)+SUMIFS(Table2[NewPointsHome],Table2[GameDate], "&lt;=" &amp; $A57, Table2[HomeTeam], O$1)</f>
        <v>9</v>
      </c>
      <c r="P57" s="145">
        <f>SUMIFS(Table2[NewPointsAway],Table2[GameDate], "&lt;=" &amp; $A57, Table2[AwayTeam], P$1)+SUMIFS(Table2[NewPointsHome],Table2[GameDate], "&lt;=" &amp; $A57, Table2[HomeTeam], P$1)</f>
        <v>16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10</v>
      </c>
      <c r="U57" s="145">
        <f>SUMIFS(Table2[NewPointsAway],Table2[GameDate], "&lt;=" &amp; $A57, Table2[AwayTeam], U$1)+SUMIFS(Table2[NewPointsHome],Table2[GameDate], "&lt;=" &amp; $A57, Table2[HomeTeam], U$1)</f>
        <v>11</v>
      </c>
      <c r="V57" s="145">
        <f>SUMIFS(Table2[NewPointsAway],Table2[GameDate], "&lt;=" &amp; $A57, Table2[AwayTeam], V$1)+SUMIFS(Table2[NewPointsHome],Table2[GameDate], "&lt;=" &amp; $A57, Table2[HomeTeam], V$1)</f>
        <v>11</v>
      </c>
      <c r="W57" s="145">
        <f>SUMIFS(Table2[NewPointsAway],Table2[GameDate], "&lt;=" &amp; $A57, Table2[AwayTeam], W$1)+SUMIFS(Table2[NewPointsHome],Table2[GameDate], "&lt;=" &amp; $A57, Table2[HomeTeam], W$1)</f>
        <v>16</v>
      </c>
      <c r="X57" s="145">
        <f>SUMIFS(Table2[NewPointsAway],Table2[GameDate], "&lt;=" &amp; $A57, Table2[AwayTeam], X$1)+SUMIFS(Table2[NewPointsHome],Table2[GameDate], "&lt;=" &amp; $A57, Table2[HomeTeam], X$1)</f>
        <v>13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10</v>
      </c>
      <c r="AB57" s="145">
        <f>SUMIFS(Table2[NewPointsAway],Table2[GameDate], "&lt;=" &amp; $A57, Table2[AwayTeam], AB$1)+SUMIFS(Table2[NewPointsHome],Table2[GameDate], "&lt;=" &amp; $A57, Table2[HomeTeam], AB$1)</f>
        <v>11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15</v>
      </c>
      <c r="AF57" s="145">
        <f>SUMIFS(Table2[NewPointsAway],Table2[GameDate], "&lt;=" &amp; $A57, Table2[AwayTeam], AF$1)+SUMIFS(Table2[NewPointsHome],Table2[GameDate], "&lt;=" &amp; $A57, Table2[HomeTeam], AF$1)</f>
        <v>14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11</v>
      </c>
      <c r="C58" s="145">
        <f>SUMIFS(Table2[NewPointsAway],Table2[GameDate], "&lt;=" &amp; $A58, Table2[AwayTeam], C$1)+SUMIFS(Table2[NewPointsHome],Table2[GameDate], "&lt;=" &amp; $A58, Table2[HomeTeam], C$1)</f>
        <v>10</v>
      </c>
      <c r="D58" s="145">
        <f>SUMIFS(Table2[NewPointsAway],Table2[GameDate], "&lt;=" &amp; $A58, Table2[AwayTeam], D$1)+SUMIFS(Table2[NewPointsHome],Table2[GameDate], "&lt;=" &amp; $A58, Table2[HomeTeam], D$1)</f>
        <v>10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12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12</v>
      </c>
      <c r="I58" s="145">
        <f>SUMIFS(Table2[NewPointsAway],Table2[GameDate], "&lt;=" &amp; $A58, Table2[AwayTeam], I$1)+SUMIFS(Table2[NewPointsHome],Table2[GameDate], "&lt;=" &amp; $A58, Table2[HomeTeam], I$1)</f>
        <v>16</v>
      </c>
      <c r="J58" s="145">
        <f>SUMIFS(Table2[NewPointsAway],Table2[GameDate], "&lt;=" &amp; $A58, Table2[AwayTeam], J$1)+SUMIFS(Table2[NewPointsHome],Table2[GameDate], "&lt;=" &amp; $A58, Table2[HomeTeam], J$1)</f>
        <v>13</v>
      </c>
      <c r="K58" s="145">
        <f>SUMIFS(Table2[NewPointsAway],Table2[GameDate], "&lt;=" &amp; $A58, Table2[AwayTeam], K$1)+SUMIFS(Table2[NewPointsHome],Table2[GameDate], "&lt;=" &amp; $A58, Table2[HomeTeam], K$1)</f>
        <v>14</v>
      </c>
      <c r="L58" s="145">
        <f>SUMIFS(Table2[NewPointsAway],Table2[GameDate], "&lt;=" &amp; $A58, Table2[AwayTeam], L$1)+SUMIFS(Table2[NewPointsHome],Table2[GameDate], "&lt;=" &amp; $A58, Table2[HomeTeam], L$1)</f>
        <v>12</v>
      </c>
      <c r="M58" s="145">
        <f>SUMIFS(Table2[NewPointsAway],Table2[GameDate], "&lt;=" &amp; $A58, Table2[AwayTeam], M$1)+SUMIFS(Table2[NewPointsHome],Table2[GameDate], "&lt;=" &amp; $A58, Table2[HomeTeam], M$1)</f>
        <v>11</v>
      </c>
      <c r="N58" s="145">
        <f>SUMIFS(Table2[NewPointsAway],Table2[GameDate], "&lt;=" &amp; $A58, Table2[AwayTeam], N$1)+SUMIFS(Table2[NewPointsHome],Table2[GameDate], "&lt;=" &amp; $A58, Table2[HomeTeam], N$1)</f>
        <v>13</v>
      </c>
      <c r="O58" s="145">
        <f>SUMIFS(Table2[NewPointsAway],Table2[GameDate], "&lt;=" &amp; $A58, Table2[AwayTeam], O$1)+SUMIFS(Table2[NewPointsHome],Table2[GameDate], "&lt;=" &amp; $A58, Table2[HomeTeam], O$1)</f>
        <v>9</v>
      </c>
      <c r="P58" s="145">
        <f>SUMIFS(Table2[NewPointsAway],Table2[GameDate], "&lt;=" &amp; $A58, Table2[AwayTeam], P$1)+SUMIFS(Table2[NewPointsHome],Table2[GameDate], "&lt;=" &amp; $A58, Table2[HomeTeam], P$1)</f>
        <v>16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10</v>
      </c>
      <c r="U58" s="145">
        <f>SUMIFS(Table2[NewPointsAway],Table2[GameDate], "&lt;=" &amp; $A58, Table2[AwayTeam], U$1)+SUMIFS(Table2[NewPointsHome],Table2[GameDate], "&lt;=" &amp; $A58, Table2[HomeTeam], U$1)</f>
        <v>11</v>
      </c>
      <c r="V58" s="145">
        <f>SUMIFS(Table2[NewPointsAway],Table2[GameDate], "&lt;=" &amp; $A58, Table2[AwayTeam], V$1)+SUMIFS(Table2[NewPointsHome],Table2[GameDate], "&lt;=" &amp; $A58, Table2[HomeTeam], V$1)</f>
        <v>11</v>
      </c>
      <c r="W58" s="145">
        <f>SUMIFS(Table2[NewPointsAway],Table2[GameDate], "&lt;=" &amp; $A58, Table2[AwayTeam], W$1)+SUMIFS(Table2[NewPointsHome],Table2[GameDate], "&lt;=" &amp; $A58, Table2[HomeTeam], W$1)</f>
        <v>16</v>
      </c>
      <c r="X58" s="145">
        <f>SUMIFS(Table2[NewPointsAway],Table2[GameDate], "&lt;=" &amp; $A58, Table2[AwayTeam], X$1)+SUMIFS(Table2[NewPointsHome],Table2[GameDate], "&lt;=" &amp; $A58, Table2[HomeTeam], X$1)</f>
        <v>13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10</v>
      </c>
      <c r="AB58" s="145">
        <f>SUMIFS(Table2[NewPointsAway],Table2[GameDate], "&lt;=" &amp; $A58, Table2[AwayTeam], AB$1)+SUMIFS(Table2[NewPointsHome],Table2[GameDate], "&lt;=" &amp; $A58, Table2[HomeTeam], AB$1)</f>
        <v>11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15</v>
      </c>
      <c r="AF58" s="145">
        <f>SUMIFS(Table2[NewPointsAway],Table2[GameDate], "&lt;=" &amp; $A58, Table2[AwayTeam], AF$1)+SUMIFS(Table2[NewPointsHome],Table2[GameDate], "&lt;=" &amp; $A58, Table2[HomeTeam], AF$1)</f>
        <v>14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11</v>
      </c>
      <c r="C59" s="145">
        <f>SUMIFS(Table2[NewPointsAway],Table2[GameDate], "&lt;=" &amp; $A59, Table2[AwayTeam], C$1)+SUMIFS(Table2[NewPointsHome],Table2[GameDate], "&lt;=" &amp; $A59, Table2[HomeTeam], C$1)</f>
        <v>10</v>
      </c>
      <c r="D59" s="145">
        <f>SUMIFS(Table2[NewPointsAway],Table2[GameDate], "&lt;=" &amp; $A59, Table2[AwayTeam], D$1)+SUMIFS(Table2[NewPointsHome],Table2[GameDate], "&lt;=" &amp; $A59, Table2[HomeTeam], D$1)</f>
        <v>10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12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12</v>
      </c>
      <c r="I59" s="145">
        <f>SUMIFS(Table2[NewPointsAway],Table2[GameDate], "&lt;=" &amp; $A59, Table2[AwayTeam], I$1)+SUMIFS(Table2[NewPointsHome],Table2[GameDate], "&lt;=" &amp; $A59, Table2[HomeTeam], I$1)</f>
        <v>16</v>
      </c>
      <c r="J59" s="145">
        <f>SUMIFS(Table2[NewPointsAway],Table2[GameDate], "&lt;=" &amp; $A59, Table2[AwayTeam], J$1)+SUMIFS(Table2[NewPointsHome],Table2[GameDate], "&lt;=" &amp; $A59, Table2[HomeTeam], J$1)</f>
        <v>13</v>
      </c>
      <c r="K59" s="145">
        <f>SUMIFS(Table2[NewPointsAway],Table2[GameDate], "&lt;=" &amp; $A59, Table2[AwayTeam], K$1)+SUMIFS(Table2[NewPointsHome],Table2[GameDate], "&lt;=" &amp; $A59, Table2[HomeTeam], K$1)</f>
        <v>14</v>
      </c>
      <c r="L59" s="145">
        <f>SUMIFS(Table2[NewPointsAway],Table2[GameDate], "&lt;=" &amp; $A59, Table2[AwayTeam], L$1)+SUMIFS(Table2[NewPointsHome],Table2[GameDate], "&lt;=" &amp; $A59, Table2[HomeTeam], L$1)</f>
        <v>12</v>
      </c>
      <c r="M59" s="145">
        <f>SUMIFS(Table2[NewPointsAway],Table2[GameDate], "&lt;=" &amp; $A59, Table2[AwayTeam], M$1)+SUMIFS(Table2[NewPointsHome],Table2[GameDate], "&lt;=" &amp; $A59, Table2[HomeTeam], M$1)</f>
        <v>11</v>
      </c>
      <c r="N59" s="145">
        <f>SUMIFS(Table2[NewPointsAway],Table2[GameDate], "&lt;=" &amp; $A59, Table2[AwayTeam], N$1)+SUMIFS(Table2[NewPointsHome],Table2[GameDate], "&lt;=" &amp; $A59, Table2[HomeTeam], N$1)</f>
        <v>13</v>
      </c>
      <c r="O59" s="145">
        <f>SUMIFS(Table2[NewPointsAway],Table2[GameDate], "&lt;=" &amp; $A59, Table2[AwayTeam], O$1)+SUMIFS(Table2[NewPointsHome],Table2[GameDate], "&lt;=" &amp; $A59, Table2[HomeTeam], O$1)</f>
        <v>9</v>
      </c>
      <c r="P59" s="145">
        <f>SUMIFS(Table2[NewPointsAway],Table2[GameDate], "&lt;=" &amp; $A59, Table2[AwayTeam], P$1)+SUMIFS(Table2[NewPointsHome],Table2[GameDate], "&lt;=" &amp; $A59, Table2[HomeTeam], P$1)</f>
        <v>16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10</v>
      </c>
      <c r="U59" s="145">
        <f>SUMIFS(Table2[NewPointsAway],Table2[GameDate], "&lt;=" &amp; $A59, Table2[AwayTeam], U$1)+SUMIFS(Table2[NewPointsHome],Table2[GameDate], "&lt;=" &amp; $A59, Table2[HomeTeam], U$1)</f>
        <v>11</v>
      </c>
      <c r="V59" s="145">
        <f>SUMIFS(Table2[NewPointsAway],Table2[GameDate], "&lt;=" &amp; $A59, Table2[AwayTeam], V$1)+SUMIFS(Table2[NewPointsHome],Table2[GameDate], "&lt;=" &amp; $A59, Table2[HomeTeam], V$1)</f>
        <v>11</v>
      </c>
      <c r="W59" s="145">
        <f>SUMIFS(Table2[NewPointsAway],Table2[GameDate], "&lt;=" &amp; $A59, Table2[AwayTeam], W$1)+SUMIFS(Table2[NewPointsHome],Table2[GameDate], "&lt;=" &amp; $A59, Table2[HomeTeam], W$1)</f>
        <v>16</v>
      </c>
      <c r="X59" s="145">
        <f>SUMIFS(Table2[NewPointsAway],Table2[GameDate], "&lt;=" &amp; $A59, Table2[AwayTeam], X$1)+SUMIFS(Table2[NewPointsHome],Table2[GameDate], "&lt;=" &amp; $A59, Table2[HomeTeam], X$1)</f>
        <v>13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10</v>
      </c>
      <c r="AB59" s="145">
        <f>SUMIFS(Table2[NewPointsAway],Table2[GameDate], "&lt;=" &amp; $A59, Table2[AwayTeam], AB$1)+SUMIFS(Table2[NewPointsHome],Table2[GameDate], "&lt;=" &amp; $A59, Table2[HomeTeam], AB$1)</f>
        <v>11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15</v>
      </c>
      <c r="AF59" s="145">
        <f>SUMIFS(Table2[NewPointsAway],Table2[GameDate], "&lt;=" &amp; $A59, Table2[AwayTeam], AF$1)+SUMIFS(Table2[NewPointsHome],Table2[GameDate], "&lt;=" &amp; $A59, Table2[HomeTeam], AF$1)</f>
        <v>14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11</v>
      </c>
      <c r="C60" s="145">
        <f>SUMIFS(Table2[NewPointsAway],Table2[GameDate], "&lt;=" &amp; $A60, Table2[AwayTeam], C$1)+SUMIFS(Table2[NewPointsHome],Table2[GameDate], "&lt;=" &amp; $A60, Table2[HomeTeam], C$1)</f>
        <v>10</v>
      </c>
      <c r="D60" s="145">
        <f>SUMIFS(Table2[NewPointsAway],Table2[GameDate], "&lt;=" &amp; $A60, Table2[AwayTeam], D$1)+SUMIFS(Table2[NewPointsHome],Table2[GameDate], "&lt;=" &amp; $A60, Table2[HomeTeam], D$1)</f>
        <v>10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12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12</v>
      </c>
      <c r="I60" s="145">
        <f>SUMIFS(Table2[NewPointsAway],Table2[GameDate], "&lt;=" &amp; $A60, Table2[AwayTeam], I$1)+SUMIFS(Table2[NewPointsHome],Table2[GameDate], "&lt;=" &amp; $A60, Table2[HomeTeam], I$1)</f>
        <v>16</v>
      </c>
      <c r="J60" s="145">
        <f>SUMIFS(Table2[NewPointsAway],Table2[GameDate], "&lt;=" &amp; $A60, Table2[AwayTeam], J$1)+SUMIFS(Table2[NewPointsHome],Table2[GameDate], "&lt;=" &amp; $A60, Table2[HomeTeam], J$1)</f>
        <v>13</v>
      </c>
      <c r="K60" s="145">
        <f>SUMIFS(Table2[NewPointsAway],Table2[GameDate], "&lt;=" &amp; $A60, Table2[AwayTeam], K$1)+SUMIFS(Table2[NewPointsHome],Table2[GameDate], "&lt;=" &amp; $A60, Table2[HomeTeam], K$1)</f>
        <v>14</v>
      </c>
      <c r="L60" s="145">
        <f>SUMIFS(Table2[NewPointsAway],Table2[GameDate], "&lt;=" &amp; $A60, Table2[AwayTeam], L$1)+SUMIFS(Table2[NewPointsHome],Table2[GameDate], "&lt;=" &amp; $A60, Table2[HomeTeam], L$1)</f>
        <v>12</v>
      </c>
      <c r="M60" s="145">
        <f>SUMIFS(Table2[NewPointsAway],Table2[GameDate], "&lt;=" &amp; $A60, Table2[AwayTeam], M$1)+SUMIFS(Table2[NewPointsHome],Table2[GameDate], "&lt;=" &amp; $A60, Table2[HomeTeam], M$1)</f>
        <v>11</v>
      </c>
      <c r="N60" s="145">
        <f>SUMIFS(Table2[NewPointsAway],Table2[GameDate], "&lt;=" &amp; $A60, Table2[AwayTeam], N$1)+SUMIFS(Table2[NewPointsHome],Table2[GameDate], "&lt;=" &amp; $A60, Table2[HomeTeam], N$1)</f>
        <v>13</v>
      </c>
      <c r="O60" s="145">
        <f>SUMIFS(Table2[NewPointsAway],Table2[GameDate], "&lt;=" &amp; $A60, Table2[AwayTeam], O$1)+SUMIFS(Table2[NewPointsHome],Table2[GameDate], "&lt;=" &amp; $A60, Table2[HomeTeam], O$1)</f>
        <v>9</v>
      </c>
      <c r="P60" s="145">
        <f>SUMIFS(Table2[NewPointsAway],Table2[GameDate], "&lt;=" &amp; $A60, Table2[AwayTeam], P$1)+SUMIFS(Table2[NewPointsHome],Table2[GameDate], "&lt;=" &amp; $A60, Table2[HomeTeam], P$1)</f>
        <v>16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10</v>
      </c>
      <c r="U60" s="145">
        <f>SUMIFS(Table2[NewPointsAway],Table2[GameDate], "&lt;=" &amp; $A60, Table2[AwayTeam], U$1)+SUMIFS(Table2[NewPointsHome],Table2[GameDate], "&lt;=" &amp; $A60, Table2[HomeTeam], U$1)</f>
        <v>11</v>
      </c>
      <c r="V60" s="145">
        <f>SUMIFS(Table2[NewPointsAway],Table2[GameDate], "&lt;=" &amp; $A60, Table2[AwayTeam], V$1)+SUMIFS(Table2[NewPointsHome],Table2[GameDate], "&lt;=" &amp; $A60, Table2[HomeTeam], V$1)</f>
        <v>11</v>
      </c>
      <c r="W60" s="145">
        <f>SUMIFS(Table2[NewPointsAway],Table2[GameDate], "&lt;=" &amp; $A60, Table2[AwayTeam], W$1)+SUMIFS(Table2[NewPointsHome],Table2[GameDate], "&lt;=" &amp; $A60, Table2[HomeTeam], W$1)</f>
        <v>16</v>
      </c>
      <c r="X60" s="145">
        <f>SUMIFS(Table2[NewPointsAway],Table2[GameDate], "&lt;=" &amp; $A60, Table2[AwayTeam], X$1)+SUMIFS(Table2[NewPointsHome],Table2[GameDate], "&lt;=" &amp; $A60, Table2[HomeTeam], X$1)</f>
        <v>13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10</v>
      </c>
      <c r="AB60" s="145">
        <f>SUMIFS(Table2[NewPointsAway],Table2[GameDate], "&lt;=" &amp; $A60, Table2[AwayTeam], AB$1)+SUMIFS(Table2[NewPointsHome],Table2[GameDate], "&lt;=" &amp; $A60, Table2[HomeTeam], AB$1)</f>
        <v>11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15</v>
      </c>
      <c r="AF60" s="145">
        <f>SUMIFS(Table2[NewPointsAway],Table2[GameDate], "&lt;=" &amp; $A60, Table2[AwayTeam], AF$1)+SUMIFS(Table2[NewPointsHome],Table2[GameDate], "&lt;=" &amp; $A60, Table2[HomeTeam], AF$1)</f>
        <v>14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11</v>
      </c>
      <c r="C61" s="145">
        <f>SUMIFS(Table2[NewPointsAway],Table2[GameDate], "&lt;=" &amp; $A61, Table2[AwayTeam], C$1)+SUMIFS(Table2[NewPointsHome],Table2[GameDate], "&lt;=" &amp; $A61, Table2[HomeTeam], C$1)</f>
        <v>10</v>
      </c>
      <c r="D61" s="145">
        <f>SUMIFS(Table2[NewPointsAway],Table2[GameDate], "&lt;=" &amp; $A61, Table2[AwayTeam], D$1)+SUMIFS(Table2[NewPointsHome],Table2[GameDate], "&lt;=" &amp; $A61, Table2[HomeTeam], D$1)</f>
        <v>10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12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12</v>
      </c>
      <c r="I61" s="145">
        <f>SUMIFS(Table2[NewPointsAway],Table2[GameDate], "&lt;=" &amp; $A61, Table2[AwayTeam], I$1)+SUMIFS(Table2[NewPointsHome],Table2[GameDate], "&lt;=" &amp; $A61, Table2[HomeTeam], I$1)</f>
        <v>16</v>
      </c>
      <c r="J61" s="145">
        <f>SUMIFS(Table2[NewPointsAway],Table2[GameDate], "&lt;=" &amp; $A61, Table2[AwayTeam], J$1)+SUMIFS(Table2[NewPointsHome],Table2[GameDate], "&lt;=" &amp; $A61, Table2[HomeTeam], J$1)</f>
        <v>13</v>
      </c>
      <c r="K61" s="145">
        <f>SUMIFS(Table2[NewPointsAway],Table2[GameDate], "&lt;=" &amp; $A61, Table2[AwayTeam], K$1)+SUMIFS(Table2[NewPointsHome],Table2[GameDate], "&lt;=" &amp; $A61, Table2[HomeTeam], K$1)</f>
        <v>14</v>
      </c>
      <c r="L61" s="145">
        <f>SUMIFS(Table2[NewPointsAway],Table2[GameDate], "&lt;=" &amp; $A61, Table2[AwayTeam], L$1)+SUMIFS(Table2[NewPointsHome],Table2[GameDate], "&lt;=" &amp; $A61, Table2[HomeTeam], L$1)</f>
        <v>12</v>
      </c>
      <c r="M61" s="145">
        <f>SUMIFS(Table2[NewPointsAway],Table2[GameDate], "&lt;=" &amp; $A61, Table2[AwayTeam], M$1)+SUMIFS(Table2[NewPointsHome],Table2[GameDate], "&lt;=" &amp; $A61, Table2[HomeTeam], M$1)</f>
        <v>11</v>
      </c>
      <c r="N61" s="145">
        <f>SUMIFS(Table2[NewPointsAway],Table2[GameDate], "&lt;=" &amp; $A61, Table2[AwayTeam], N$1)+SUMIFS(Table2[NewPointsHome],Table2[GameDate], "&lt;=" &amp; $A61, Table2[HomeTeam], N$1)</f>
        <v>13</v>
      </c>
      <c r="O61" s="145">
        <f>SUMIFS(Table2[NewPointsAway],Table2[GameDate], "&lt;=" &amp; $A61, Table2[AwayTeam], O$1)+SUMIFS(Table2[NewPointsHome],Table2[GameDate], "&lt;=" &amp; $A61, Table2[HomeTeam], O$1)</f>
        <v>9</v>
      </c>
      <c r="P61" s="145">
        <f>SUMIFS(Table2[NewPointsAway],Table2[GameDate], "&lt;=" &amp; $A61, Table2[AwayTeam], P$1)+SUMIFS(Table2[NewPointsHome],Table2[GameDate], "&lt;=" &amp; $A61, Table2[HomeTeam], P$1)</f>
        <v>16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10</v>
      </c>
      <c r="U61" s="145">
        <f>SUMIFS(Table2[NewPointsAway],Table2[GameDate], "&lt;=" &amp; $A61, Table2[AwayTeam], U$1)+SUMIFS(Table2[NewPointsHome],Table2[GameDate], "&lt;=" &amp; $A61, Table2[HomeTeam], U$1)</f>
        <v>11</v>
      </c>
      <c r="V61" s="145">
        <f>SUMIFS(Table2[NewPointsAway],Table2[GameDate], "&lt;=" &amp; $A61, Table2[AwayTeam], V$1)+SUMIFS(Table2[NewPointsHome],Table2[GameDate], "&lt;=" &amp; $A61, Table2[HomeTeam], V$1)</f>
        <v>11</v>
      </c>
      <c r="W61" s="145">
        <f>SUMIFS(Table2[NewPointsAway],Table2[GameDate], "&lt;=" &amp; $A61, Table2[AwayTeam], W$1)+SUMIFS(Table2[NewPointsHome],Table2[GameDate], "&lt;=" &amp; $A61, Table2[HomeTeam], W$1)</f>
        <v>16</v>
      </c>
      <c r="X61" s="145">
        <f>SUMIFS(Table2[NewPointsAway],Table2[GameDate], "&lt;=" &amp; $A61, Table2[AwayTeam], X$1)+SUMIFS(Table2[NewPointsHome],Table2[GameDate], "&lt;=" &amp; $A61, Table2[HomeTeam], X$1)</f>
        <v>13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10</v>
      </c>
      <c r="AB61" s="145">
        <f>SUMIFS(Table2[NewPointsAway],Table2[GameDate], "&lt;=" &amp; $A61, Table2[AwayTeam], AB$1)+SUMIFS(Table2[NewPointsHome],Table2[GameDate], "&lt;=" &amp; $A61, Table2[HomeTeam], AB$1)</f>
        <v>11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15</v>
      </c>
      <c r="AF61" s="145">
        <f>SUMIFS(Table2[NewPointsAway],Table2[GameDate], "&lt;=" &amp; $A61, Table2[AwayTeam], AF$1)+SUMIFS(Table2[NewPointsHome],Table2[GameDate], "&lt;=" &amp; $A61, Table2[HomeTeam], AF$1)</f>
        <v>14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11</v>
      </c>
      <c r="C62" s="145">
        <f>SUMIFS(Table2[NewPointsAway],Table2[GameDate], "&lt;=" &amp; $A62, Table2[AwayTeam], C$1)+SUMIFS(Table2[NewPointsHome],Table2[GameDate], "&lt;=" &amp; $A62, Table2[HomeTeam], C$1)</f>
        <v>10</v>
      </c>
      <c r="D62" s="145">
        <f>SUMIFS(Table2[NewPointsAway],Table2[GameDate], "&lt;=" &amp; $A62, Table2[AwayTeam], D$1)+SUMIFS(Table2[NewPointsHome],Table2[GameDate], "&lt;=" &amp; $A62, Table2[HomeTeam], D$1)</f>
        <v>10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12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12</v>
      </c>
      <c r="I62" s="145">
        <f>SUMIFS(Table2[NewPointsAway],Table2[GameDate], "&lt;=" &amp; $A62, Table2[AwayTeam], I$1)+SUMIFS(Table2[NewPointsHome],Table2[GameDate], "&lt;=" &amp; $A62, Table2[HomeTeam], I$1)</f>
        <v>16</v>
      </c>
      <c r="J62" s="145">
        <f>SUMIFS(Table2[NewPointsAway],Table2[GameDate], "&lt;=" &amp; $A62, Table2[AwayTeam], J$1)+SUMIFS(Table2[NewPointsHome],Table2[GameDate], "&lt;=" &amp; $A62, Table2[HomeTeam], J$1)</f>
        <v>13</v>
      </c>
      <c r="K62" s="145">
        <f>SUMIFS(Table2[NewPointsAway],Table2[GameDate], "&lt;=" &amp; $A62, Table2[AwayTeam], K$1)+SUMIFS(Table2[NewPointsHome],Table2[GameDate], "&lt;=" &amp; $A62, Table2[HomeTeam], K$1)</f>
        <v>14</v>
      </c>
      <c r="L62" s="145">
        <f>SUMIFS(Table2[NewPointsAway],Table2[GameDate], "&lt;=" &amp; $A62, Table2[AwayTeam], L$1)+SUMIFS(Table2[NewPointsHome],Table2[GameDate], "&lt;=" &amp; $A62, Table2[HomeTeam], L$1)</f>
        <v>12</v>
      </c>
      <c r="M62" s="145">
        <f>SUMIFS(Table2[NewPointsAway],Table2[GameDate], "&lt;=" &amp; $A62, Table2[AwayTeam], M$1)+SUMIFS(Table2[NewPointsHome],Table2[GameDate], "&lt;=" &amp; $A62, Table2[HomeTeam], M$1)</f>
        <v>11</v>
      </c>
      <c r="N62" s="145">
        <f>SUMIFS(Table2[NewPointsAway],Table2[GameDate], "&lt;=" &amp; $A62, Table2[AwayTeam], N$1)+SUMIFS(Table2[NewPointsHome],Table2[GameDate], "&lt;=" &amp; $A62, Table2[HomeTeam], N$1)</f>
        <v>13</v>
      </c>
      <c r="O62" s="145">
        <f>SUMIFS(Table2[NewPointsAway],Table2[GameDate], "&lt;=" &amp; $A62, Table2[AwayTeam], O$1)+SUMIFS(Table2[NewPointsHome],Table2[GameDate], "&lt;=" &amp; $A62, Table2[HomeTeam], O$1)</f>
        <v>9</v>
      </c>
      <c r="P62" s="145">
        <f>SUMIFS(Table2[NewPointsAway],Table2[GameDate], "&lt;=" &amp; $A62, Table2[AwayTeam], P$1)+SUMIFS(Table2[NewPointsHome],Table2[GameDate], "&lt;=" &amp; $A62, Table2[HomeTeam], P$1)</f>
        <v>16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10</v>
      </c>
      <c r="U62" s="145">
        <f>SUMIFS(Table2[NewPointsAway],Table2[GameDate], "&lt;=" &amp; $A62, Table2[AwayTeam], U$1)+SUMIFS(Table2[NewPointsHome],Table2[GameDate], "&lt;=" &amp; $A62, Table2[HomeTeam], U$1)</f>
        <v>11</v>
      </c>
      <c r="V62" s="145">
        <f>SUMIFS(Table2[NewPointsAway],Table2[GameDate], "&lt;=" &amp; $A62, Table2[AwayTeam], V$1)+SUMIFS(Table2[NewPointsHome],Table2[GameDate], "&lt;=" &amp; $A62, Table2[HomeTeam], V$1)</f>
        <v>11</v>
      </c>
      <c r="W62" s="145">
        <f>SUMIFS(Table2[NewPointsAway],Table2[GameDate], "&lt;=" &amp; $A62, Table2[AwayTeam], W$1)+SUMIFS(Table2[NewPointsHome],Table2[GameDate], "&lt;=" &amp; $A62, Table2[HomeTeam], W$1)</f>
        <v>16</v>
      </c>
      <c r="X62" s="145">
        <f>SUMIFS(Table2[NewPointsAway],Table2[GameDate], "&lt;=" &amp; $A62, Table2[AwayTeam], X$1)+SUMIFS(Table2[NewPointsHome],Table2[GameDate], "&lt;=" &amp; $A62, Table2[HomeTeam], X$1)</f>
        <v>13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10</v>
      </c>
      <c r="AB62" s="145">
        <f>SUMIFS(Table2[NewPointsAway],Table2[GameDate], "&lt;=" &amp; $A62, Table2[AwayTeam], AB$1)+SUMIFS(Table2[NewPointsHome],Table2[GameDate], "&lt;=" &amp; $A62, Table2[HomeTeam], AB$1)</f>
        <v>11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15</v>
      </c>
      <c r="AF62" s="145">
        <f>SUMIFS(Table2[NewPointsAway],Table2[GameDate], "&lt;=" &amp; $A62, Table2[AwayTeam], AF$1)+SUMIFS(Table2[NewPointsHome],Table2[GameDate], "&lt;=" &amp; $A62, Table2[HomeTeam], AF$1)</f>
        <v>14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11</v>
      </c>
      <c r="C63" s="145">
        <f>SUMIFS(Table2[NewPointsAway],Table2[GameDate], "&lt;=" &amp; $A63, Table2[AwayTeam], C$1)+SUMIFS(Table2[NewPointsHome],Table2[GameDate], "&lt;=" &amp; $A63, Table2[HomeTeam], C$1)</f>
        <v>10</v>
      </c>
      <c r="D63" s="145">
        <f>SUMIFS(Table2[NewPointsAway],Table2[GameDate], "&lt;=" &amp; $A63, Table2[AwayTeam], D$1)+SUMIFS(Table2[NewPointsHome],Table2[GameDate], "&lt;=" &amp; $A63, Table2[HomeTeam], D$1)</f>
        <v>10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12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12</v>
      </c>
      <c r="I63" s="145">
        <f>SUMIFS(Table2[NewPointsAway],Table2[GameDate], "&lt;=" &amp; $A63, Table2[AwayTeam], I$1)+SUMIFS(Table2[NewPointsHome],Table2[GameDate], "&lt;=" &amp; $A63, Table2[HomeTeam], I$1)</f>
        <v>16</v>
      </c>
      <c r="J63" s="145">
        <f>SUMIFS(Table2[NewPointsAway],Table2[GameDate], "&lt;=" &amp; $A63, Table2[AwayTeam], J$1)+SUMIFS(Table2[NewPointsHome],Table2[GameDate], "&lt;=" &amp; $A63, Table2[HomeTeam], J$1)</f>
        <v>13</v>
      </c>
      <c r="K63" s="145">
        <f>SUMIFS(Table2[NewPointsAway],Table2[GameDate], "&lt;=" &amp; $A63, Table2[AwayTeam], K$1)+SUMIFS(Table2[NewPointsHome],Table2[GameDate], "&lt;=" &amp; $A63, Table2[HomeTeam], K$1)</f>
        <v>14</v>
      </c>
      <c r="L63" s="145">
        <f>SUMIFS(Table2[NewPointsAway],Table2[GameDate], "&lt;=" &amp; $A63, Table2[AwayTeam], L$1)+SUMIFS(Table2[NewPointsHome],Table2[GameDate], "&lt;=" &amp; $A63, Table2[HomeTeam], L$1)</f>
        <v>12</v>
      </c>
      <c r="M63" s="145">
        <f>SUMIFS(Table2[NewPointsAway],Table2[GameDate], "&lt;=" &amp; $A63, Table2[AwayTeam], M$1)+SUMIFS(Table2[NewPointsHome],Table2[GameDate], "&lt;=" &amp; $A63, Table2[HomeTeam], M$1)</f>
        <v>11</v>
      </c>
      <c r="N63" s="145">
        <f>SUMIFS(Table2[NewPointsAway],Table2[GameDate], "&lt;=" &amp; $A63, Table2[AwayTeam], N$1)+SUMIFS(Table2[NewPointsHome],Table2[GameDate], "&lt;=" &amp; $A63, Table2[HomeTeam], N$1)</f>
        <v>13</v>
      </c>
      <c r="O63" s="145">
        <f>SUMIFS(Table2[NewPointsAway],Table2[GameDate], "&lt;=" &amp; $A63, Table2[AwayTeam], O$1)+SUMIFS(Table2[NewPointsHome],Table2[GameDate], "&lt;=" &amp; $A63, Table2[HomeTeam], O$1)</f>
        <v>9</v>
      </c>
      <c r="P63" s="145">
        <f>SUMIFS(Table2[NewPointsAway],Table2[GameDate], "&lt;=" &amp; $A63, Table2[AwayTeam], P$1)+SUMIFS(Table2[NewPointsHome],Table2[GameDate], "&lt;=" &amp; $A63, Table2[HomeTeam], P$1)</f>
        <v>16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10</v>
      </c>
      <c r="U63" s="145">
        <f>SUMIFS(Table2[NewPointsAway],Table2[GameDate], "&lt;=" &amp; $A63, Table2[AwayTeam], U$1)+SUMIFS(Table2[NewPointsHome],Table2[GameDate], "&lt;=" &amp; $A63, Table2[HomeTeam], U$1)</f>
        <v>11</v>
      </c>
      <c r="V63" s="145">
        <f>SUMIFS(Table2[NewPointsAway],Table2[GameDate], "&lt;=" &amp; $A63, Table2[AwayTeam], V$1)+SUMIFS(Table2[NewPointsHome],Table2[GameDate], "&lt;=" &amp; $A63, Table2[HomeTeam], V$1)</f>
        <v>11</v>
      </c>
      <c r="W63" s="145">
        <f>SUMIFS(Table2[NewPointsAway],Table2[GameDate], "&lt;=" &amp; $A63, Table2[AwayTeam], W$1)+SUMIFS(Table2[NewPointsHome],Table2[GameDate], "&lt;=" &amp; $A63, Table2[HomeTeam], W$1)</f>
        <v>16</v>
      </c>
      <c r="X63" s="145">
        <f>SUMIFS(Table2[NewPointsAway],Table2[GameDate], "&lt;=" &amp; $A63, Table2[AwayTeam], X$1)+SUMIFS(Table2[NewPointsHome],Table2[GameDate], "&lt;=" &amp; $A63, Table2[HomeTeam], X$1)</f>
        <v>13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10</v>
      </c>
      <c r="AB63" s="145">
        <f>SUMIFS(Table2[NewPointsAway],Table2[GameDate], "&lt;=" &amp; $A63, Table2[AwayTeam], AB$1)+SUMIFS(Table2[NewPointsHome],Table2[GameDate], "&lt;=" &amp; $A63, Table2[HomeTeam], AB$1)</f>
        <v>11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15</v>
      </c>
      <c r="AF63" s="145">
        <f>SUMIFS(Table2[NewPointsAway],Table2[GameDate], "&lt;=" &amp; $A63, Table2[AwayTeam], AF$1)+SUMIFS(Table2[NewPointsHome],Table2[GameDate], "&lt;=" &amp; $A63, Table2[HomeTeam], AF$1)</f>
        <v>14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11</v>
      </c>
      <c r="C64" s="145">
        <f>SUMIFS(Table2[NewPointsAway],Table2[GameDate], "&lt;=" &amp; $A64, Table2[AwayTeam], C$1)+SUMIFS(Table2[NewPointsHome],Table2[GameDate], "&lt;=" &amp; $A64, Table2[HomeTeam], C$1)</f>
        <v>10</v>
      </c>
      <c r="D64" s="145">
        <f>SUMIFS(Table2[NewPointsAway],Table2[GameDate], "&lt;=" &amp; $A64, Table2[AwayTeam], D$1)+SUMIFS(Table2[NewPointsHome],Table2[GameDate], "&lt;=" &amp; $A64, Table2[HomeTeam], D$1)</f>
        <v>10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12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12</v>
      </c>
      <c r="I64" s="145">
        <f>SUMIFS(Table2[NewPointsAway],Table2[GameDate], "&lt;=" &amp; $A64, Table2[AwayTeam], I$1)+SUMIFS(Table2[NewPointsHome],Table2[GameDate], "&lt;=" &amp; $A64, Table2[HomeTeam], I$1)</f>
        <v>16</v>
      </c>
      <c r="J64" s="145">
        <f>SUMIFS(Table2[NewPointsAway],Table2[GameDate], "&lt;=" &amp; $A64, Table2[AwayTeam], J$1)+SUMIFS(Table2[NewPointsHome],Table2[GameDate], "&lt;=" &amp; $A64, Table2[HomeTeam], J$1)</f>
        <v>13</v>
      </c>
      <c r="K64" s="145">
        <f>SUMIFS(Table2[NewPointsAway],Table2[GameDate], "&lt;=" &amp; $A64, Table2[AwayTeam], K$1)+SUMIFS(Table2[NewPointsHome],Table2[GameDate], "&lt;=" &amp; $A64, Table2[HomeTeam], K$1)</f>
        <v>14</v>
      </c>
      <c r="L64" s="145">
        <f>SUMIFS(Table2[NewPointsAway],Table2[GameDate], "&lt;=" &amp; $A64, Table2[AwayTeam], L$1)+SUMIFS(Table2[NewPointsHome],Table2[GameDate], "&lt;=" &amp; $A64, Table2[HomeTeam], L$1)</f>
        <v>12</v>
      </c>
      <c r="M64" s="145">
        <f>SUMIFS(Table2[NewPointsAway],Table2[GameDate], "&lt;=" &amp; $A64, Table2[AwayTeam], M$1)+SUMIFS(Table2[NewPointsHome],Table2[GameDate], "&lt;=" &amp; $A64, Table2[HomeTeam], M$1)</f>
        <v>11</v>
      </c>
      <c r="N64" s="145">
        <f>SUMIFS(Table2[NewPointsAway],Table2[GameDate], "&lt;=" &amp; $A64, Table2[AwayTeam], N$1)+SUMIFS(Table2[NewPointsHome],Table2[GameDate], "&lt;=" &amp; $A64, Table2[HomeTeam], N$1)</f>
        <v>13</v>
      </c>
      <c r="O64" s="145">
        <f>SUMIFS(Table2[NewPointsAway],Table2[GameDate], "&lt;=" &amp; $A64, Table2[AwayTeam], O$1)+SUMIFS(Table2[NewPointsHome],Table2[GameDate], "&lt;=" &amp; $A64, Table2[HomeTeam], O$1)</f>
        <v>9</v>
      </c>
      <c r="P64" s="145">
        <f>SUMIFS(Table2[NewPointsAway],Table2[GameDate], "&lt;=" &amp; $A64, Table2[AwayTeam], P$1)+SUMIFS(Table2[NewPointsHome],Table2[GameDate], "&lt;=" &amp; $A64, Table2[HomeTeam], P$1)</f>
        <v>16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10</v>
      </c>
      <c r="U64" s="145">
        <f>SUMIFS(Table2[NewPointsAway],Table2[GameDate], "&lt;=" &amp; $A64, Table2[AwayTeam], U$1)+SUMIFS(Table2[NewPointsHome],Table2[GameDate], "&lt;=" &amp; $A64, Table2[HomeTeam], U$1)</f>
        <v>11</v>
      </c>
      <c r="V64" s="145">
        <f>SUMIFS(Table2[NewPointsAway],Table2[GameDate], "&lt;=" &amp; $A64, Table2[AwayTeam], V$1)+SUMIFS(Table2[NewPointsHome],Table2[GameDate], "&lt;=" &amp; $A64, Table2[HomeTeam], V$1)</f>
        <v>11</v>
      </c>
      <c r="W64" s="145">
        <f>SUMIFS(Table2[NewPointsAway],Table2[GameDate], "&lt;=" &amp; $A64, Table2[AwayTeam], W$1)+SUMIFS(Table2[NewPointsHome],Table2[GameDate], "&lt;=" &amp; $A64, Table2[HomeTeam], W$1)</f>
        <v>16</v>
      </c>
      <c r="X64" s="145">
        <f>SUMIFS(Table2[NewPointsAway],Table2[GameDate], "&lt;=" &amp; $A64, Table2[AwayTeam], X$1)+SUMIFS(Table2[NewPointsHome],Table2[GameDate], "&lt;=" &amp; $A64, Table2[HomeTeam], X$1)</f>
        <v>13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10</v>
      </c>
      <c r="AB64" s="145">
        <f>SUMIFS(Table2[NewPointsAway],Table2[GameDate], "&lt;=" &amp; $A64, Table2[AwayTeam], AB$1)+SUMIFS(Table2[NewPointsHome],Table2[GameDate], "&lt;=" &amp; $A64, Table2[HomeTeam], AB$1)</f>
        <v>11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15</v>
      </c>
      <c r="AF64" s="145">
        <f>SUMIFS(Table2[NewPointsAway],Table2[GameDate], "&lt;=" &amp; $A64, Table2[AwayTeam], AF$1)+SUMIFS(Table2[NewPointsHome],Table2[GameDate], "&lt;=" &amp; $A64, Table2[HomeTeam], AF$1)</f>
        <v>14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11</v>
      </c>
      <c r="C65" s="145">
        <f>SUMIFS(Table2[NewPointsAway],Table2[GameDate], "&lt;=" &amp; $A65, Table2[AwayTeam], C$1)+SUMIFS(Table2[NewPointsHome],Table2[GameDate], "&lt;=" &amp; $A65, Table2[HomeTeam], C$1)</f>
        <v>10</v>
      </c>
      <c r="D65" s="145">
        <f>SUMIFS(Table2[NewPointsAway],Table2[GameDate], "&lt;=" &amp; $A65, Table2[AwayTeam], D$1)+SUMIFS(Table2[NewPointsHome],Table2[GameDate], "&lt;=" &amp; $A65, Table2[HomeTeam], D$1)</f>
        <v>10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12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12</v>
      </c>
      <c r="I65" s="145">
        <f>SUMIFS(Table2[NewPointsAway],Table2[GameDate], "&lt;=" &amp; $A65, Table2[AwayTeam], I$1)+SUMIFS(Table2[NewPointsHome],Table2[GameDate], "&lt;=" &amp; $A65, Table2[HomeTeam], I$1)</f>
        <v>16</v>
      </c>
      <c r="J65" s="145">
        <f>SUMIFS(Table2[NewPointsAway],Table2[GameDate], "&lt;=" &amp; $A65, Table2[AwayTeam], J$1)+SUMIFS(Table2[NewPointsHome],Table2[GameDate], "&lt;=" &amp; $A65, Table2[HomeTeam], J$1)</f>
        <v>13</v>
      </c>
      <c r="K65" s="145">
        <f>SUMIFS(Table2[NewPointsAway],Table2[GameDate], "&lt;=" &amp; $A65, Table2[AwayTeam], K$1)+SUMIFS(Table2[NewPointsHome],Table2[GameDate], "&lt;=" &amp; $A65, Table2[HomeTeam], K$1)</f>
        <v>14</v>
      </c>
      <c r="L65" s="145">
        <f>SUMIFS(Table2[NewPointsAway],Table2[GameDate], "&lt;=" &amp; $A65, Table2[AwayTeam], L$1)+SUMIFS(Table2[NewPointsHome],Table2[GameDate], "&lt;=" &amp; $A65, Table2[HomeTeam], L$1)</f>
        <v>12</v>
      </c>
      <c r="M65" s="145">
        <f>SUMIFS(Table2[NewPointsAway],Table2[GameDate], "&lt;=" &amp; $A65, Table2[AwayTeam], M$1)+SUMIFS(Table2[NewPointsHome],Table2[GameDate], "&lt;=" &amp; $A65, Table2[HomeTeam], M$1)</f>
        <v>11</v>
      </c>
      <c r="N65" s="145">
        <f>SUMIFS(Table2[NewPointsAway],Table2[GameDate], "&lt;=" &amp; $A65, Table2[AwayTeam], N$1)+SUMIFS(Table2[NewPointsHome],Table2[GameDate], "&lt;=" &amp; $A65, Table2[HomeTeam], N$1)</f>
        <v>13</v>
      </c>
      <c r="O65" s="145">
        <f>SUMIFS(Table2[NewPointsAway],Table2[GameDate], "&lt;=" &amp; $A65, Table2[AwayTeam], O$1)+SUMIFS(Table2[NewPointsHome],Table2[GameDate], "&lt;=" &amp; $A65, Table2[HomeTeam], O$1)</f>
        <v>9</v>
      </c>
      <c r="P65" s="145">
        <f>SUMIFS(Table2[NewPointsAway],Table2[GameDate], "&lt;=" &amp; $A65, Table2[AwayTeam], P$1)+SUMIFS(Table2[NewPointsHome],Table2[GameDate], "&lt;=" &amp; $A65, Table2[HomeTeam], P$1)</f>
        <v>16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10</v>
      </c>
      <c r="U65" s="145">
        <f>SUMIFS(Table2[NewPointsAway],Table2[GameDate], "&lt;=" &amp; $A65, Table2[AwayTeam], U$1)+SUMIFS(Table2[NewPointsHome],Table2[GameDate], "&lt;=" &amp; $A65, Table2[HomeTeam], U$1)</f>
        <v>11</v>
      </c>
      <c r="V65" s="145">
        <f>SUMIFS(Table2[NewPointsAway],Table2[GameDate], "&lt;=" &amp; $A65, Table2[AwayTeam], V$1)+SUMIFS(Table2[NewPointsHome],Table2[GameDate], "&lt;=" &amp; $A65, Table2[HomeTeam], V$1)</f>
        <v>11</v>
      </c>
      <c r="W65" s="145">
        <f>SUMIFS(Table2[NewPointsAway],Table2[GameDate], "&lt;=" &amp; $A65, Table2[AwayTeam], W$1)+SUMIFS(Table2[NewPointsHome],Table2[GameDate], "&lt;=" &amp; $A65, Table2[HomeTeam], W$1)</f>
        <v>16</v>
      </c>
      <c r="X65" s="145">
        <f>SUMIFS(Table2[NewPointsAway],Table2[GameDate], "&lt;=" &amp; $A65, Table2[AwayTeam], X$1)+SUMIFS(Table2[NewPointsHome],Table2[GameDate], "&lt;=" &amp; $A65, Table2[HomeTeam], X$1)</f>
        <v>13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10</v>
      </c>
      <c r="AB65" s="145">
        <f>SUMIFS(Table2[NewPointsAway],Table2[GameDate], "&lt;=" &amp; $A65, Table2[AwayTeam], AB$1)+SUMIFS(Table2[NewPointsHome],Table2[GameDate], "&lt;=" &amp; $A65, Table2[HomeTeam], AB$1)</f>
        <v>11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15</v>
      </c>
      <c r="AF65" s="145">
        <f>SUMIFS(Table2[NewPointsAway],Table2[GameDate], "&lt;=" &amp; $A65, Table2[AwayTeam], AF$1)+SUMIFS(Table2[NewPointsHome],Table2[GameDate], "&lt;=" &amp; $A65, Table2[HomeTeam], AF$1)</f>
        <v>14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11</v>
      </c>
      <c r="C66" s="145">
        <f>SUMIFS(Table2[NewPointsAway],Table2[GameDate], "&lt;=" &amp; $A66, Table2[AwayTeam], C$1)+SUMIFS(Table2[NewPointsHome],Table2[GameDate], "&lt;=" &amp; $A66, Table2[HomeTeam], C$1)</f>
        <v>10</v>
      </c>
      <c r="D66" s="145">
        <f>SUMIFS(Table2[NewPointsAway],Table2[GameDate], "&lt;=" &amp; $A66, Table2[AwayTeam], D$1)+SUMIFS(Table2[NewPointsHome],Table2[GameDate], "&lt;=" &amp; $A66, Table2[HomeTeam], D$1)</f>
        <v>10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12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12</v>
      </c>
      <c r="I66" s="145">
        <f>SUMIFS(Table2[NewPointsAway],Table2[GameDate], "&lt;=" &amp; $A66, Table2[AwayTeam], I$1)+SUMIFS(Table2[NewPointsHome],Table2[GameDate], "&lt;=" &amp; $A66, Table2[HomeTeam], I$1)</f>
        <v>16</v>
      </c>
      <c r="J66" s="145">
        <f>SUMIFS(Table2[NewPointsAway],Table2[GameDate], "&lt;=" &amp; $A66, Table2[AwayTeam], J$1)+SUMIFS(Table2[NewPointsHome],Table2[GameDate], "&lt;=" &amp; $A66, Table2[HomeTeam], J$1)</f>
        <v>13</v>
      </c>
      <c r="K66" s="145">
        <f>SUMIFS(Table2[NewPointsAway],Table2[GameDate], "&lt;=" &amp; $A66, Table2[AwayTeam], K$1)+SUMIFS(Table2[NewPointsHome],Table2[GameDate], "&lt;=" &amp; $A66, Table2[HomeTeam], K$1)</f>
        <v>14</v>
      </c>
      <c r="L66" s="145">
        <f>SUMIFS(Table2[NewPointsAway],Table2[GameDate], "&lt;=" &amp; $A66, Table2[AwayTeam], L$1)+SUMIFS(Table2[NewPointsHome],Table2[GameDate], "&lt;=" &amp; $A66, Table2[HomeTeam], L$1)</f>
        <v>12</v>
      </c>
      <c r="M66" s="145">
        <f>SUMIFS(Table2[NewPointsAway],Table2[GameDate], "&lt;=" &amp; $A66, Table2[AwayTeam], M$1)+SUMIFS(Table2[NewPointsHome],Table2[GameDate], "&lt;=" &amp; $A66, Table2[HomeTeam], M$1)</f>
        <v>11</v>
      </c>
      <c r="N66" s="145">
        <f>SUMIFS(Table2[NewPointsAway],Table2[GameDate], "&lt;=" &amp; $A66, Table2[AwayTeam], N$1)+SUMIFS(Table2[NewPointsHome],Table2[GameDate], "&lt;=" &amp; $A66, Table2[HomeTeam], N$1)</f>
        <v>13</v>
      </c>
      <c r="O66" s="145">
        <f>SUMIFS(Table2[NewPointsAway],Table2[GameDate], "&lt;=" &amp; $A66, Table2[AwayTeam], O$1)+SUMIFS(Table2[NewPointsHome],Table2[GameDate], "&lt;=" &amp; $A66, Table2[HomeTeam], O$1)</f>
        <v>9</v>
      </c>
      <c r="P66" s="145">
        <f>SUMIFS(Table2[NewPointsAway],Table2[GameDate], "&lt;=" &amp; $A66, Table2[AwayTeam], P$1)+SUMIFS(Table2[NewPointsHome],Table2[GameDate], "&lt;=" &amp; $A66, Table2[HomeTeam], P$1)</f>
        <v>16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10</v>
      </c>
      <c r="U66" s="145">
        <f>SUMIFS(Table2[NewPointsAway],Table2[GameDate], "&lt;=" &amp; $A66, Table2[AwayTeam], U$1)+SUMIFS(Table2[NewPointsHome],Table2[GameDate], "&lt;=" &amp; $A66, Table2[HomeTeam], U$1)</f>
        <v>11</v>
      </c>
      <c r="V66" s="145">
        <f>SUMIFS(Table2[NewPointsAway],Table2[GameDate], "&lt;=" &amp; $A66, Table2[AwayTeam], V$1)+SUMIFS(Table2[NewPointsHome],Table2[GameDate], "&lt;=" &amp; $A66, Table2[HomeTeam], V$1)</f>
        <v>11</v>
      </c>
      <c r="W66" s="145">
        <f>SUMIFS(Table2[NewPointsAway],Table2[GameDate], "&lt;=" &amp; $A66, Table2[AwayTeam], W$1)+SUMIFS(Table2[NewPointsHome],Table2[GameDate], "&lt;=" &amp; $A66, Table2[HomeTeam], W$1)</f>
        <v>16</v>
      </c>
      <c r="X66" s="145">
        <f>SUMIFS(Table2[NewPointsAway],Table2[GameDate], "&lt;=" &amp; $A66, Table2[AwayTeam], X$1)+SUMIFS(Table2[NewPointsHome],Table2[GameDate], "&lt;=" &amp; $A66, Table2[HomeTeam], X$1)</f>
        <v>13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10</v>
      </c>
      <c r="AB66" s="145">
        <f>SUMIFS(Table2[NewPointsAway],Table2[GameDate], "&lt;=" &amp; $A66, Table2[AwayTeam], AB$1)+SUMIFS(Table2[NewPointsHome],Table2[GameDate], "&lt;=" &amp; $A66, Table2[HomeTeam], AB$1)</f>
        <v>11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15</v>
      </c>
      <c r="AF66" s="145">
        <f>SUMIFS(Table2[NewPointsAway],Table2[GameDate], "&lt;=" &amp; $A66, Table2[AwayTeam], AF$1)+SUMIFS(Table2[NewPointsHome],Table2[GameDate], "&lt;=" &amp; $A66, Table2[HomeTeam], AF$1)</f>
        <v>14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11</v>
      </c>
      <c r="C67" s="145">
        <f>SUMIFS(Table2[NewPointsAway],Table2[GameDate], "&lt;=" &amp; $A67, Table2[AwayTeam], C$1)+SUMIFS(Table2[NewPointsHome],Table2[GameDate], "&lt;=" &amp; $A67, Table2[HomeTeam], C$1)</f>
        <v>10</v>
      </c>
      <c r="D67" s="145">
        <f>SUMIFS(Table2[NewPointsAway],Table2[GameDate], "&lt;=" &amp; $A67, Table2[AwayTeam], D$1)+SUMIFS(Table2[NewPointsHome],Table2[GameDate], "&lt;=" &amp; $A67, Table2[HomeTeam], D$1)</f>
        <v>10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12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12</v>
      </c>
      <c r="I67" s="145">
        <f>SUMIFS(Table2[NewPointsAway],Table2[GameDate], "&lt;=" &amp; $A67, Table2[AwayTeam], I$1)+SUMIFS(Table2[NewPointsHome],Table2[GameDate], "&lt;=" &amp; $A67, Table2[HomeTeam], I$1)</f>
        <v>16</v>
      </c>
      <c r="J67" s="145">
        <f>SUMIFS(Table2[NewPointsAway],Table2[GameDate], "&lt;=" &amp; $A67, Table2[AwayTeam], J$1)+SUMIFS(Table2[NewPointsHome],Table2[GameDate], "&lt;=" &amp; $A67, Table2[HomeTeam], J$1)</f>
        <v>13</v>
      </c>
      <c r="K67" s="145">
        <f>SUMIFS(Table2[NewPointsAway],Table2[GameDate], "&lt;=" &amp; $A67, Table2[AwayTeam], K$1)+SUMIFS(Table2[NewPointsHome],Table2[GameDate], "&lt;=" &amp; $A67, Table2[HomeTeam], K$1)</f>
        <v>14</v>
      </c>
      <c r="L67" s="145">
        <f>SUMIFS(Table2[NewPointsAway],Table2[GameDate], "&lt;=" &amp; $A67, Table2[AwayTeam], L$1)+SUMIFS(Table2[NewPointsHome],Table2[GameDate], "&lt;=" &amp; $A67, Table2[HomeTeam], L$1)</f>
        <v>12</v>
      </c>
      <c r="M67" s="145">
        <f>SUMIFS(Table2[NewPointsAway],Table2[GameDate], "&lt;=" &amp; $A67, Table2[AwayTeam], M$1)+SUMIFS(Table2[NewPointsHome],Table2[GameDate], "&lt;=" &amp; $A67, Table2[HomeTeam], M$1)</f>
        <v>11</v>
      </c>
      <c r="N67" s="145">
        <f>SUMIFS(Table2[NewPointsAway],Table2[GameDate], "&lt;=" &amp; $A67, Table2[AwayTeam], N$1)+SUMIFS(Table2[NewPointsHome],Table2[GameDate], "&lt;=" &amp; $A67, Table2[HomeTeam], N$1)</f>
        <v>13</v>
      </c>
      <c r="O67" s="145">
        <f>SUMIFS(Table2[NewPointsAway],Table2[GameDate], "&lt;=" &amp; $A67, Table2[AwayTeam], O$1)+SUMIFS(Table2[NewPointsHome],Table2[GameDate], "&lt;=" &amp; $A67, Table2[HomeTeam], O$1)</f>
        <v>9</v>
      </c>
      <c r="P67" s="145">
        <f>SUMIFS(Table2[NewPointsAway],Table2[GameDate], "&lt;=" &amp; $A67, Table2[AwayTeam], P$1)+SUMIFS(Table2[NewPointsHome],Table2[GameDate], "&lt;=" &amp; $A67, Table2[HomeTeam], P$1)</f>
        <v>16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10</v>
      </c>
      <c r="U67" s="145">
        <f>SUMIFS(Table2[NewPointsAway],Table2[GameDate], "&lt;=" &amp; $A67, Table2[AwayTeam], U$1)+SUMIFS(Table2[NewPointsHome],Table2[GameDate], "&lt;=" &amp; $A67, Table2[HomeTeam], U$1)</f>
        <v>11</v>
      </c>
      <c r="V67" s="145">
        <f>SUMIFS(Table2[NewPointsAway],Table2[GameDate], "&lt;=" &amp; $A67, Table2[AwayTeam], V$1)+SUMIFS(Table2[NewPointsHome],Table2[GameDate], "&lt;=" &amp; $A67, Table2[HomeTeam], V$1)</f>
        <v>11</v>
      </c>
      <c r="W67" s="145">
        <f>SUMIFS(Table2[NewPointsAway],Table2[GameDate], "&lt;=" &amp; $A67, Table2[AwayTeam], W$1)+SUMIFS(Table2[NewPointsHome],Table2[GameDate], "&lt;=" &amp; $A67, Table2[HomeTeam], W$1)</f>
        <v>16</v>
      </c>
      <c r="X67" s="145">
        <f>SUMIFS(Table2[NewPointsAway],Table2[GameDate], "&lt;=" &amp; $A67, Table2[AwayTeam], X$1)+SUMIFS(Table2[NewPointsHome],Table2[GameDate], "&lt;=" &amp; $A67, Table2[HomeTeam], X$1)</f>
        <v>13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10</v>
      </c>
      <c r="AB67" s="145">
        <f>SUMIFS(Table2[NewPointsAway],Table2[GameDate], "&lt;=" &amp; $A67, Table2[AwayTeam], AB$1)+SUMIFS(Table2[NewPointsHome],Table2[GameDate], "&lt;=" &amp; $A67, Table2[HomeTeam], AB$1)</f>
        <v>11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15</v>
      </c>
      <c r="AF67" s="145">
        <f>SUMIFS(Table2[NewPointsAway],Table2[GameDate], "&lt;=" &amp; $A67, Table2[AwayTeam], AF$1)+SUMIFS(Table2[NewPointsHome],Table2[GameDate], "&lt;=" &amp; $A67, Table2[HomeTeam], AF$1)</f>
        <v>14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11</v>
      </c>
      <c r="C68" s="145">
        <f>SUMIFS(Table2[NewPointsAway],Table2[GameDate], "&lt;=" &amp; $A68, Table2[AwayTeam], C$1)+SUMIFS(Table2[NewPointsHome],Table2[GameDate], "&lt;=" &amp; $A68, Table2[HomeTeam], C$1)</f>
        <v>10</v>
      </c>
      <c r="D68" s="145">
        <f>SUMIFS(Table2[NewPointsAway],Table2[GameDate], "&lt;=" &amp; $A68, Table2[AwayTeam], D$1)+SUMIFS(Table2[NewPointsHome],Table2[GameDate], "&lt;=" &amp; $A68, Table2[HomeTeam], D$1)</f>
        <v>10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12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12</v>
      </c>
      <c r="I68" s="145">
        <f>SUMIFS(Table2[NewPointsAway],Table2[GameDate], "&lt;=" &amp; $A68, Table2[AwayTeam], I$1)+SUMIFS(Table2[NewPointsHome],Table2[GameDate], "&lt;=" &amp; $A68, Table2[HomeTeam], I$1)</f>
        <v>16</v>
      </c>
      <c r="J68" s="145">
        <f>SUMIFS(Table2[NewPointsAway],Table2[GameDate], "&lt;=" &amp; $A68, Table2[AwayTeam], J$1)+SUMIFS(Table2[NewPointsHome],Table2[GameDate], "&lt;=" &amp; $A68, Table2[HomeTeam], J$1)</f>
        <v>13</v>
      </c>
      <c r="K68" s="145">
        <f>SUMIFS(Table2[NewPointsAway],Table2[GameDate], "&lt;=" &amp; $A68, Table2[AwayTeam], K$1)+SUMIFS(Table2[NewPointsHome],Table2[GameDate], "&lt;=" &amp; $A68, Table2[HomeTeam], K$1)</f>
        <v>14</v>
      </c>
      <c r="L68" s="145">
        <f>SUMIFS(Table2[NewPointsAway],Table2[GameDate], "&lt;=" &amp; $A68, Table2[AwayTeam], L$1)+SUMIFS(Table2[NewPointsHome],Table2[GameDate], "&lt;=" &amp; $A68, Table2[HomeTeam], L$1)</f>
        <v>12</v>
      </c>
      <c r="M68" s="145">
        <f>SUMIFS(Table2[NewPointsAway],Table2[GameDate], "&lt;=" &amp; $A68, Table2[AwayTeam], M$1)+SUMIFS(Table2[NewPointsHome],Table2[GameDate], "&lt;=" &amp; $A68, Table2[HomeTeam], M$1)</f>
        <v>11</v>
      </c>
      <c r="N68" s="145">
        <f>SUMIFS(Table2[NewPointsAway],Table2[GameDate], "&lt;=" &amp; $A68, Table2[AwayTeam], N$1)+SUMIFS(Table2[NewPointsHome],Table2[GameDate], "&lt;=" &amp; $A68, Table2[HomeTeam], N$1)</f>
        <v>13</v>
      </c>
      <c r="O68" s="145">
        <f>SUMIFS(Table2[NewPointsAway],Table2[GameDate], "&lt;=" &amp; $A68, Table2[AwayTeam], O$1)+SUMIFS(Table2[NewPointsHome],Table2[GameDate], "&lt;=" &amp; $A68, Table2[HomeTeam], O$1)</f>
        <v>9</v>
      </c>
      <c r="P68" s="145">
        <f>SUMIFS(Table2[NewPointsAway],Table2[GameDate], "&lt;=" &amp; $A68, Table2[AwayTeam], P$1)+SUMIFS(Table2[NewPointsHome],Table2[GameDate], "&lt;=" &amp; $A68, Table2[HomeTeam], P$1)</f>
        <v>16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10</v>
      </c>
      <c r="U68" s="145">
        <f>SUMIFS(Table2[NewPointsAway],Table2[GameDate], "&lt;=" &amp; $A68, Table2[AwayTeam], U$1)+SUMIFS(Table2[NewPointsHome],Table2[GameDate], "&lt;=" &amp; $A68, Table2[HomeTeam], U$1)</f>
        <v>11</v>
      </c>
      <c r="V68" s="145">
        <f>SUMIFS(Table2[NewPointsAway],Table2[GameDate], "&lt;=" &amp; $A68, Table2[AwayTeam], V$1)+SUMIFS(Table2[NewPointsHome],Table2[GameDate], "&lt;=" &amp; $A68, Table2[HomeTeam], V$1)</f>
        <v>11</v>
      </c>
      <c r="W68" s="145">
        <f>SUMIFS(Table2[NewPointsAway],Table2[GameDate], "&lt;=" &amp; $A68, Table2[AwayTeam], W$1)+SUMIFS(Table2[NewPointsHome],Table2[GameDate], "&lt;=" &amp; $A68, Table2[HomeTeam], W$1)</f>
        <v>16</v>
      </c>
      <c r="X68" s="145">
        <f>SUMIFS(Table2[NewPointsAway],Table2[GameDate], "&lt;=" &amp; $A68, Table2[AwayTeam], X$1)+SUMIFS(Table2[NewPointsHome],Table2[GameDate], "&lt;=" &amp; $A68, Table2[HomeTeam], X$1)</f>
        <v>13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10</v>
      </c>
      <c r="AB68" s="145">
        <f>SUMIFS(Table2[NewPointsAway],Table2[GameDate], "&lt;=" &amp; $A68, Table2[AwayTeam], AB$1)+SUMIFS(Table2[NewPointsHome],Table2[GameDate], "&lt;=" &amp; $A68, Table2[HomeTeam], AB$1)</f>
        <v>11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15</v>
      </c>
      <c r="AF68" s="145">
        <f>SUMIFS(Table2[NewPointsAway],Table2[GameDate], "&lt;=" &amp; $A68, Table2[AwayTeam], AF$1)+SUMIFS(Table2[NewPointsHome],Table2[GameDate], "&lt;=" &amp; $A68, Table2[HomeTeam], AF$1)</f>
        <v>14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11</v>
      </c>
      <c r="C69" s="145">
        <f>SUMIFS(Table2[NewPointsAway],Table2[GameDate], "&lt;=" &amp; $A69, Table2[AwayTeam], C$1)+SUMIFS(Table2[NewPointsHome],Table2[GameDate], "&lt;=" &amp; $A69, Table2[HomeTeam], C$1)</f>
        <v>10</v>
      </c>
      <c r="D69" s="145">
        <f>SUMIFS(Table2[NewPointsAway],Table2[GameDate], "&lt;=" &amp; $A69, Table2[AwayTeam], D$1)+SUMIFS(Table2[NewPointsHome],Table2[GameDate], "&lt;=" &amp; $A69, Table2[HomeTeam], D$1)</f>
        <v>10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12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12</v>
      </c>
      <c r="I69" s="145">
        <f>SUMIFS(Table2[NewPointsAway],Table2[GameDate], "&lt;=" &amp; $A69, Table2[AwayTeam], I$1)+SUMIFS(Table2[NewPointsHome],Table2[GameDate], "&lt;=" &amp; $A69, Table2[HomeTeam], I$1)</f>
        <v>16</v>
      </c>
      <c r="J69" s="145">
        <f>SUMIFS(Table2[NewPointsAway],Table2[GameDate], "&lt;=" &amp; $A69, Table2[AwayTeam], J$1)+SUMIFS(Table2[NewPointsHome],Table2[GameDate], "&lt;=" &amp; $A69, Table2[HomeTeam], J$1)</f>
        <v>13</v>
      </c>
      <c r="K69" s="145">
        <f>SUMIFS(Table2[NewPointsAway],Table2[GameDate], "&lt;=" &amp; $A69, Table2[AwayTeam], K$1)+SUMIFS(Table2[NewPointsHome],Table2[GameDate], "&lt;=" &amp; $A69, Table2[HomeTeam], K$1)</f>
        <v>14</v>
      </c>
      <c r="L69" s="145">
        <f>SUMIFS(Table2[NewPointsAway],Table2[GameDate], "&lt;=" &amp; $A69, Table2[AwayTeam], L$1)+SUMIFS(Table2[NewPointsHome],Table2[GameDate], "&lt;=" &amp; $A69, Table2[HomeTeam], L$1)</f>
        <v>12</v>
      </c>
      <c r="M69" s="145">
        <f>SUMIFS(Table2[NewPointsAway],Table2[GameDate], "&lt;=" &amp; $A69, Table2[AwayTeam], M$1)+SUMIFS(Table2[NewPointsHome],Table2[GameDate], "&lt;=" &amp; $A69, Table2[HomeTeam], M$1)</f>
        <v>11</v>
      </c>
      <c r="N69" s="145">
        <f>SUMIFS(Table2[NewPointsAway],Table2[GameDate], "&lt;=" &amp; $A69, Table2[AwayTeam], N$1)+SUMIFS(Table2[NewPointsHome],Table2[GameDate], "&lt;=" &amp; $A69, Table2[HomeTeam], N$1)</f>
        <v>13</v>
      </c>
      <c r="O69" s="145">
        <f>SUMIFS(Table2[NewPointsAway],Table2[GameDate], "&lt;=" &amp; $A69, Table2[AwayTeam], O$1)+SUMIFS(Table2[NewPointsHome],Table2[GameDate], "&lt;=" &amp; $A69, Table2[HomeTeam], O$1)</f>
        <v>9</v>
      </c>
      <c r="P69" s="145">
        <f>SUMIFS(Table2[NewPointsAway],Table2[GameDate], "&lt;=" &amp; $A69, Table2[AwayTeam], P$1)+SUMIFS(Table2[NewPointsHome],Table2[GameDate], "&lt;=" &amp; $A69, Table2[HomeTeam], P$1)</f>
        <v>16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10</v>
      </c>
      <c r="U69" s="145">
        <f>SUMIFS(Table2[NewPointsAway],Table2[GameDate], "&lt;=" &amp; $A69, Table2[AwayTeam], U$1)+SUMIFS(Table2[NewPointsHome],Table2[GameDate], "&lt;=" &amp; $A69, Table2[HomeTeam], U$1)</f>
        <v>11</v>
      </c>
      <c r="V69" s="145">
        <f>SUMIFS(Table2[NewPointsAway],Table2[GameDate], "&lt;=" &amp; $A69, Table2[AwayTeam], V$1)+SUMIFS(Table2[NewPointsHome],Table2[GameDate], "&lt;=" &amp; $A69, Table2[HomeTeam], V$1)</f>
        <v>11</v>
      </c>
      <c r="W69" s="145">
        <f>SUMIFS(Table2[NewPointsAway],Table2[GameDate], "&lt;=" &amp; $A69, Table2[AwayTeam], W$1)+SUMIFS(Table2[NewPointsHome],Table2[GameDate], "&lt;=" &amp; $A69, Table2[HomeTeam], W$1)</f>
        <v>16</v>
      </c>
      <c r="X69" s="145">
        <f>SUMIFS(Table2[NewPointsAway],Table2[GameDate], "&lt;=" &amp; $A69, Table2[AwayTeam], X$1)+SUMIFS(Table2[NewPointsHome],Table2[GameDate], "&lt;=" &amp; $A69, Table2[HomeTeam], X$1)</f>
        <v>13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10</v>
      </c>
      <c r="AB69" s="145">
        <f>SUMIFS(Table2[NewPointsAway],Table2[GameDate], "&lt;=" &amp; $A69, Table2[AwayTeam], AB$1)+SUMIFS(Table2[NewPointsHome],Table2[GameDate], "&lt;=" &amp; $A69, Table2[HomeTeam], AB$1)</f>
        <v>11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15</v>
      </c>
      <c r="AF69" s="145">
        <f>SUMIFS(Table2[NewPointsAway],Table2[GameDate], "&lt;=" &amp; $A69, Table2[AwayTeam], AF$1)+SUMIFS(Table2[NewPointsHome],Table2[GameDate], "&lt;=" &amp; $A69, Table2[HomeTeam], AF$1)</f>
        <v>14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11</v>
      </c>
      <c r="C70" s="145">
        <f>SUMIFS(Table2[NewPointsAway],Table2[GameDate], "&lt;=" &amp; $A70, Table2[AwayTeam], C$1)+SUMIFS(Table2[NewPointsHome],Table2[GameDate], "&lt;=" &amp; $A70, Table2[HomeTeam], C$1)</f>
        <v>10</v>
      </c>
      <c r="D70" s="145">
        <f>SUMIFS(Table2[NewPointsAway],Table2[GameDate], "&lt;=" &amp; $A70, Table2[AwayTeam], D$1)+SUMIFS(Table2[NewPointsHome],Table2[GameDate], "&lt;=" &amp; $A70, Table2[HomeTeam], D$1)</f>
        <v>10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12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12</v>
      </c>
      <c r="I70" s="145">
        <f>SUMIFS(Table2[NewPointsAway],Table2[GameDate], "&lt;=" &amp; $A70, Table2[AwayTeam], I$1)+SUMIFS(Table2[NewPointsHome],Table2[GameDate], "&lt;=" &amp; $A70, Table2[HomeTeam], I$1)</f>
        <v>16</v>
      </c>
      <c r="J70" s="145">
        <f>SUMIFS(Table2[NewPointsAway],Table2[GameDate], "&lt;=" &amp; $A70, Table2[AwayTeam], J$1)+SUMIFS(Table2[NewPointsHome],Table2[GameDate], "&lt;=" &amp; $A70, Table2[HomeTeam], J$1)</f>
        <v>13</v>
      </c>
      <c r="K70" s="145">
        <f>SUMIFS(Table2[NewPointsAway],Table2[GameDate], "&lt;=" &amp; $A70, Table2[AwayTeam], K$1)+SUMIFS(Table2[NewPointsHome],Table2[GameDate], "&lt;=" &amp; $A70, Table2[HomeTeam], K$1)</f>
        <v>14</v>
      </c>
      <c r="L70" s="145">
        <f>SUMIFS(Table2[NewPointsAway],Table2[GameDate], "&lt;=" &amp; $A70, Table2[AwayTeam], L$1)+SUMIFS(Table2[NewPointsHome],Table2[GameDate], "&lt;=" &amp; $A70, Table2[HomeTeam], L$1)</f>
        <v>12</v>
      </c>
      <c r="M70" s="145">
        <f>SUMIFS(Table2[NewPointsAway],Table2[GameDate], "&lt;=" &amp; $A70, Table2[AwayTeam], M$1)+SUMIFS(Table2[NewPointsHome],Table2[GameDate], "&lt;=" &amp; $A70, Table2[HomeTeam], M$1)</f>
        <v>11</v>
      </c>
      <c r="N70" s="145">
        <f>SUMIFS(Table2[NewPointsAway],Table2[GameDate], "&lt;=" &amp; $A70, Table2[AwayTeam], N$1)+SUMIFS(Table2[NewPointsHome],Table2[GameDate], "&lt;=" &amp; $A70, Table2[HomeTeam], N$1)</f>
        <v>13</v>
      </c>
      <c r="O70" s="145">
        <f>SUMIFS(Table2[NewPointsAway],Table2[GameDate], "&lt;=" &amp; $A70, Table2[AwayTeam], O$1)+SUMIFS(Table2[NewPointsHome],Table2[GameDate], "&lt;=" &amp; $A70, Table2[HomeTeam], O$1)</f>
        <v>9</v>
      </c>
      <c r="P70" s="145">
        <f>SUMIFS(Table2[NewPointsAway],Table2[GameDate], "&lt;=" &amp; $A70, Table2[AwayTeam], P$1)+SUMIFS(Table2[NewPointsHome],Table2[GameDate], "&lt;=" &amp; $A70, Table2[HomeTeam], P$1)</f>
        <v>16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10</v>
      </c>
      <c r="U70" s="145">
        <f>SUMIFS(Table2[NewPointsAway],Table2[GameDate], "&lt;=" &amp; $A70, Table2[AwayTeam], U$1)+SUMIFS(Table2[NewPointsHome],Table2[GameDate], "&lt;=" &amp; $A70, Table2[HomeTeam], U$1)</f>
        <v>11</v>
      </c>
      <c r="V70" s="145">
        <f>SUMIFS(Table2[NewPointsAway],Table2[GameDate], "&lt;=" &amp; $A70, Table2[AwayTeam], V$1)+SUMIFS(Table2[NewPointsHome],Table2[GameDate], "&lt;=" &amp; $A70, Table2[HomeTeam], V$1)</f>
        <v>11</v>
      </c>
      <c r="W70" s="145">
        <f>SUMIFS(Table2[NewPointsAway],Table2[GameDate], "&lt;=" &amp; $A70, Table2[AwayTeam], W$1)+SUMIFS(Table2[NewPointsHome],Table2[GameDate], "&lt;=" &amp; $A70, Table2[HomeTeam], W$1)</f>
        <v>16</v>
      </c>
      <c r="X70" s="145">
        <f>SUMIFS(Table2[NewPointsAway],Table2[GameDate], "&lt;=" &amp; $A70, Table2[AwayTeam], X$1)+SUMIFS(Table2[NewPointsHome],Table2[GameDate], "&lt;=" &amp; $A70, Table2[HomeTeam], X$1)</f>
        <v>13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10</v>
      </c>
      <c r="AB70" s="145">
        <f>SUMIFS(Table2[NewPointsAway],Table2[GameDate], "&lt;=" &amp; $A70, Table2[AwayTeam], AB$1)+SUMIFS(Table2[NewPointsHome],Table2[GameDate], "&lt;=" &amp; $A70, Table2[HomeTeam], AB$1)</f>
        <v>11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15</v>
      </c>
      <c r="AF70" s="145">
        <f>SUMIFS(Table2[NewPointsAway],Table2[GameDate], "&lt;=" &amp; $A70, Table2[AwayTeam], AF$1)+SUMIFS(Table2[NewPointsHome],Table2[GameDate], "&lt;=" &amp; $A70, Table2[HomeTeam], AF$1)</f>
        <v>14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11</v>
      </c>
      <c r="C71" s="145">
        <f>SUMIFS(Table2[NewPointsAway],Table2[GameDate], "&lt;=" &amp; $A71, Table2[AwayTeam], C$1)+SUMIFS(Table2[NewPointsHome],Table2[GameDate], "&lt;=" &amp; $A71, Table2[HomeTeam], C$1)</f>
        <v>10</v>
      </c>
      <c r="D71" s="145">
        <f>SUMIFS(Table2[NewPointsAway],Table2[GameDate], "&lt;=" &amp; $A71, Table2[AwayTeam], D$1)+SUMIFS(Table2[NewPointsHome],Table2[GameDate], "&lt;=" &amp; $A71, Table2[HomeTeam], D$1)</f>
        <v>10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12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12</v>
      </c>
      <c r="I71" s="145">
        <f>SUMIFS(Table2[NewPointsAway],Table2[GameDate], "&lt;=" &amp; $A71, Table2[AwayTeam], I$1)+SUMIFS(Table2[NewPointsHome],Table2[GameDate], "&lt;=" &amp; $A71, Table2[HomeTeam], I$1)</f>
        <v>16</v>
      </c>
      <c r="J71" s="145">
        <f>SUMIFS(Table2[NewPointsAway],Table2[GameDate], "&lt;=" &amp; $A71, Table2[AwayTeam], J$1)+SUMIFS(Table2[NewPointsHome],Table2[GameDate], "&lt;=" &amp; $A71, Table2[HomeTeam], J$1)</f>
        <v>13</v>
      </c>
      <c r="K71" s="145">
        <f>SUMIFS(Table2[NewPointsAway],Table2[GameDate], "&lt;=" &amp; $A71, Table2[AwayTeam], K$1)+SUMIFS(Table2[NewPointsHome],Table2[GameDate], "&lt;=" &amp; $A71, Table2[HomeTeam], K$1)</f>
        <v>14</v>
      </c>
      <c r="L71" s="145">
        <f>SUMIFS(Table2[NewPointsAway],Table2[GameDate], "&lt;=" &amp; $A71, Table2[AwayTeam], L$1)+SUMIFS(Table2[NewPointsHome],Table2[GameDate], "&lt;=" &amp; $A71, Table2[HomeTeam], L$1)</f>
        <v>12</v>
      </c>
      <c r="M71" s="145">
        <f>SUMIFS(Table2[NewPointsAway],Table2[GameDate], "&lt;=" &amp; $A71, Table2[AwayTeam], M$1)+SUMIFS(Table2[NewPointsHome],Table2[GameDate], "&lt;=" &amp; $A71, Table2[HomeTeam], M$1)</f>
        <v>11</v>
      </c>
      <c r="N71" s="145">
        <f>SUMIFS(Table2[NewPointsAway],Table2[GameDate], "&lt;=" &amp; $A71, Table2[AwayTeam], N$1)+SUMIFS(Table2[NewPointsHome],Table2[GameDate], "&lt;=" &amp; $A71, Table2[HomeTeam], N$1)</f>
        <v>13</v>
      </c>
      <c r="O71" s="145">
        <f>SUMIFS(Table2[NewPointsAway],Table2[GameDate], "&lt;=" &amp; $A71, Table2[AwayTeam], O$1)+SUMIFS(Table2[NewPointsHome],Table2[GameDate], "&lt;=" &amp; $A71, Table2[HomeTeam], O$1)</f>
        <v>9</v>
      </c>
      <c r="P71" s="145">
        <f>SUMIFS(Table2[NewPointsAway],Table2[GameDate], "&lt;=" &amp; $A71, Table2[AwayTeam], P$1)+SUMIFS(Table2[NewPointsHome],Table2[GameDate], "&lt;=" &amp; $A71, Table2[HomeTeam], P$1)</f>
        <v>16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10</v>
      </c>
      <c r="U71" s="145">
        <f>SUMIFS(Table2[NewPointsAway],Table2[GameDate], "&lt;=" &amp; $A71, Table2[AwayTeam], U$1)+SUMIFS(Table2[NewPointsHome],Table2[GameDate], "&lt;=" &amp; $A71, Table2[HomeTeam], U$1)</f>
        <v>11</v>
      </c>
      <c r="V71" s="145">
        <f>SUMIFS(Table2[NewPointsAway],Table2[GameDate], "&lt;=" &amp; $A71, Table2[AwayTeam], V$1)+SUMIFS(Table2[NewPointsHome],Table2[GameDate], "&lt;=" &amp; $A71, Table2[HomeTeam], V$1)</f>
        <v>11</v>
      </c>
      <c r="W71" s="145">
        <f>SUMIFS(Table2[NewPointsAway],Table2[GameDate], "&lt;=" &amp; $A71, Table2[AwayTeam], W$1)+SUMIFS(Table2[NewPointsHome],Table2[GameDate], "&lt;=" &amp; $A71, Table2[HomeTeam], W$1)</f>
        <v>16</v>
      </c>
      <c r="X71" s="145">
        <f>SUMIFS(Table2[NewPointsAway],Table2[GameDate], "&lt;=" &amp; $A71, Table2[AwayTeam], X$1)+SUMIFS(Table2[NewPointsHome],Table2[GameDate], "&lt;=" &amp; $A71, Table2[HomeTeam], X$1)</f>
        <v>13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10</v>
      </c>
      <c r="AB71" s="145">
        <f>SUMIFS(Table2[NewPointsAway],Table2[GameDate], "&lt;=" &amp; $A71, Table2[AwayTeam], AB$1)+SUMIFS(Table2[NewPointsHome],Table2[GameDate], "&lt;=" &amp; $A71, Table2[HomeTeam], AB$1)</f>
        <v>11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15</v>
      </c>
      <c r="AF71" s="145">
        <f>SUMIFS(Table2[NewPointsAway],Table2[GameDate], "&lt;=" &amp; $A71, Table2[AwayTeam], AF$1)+SUMIFS(Table2[NewPointsHome],Table2[GameDate], "&lt;=" &amp; $A71, Table2[HomeTeam], AF$1)</f>
        <v>14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11</v>
      </c>
      <c r="C72" s="145">
        <f>SUMIFS(Table2[NewPointsAway],Table2[GameDate], "&lt;=" &amp; $A72, Table2[AwayTeam], C$1)+SUMIFS(Table2[NewPointsHome],Table2[GameDate], "&lt;=" &amp; $A72, Table2[HomeTeam], C$1)</f>
        <v>10</v>
      </c>
      <c r="D72" s="145">
        <f>SUMIFS(Table2[NewPointsAway],Table2[GameDate], "&lt;=" &amp; $A72, Table2[AwayTeam], D$1)+SUMIFS(Table2[NewPointsHome],Table2[GameDate], "&lt;=" &amp; $A72, Table2[HomeTeam], D$1)</f>
        <v>10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12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12</v>
      </c>
      <c r="I72" s="145">
        <f>SUMIFS(Table2[NewPointsAway],Table2[GameDate], "&lt;=" &amp; $A72, Table2[AwayTeam], I$1)+SUMIFS(Table2[NewPointsHome],Table2[GameDate], "&lt;=" &amp; $A72, Table2[HomeTeam], I$1)</f>
        <v>16</v>
      </c>
      <c r="J72" s="145">
        <f>SUMIFS(Table2[NewPointsAway],Table2[GameDate], "&lt;=" &amp; $A72, Table2[AwayTeam], J$1)+SUMIFS(Table2[NewPointsHome],Table2[GameDate], "&lt;=" &amp; $A72, Table2[HomeTeam], J$1)</f>
        <v>13</v>
      </c>
      <c r="K72" s="145">
        <f>SUMIFS(Table2[NewPointsAway],Table2[GameDate], "&lt;=" &amp; $A72, Table2[AwayTeam], K$1)+SUMIFS(Table2[NewPointsHome],Table2[GameDate], "&lt;=" &amp; $A72, Table2[HomeTeam], K$1)</f>
        <v>14</v>
      </c>
      <c r="L72" s="145">
        <f>SUMIFS(Table2[NewPointsAway],Table2[GameDate], "&lt;=" &amp; $A72, Table2[AwayTeam], L$1)+SUMIFS(Table2[NewPointsHome],Table2[GameDate], "&lt;=" &amp; $A72, Table2[HomeTeam], L$1)</f>
        <v>12</v>
      </c>
      <c r="M72" s="145">
        <f>SUMIFS(Table2[NewPointsAway],Table2[GameDate], "&lt;=" &amp; $A72, Table2[AwayTeam], M$1)+SUMIFS(Table2[NewPointsHome],Table2[GameDate], "&lt;=" &amp; $A72, Table2[HomeTeam], M$1)</f>
        <v>11</v>
      </c>
      <c r="N72" s="145">
        <f>SUMIFS(Table2[NewPointsAway],Table2[GameDate], "&lt;=" &amp; $A72, Table2[AwayTeam], N$1)+SUMIFS(Table2[NewPointsHome],Table2[GameDate], "&lt;=" &amp; $A72, Table2[HomeTeam], N$1)</f>
        <v>13</v>
      </c>
      <c r="O72" s="145">
        <f>SUMIFS(Table2[NewPointsAway],Table2[GameDate], "&lt;=" &amp; $A72, Table2[AwayTeam], O$1)+SUMIFS(Table2[NewPointsHome],Table2[GameDate], "&lt;=" &amp; $A72, Table2[HomeTeam], O$1)</f>
        <v>9</v>
      </c>
      <c r="P72" s="145">
        <f>SUMIFS(Table2[NewPointsAway],Table2[GameDate], "&lt;=" &amp; $A72, Table2[AwayTeam], P$1)+SUMIFS(Table2[NewPointsHome],Table2[GameDate], "&lt;=" &amp; $A72, Table2[HomeTeam], P$1)</f>
        <v>16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10</v>
      </c>
      <c r="U72" s="145">
        <f>SUMIFS(Table2[NewPointsAway],Table2[GameDate], "&lt;=" &amp; $A72, Table2[AwayTeam], U$1)+SUMIFS(Table2[NewPointsHome],Table2[GameDate], "&lt;=" &amp; $A72, Table2[HomeTeam], U$1)</f>
        <v>11</v>
      </c>
      <c r="V72" s="145">
        <f>SUMIFS(Table2[NewPointsAway],Table2[GameDate], "&lt;=" &amp; $A72, Table2[AwayTeam], V$1)+SUMIFS(Table2[NewPointsHome],Table2[GameDate], "&lt;=" &amp; $A72, Table2[HomeTeam], V$1)</f>
        <v>11</v>
      </c>
      <c r="W72" s="145">
        <f>SUMIFS(Table2[NewPointsAway],Table2[GameDate], "&lt;=" &amp; $A72, Table2[AwayTeam], W$1)+SUMIFS(Table2[NewPointsHome],Table2[GameDate], "&lt;=" &amp; $A72, Table2[HomeTeam], W$1)</f>
        <v>16</v>
      </c>
      <c r="X72" s="145">
        <f>SUMIFS(Table2[NewPointsAway],Table2[GameDate], "&lt;=" &amp; $A72, Table2[AwayTeam], X$1)+SUMIFS(Table2[NewPointsHome],Table2[GameDate], "&lt;=" &amp; $A72, Table2[HomeTeam], X$1)</f>
        <v>13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10</v>
      </c>
      <c r="AB72" s="145">
        <f>SUMIFS(Table2[NewPointsAway],Table2[GameDate], "&lt;=" &amp; $A72, Table2[AwayTeam], AB$1)+SUMIFS(Table2[NewPointsHome],Table2[GameDate], "&lt;=" &amp; $A72, Table2[HomeTeam], AB$1)</f>
        <v>11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15</v>
      </c>
      <c r="AF72" s="145">
        <f>SUMIFS(Table2[NewPointsAway],Table2[GameDate], "&lt;=" &amp; $A72, Table2[AwayTeam], AF$1)+SUMIFS(Table2[NewPointsHome],Table2[GameDate], "&lt;=" &amp; $A72, Table2[HomeTeam], AF$1)</f>
        <v>14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11</v>
      </c>
      <c r="C73" s="145">
        <f>SUMIFS(Table2[NewPointsAway],Table2[GameDate], "&lt;=" &amp; $A73, Table2[AwayTeam], C$1)+SUMIFS(Table2[NewPointsHome],Table2[GameDate], "&lt;=" &amp; $A73, Table2[HomeTeam], C$1)</f>
        <v>10</v>
      </c>
      <c r="D73" s="145">
        <f>SUMIFS(Table2[NewPointsAway],Table2[GameDate], "&lt;=" &amp; $A73, Table2[AwayTeam], D$1)+SUMIFS(Table2[NewPointsHome],Table2[GameDate], "&lt;=" &amp; $A73, Table2[HomeTeam], D$1)</f>
        <v>10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12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12</v>
      </c>
      <c r="I73" s="145">
        <f>SUMIFS(Table2[NewPointsAway],Table2[GameDate], "&lt;=" &amp; $A73, Table2[AwayTeam], I$1)+SUMIFS(Table2[NewPointsHome],Table2[GameDate], "&lt;=" &amp; $A73, Table2[HomeTeam], I$1)</f>
        <v>16</v>
      </c>
      <c r="J73" s="145">
        <f>SUMIFS(Table2[NewPointsAway],Table2[GameDate], "&lt;=" &amp; $A73, Table2[AwayTeam], J$1)+SUMIFS(Table2[NewPointsHome],Table2[GameDate], "&lt;=" &amp; $A73, Table2[HomeTeam], J$1)</f>
        <v>13</v>
      </c>
      <c r="K73" s="145">
        <f>SUMIFS(Table2[NewPointsAway],Table2[GameDate], "&lt;=" &amp; $A73, Table2[AwayTeam], K$1)+SUMIFS(Table2[NewPointsHome],Table2[GameDate], "&lt;=" &amp; $A73, Table2[HomeTeam], K$1)</f>
        <v>14</v>
      </c>
      <c r="L73" s="145">
        <f>SUMIFS(Table2[NewPointsAway],Table2[GameDate], "&lt;=" &amp; $A73, Table2[AwayTeam], L$1)+SUMIFS(Table2[NewPointsHome],Table2[GameDate], "&lt;=" &amp; $A73, Table2[HomeTeam], L$1)</f>
        <v>12</v>
      </c>
      <c r="M73" s="145">
        <f>SUMIFS(Table2[NewPointsAway],Table2[GameDate], "&lt;=" &amp; $A73, Table2[AwayTeam], M$1)+SUMIFS(Table2[NewPointsHome],Table2[GameDate], "&lt;=" &amp; $A73, Table2[HomeTeam], M$1)</f>
        <v>11</v>
      </c>
      <c r="N73" s="145">
        <f>SUMIFS(Table2[NewPointsAway],Table2[GameDate], "&lt;=" &amp; $A73, Table2[AwayTeam], N$1)+SUMIFS(Table2[NewPointsHome],Table2[GameDate], "&lt;=" &amp; $A73, Table2[HomeTeam], N$1)</f>
        <v>13</v>
      </c>
      <c r="O73" s="145">
        <f>SUMIFS(Table2[NewPointsAway],Table2[GameDate], "&lt;=" &amp; $A73, Table2[AwayTeam], O$1)+SUMIFS(Table2[NewPointsHome],Table2[GameDate], "&lt;=" &amp; $A73, Table2[HomeTeam], O$1)</f>
        <v>9</v>
      </c>
      <c r="P73" s="145">
        <f>SUMIFS(Table2[NewPointsAway],Table2[GameDate], "&lt;=" &amp; $A73, Table2[AwayTeam], P$1)+SUMIFS(Table2[NewPointsHome],Table2[GameDate], "&lt;=" &amp; $A73, Table2[HomeTeam], P$1)</f>
        <v>16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10</v>
      </c>
      <c r="U73" s="145">
        <f>SUMIFS(Table2[NewPointsAway],Table2[GameDate], "&lt;=" &amp; $A73, Table2[AwayTeam], U$1)+SUMIFS(Table2[NewPointsHome],Table2[GameDate], "&lt;=" &amp; $A73, Table2[HomeTeam], U$1)</f>
        <v>11</v>
      </c>
      <c r="V73" s="145">
        <f>SUMIFS(Table2[NewPointsAway],Table2[GameDate], "&lt;=" &amp; $A73, Table2[AwayTeam], V$1)+SUMIFS(Table2[NewPointsHome],Table2[GameDate], "&lt;=" &amp; $A73, Table2[HomeTeam], V$1)</f>
        <v>11</v>
      </c>
      <c r="W73" s="145">
        <f>SUMIFS(Table2[NewPointsAway],Table2[GameDate], "&lt;=" &amp; $A73, Table2[AwayTeam], W$1)+SUMIFS(Table2[NewPointsHome],Table2[GameDate], "&lt;=" &amp; $A73, Table2[HomeTeam], W$1)</f>
        <v>16</v>
      </c>
      <c r="X73" s="145">
        <f>SUMIFS(Table2[NewPointsAway],Table2[GameDate], "&lt;=" &amp; $A73, Table2[AwayTeam], X$1)+SUMIFS(Table2[NewPointsHome],Table2[GameDate], "&lt;=" &amp; $A73, Table2[HomeTeam], X$1)</f>
        <v>13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10</v>
      </c>
      <c r="AB73" s="145">
        <f>SUMIFS(Table2[NewPointsAway],Table2[GameDate], "&lt;=" &amp; $A73, Table2[AwayTeam], AB$1)+SUMIFS(Table2[NewPointsHome],Table2[GameDate], "&lt;=" &amp; $A73, Table2[HomeTeam], AB$1)</f>
        <v>11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15</v>
      </c>
      <c r="AF73" s="145">
        <f>SUMIFS(Table2[NewPointsAway],Table2[GameDate], "&lt;=" &amp; $A73, Table2[AwayTeam], AF$1)+SUMIFS(Table2[NewPointsHome],Table2[GameDate], "&lt;=" &amp; $A73, Table2[HomeTeam], AF$1)</f>
        <v>14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11</v>
      </c>
      <c r="C74" s="145">
        <f>SUMIFS(Table2[NewPointsAway],Table2[GameDate], "&lt;=" &amp; $A74, Table2[AwayTeam], C$1)+SUMIFS(Table2[NewPointsHome],Table2[GameDate], "&lt;=" &amp; $A74, Table2[HomeTeam], C$1)</f>
        <v>10</v>
      </c>
      <c r="D74" s="145">
        <f>SUMIFS(Table2[NewPointsAway],Table2[GameDate], "&lt;=" &amp; $A74, Table2[AwayTeam], D$1)+SUMIFS(Table2[NewPointsHome],Table2[GameDate], "&lt;=" &amp; $A74, Table2[HomeTeam], D$1)</f>
        <v>10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12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12</v>
      </c>
      <c r="I74" s="145">
        <f>SUMIFS(Table2[NewPointsAway],Table2[GameDate], "&lt;=" &amp; $A74, Table2[AwayTeam], I$1)+SUMIFS(Table2[NewPointsHome],Table2[GameDate], "&lt;=" &amp; $A74, Table2[HomeTeam], I$1)</f>
        <v>16</v>
      </c>
      <c r="J74" s="145">
        <f>SUMIFS(Table2[NewPointsAway],Table2[GameDate], "&lt;=" &amp; $A74, Table2[AwayTeam], J$1)+SUMIFS(Table2[NewPointsHome],Table2[GameDate], "&lt;=" &amp; $A74, Table2[HomeTeam], J$1)</f>
        <v>13</v>
      </c>
      <c r="K74" s="145">
        <f>SUMIFS(Table2[NewPointsAway],Table2[GameDate], "&lt;=" &amp; $A74, Table2[AwayTeam], K$1)+SUMIFS(Table2[NewPointsHome],Table2[GameDate], "&lt;=" &amp; $A74, Table2[HomeTeam], K$1)</f>
        <v>14</v>
      </c>
      <c r="L74" s="145">
        <f>SUMIFS(Table2[NewPointsAway],Table2[GameDate], "&lt;=" &amp; $A74, Table2[AwayTeam], L$1)+SUMIFS(Table2[NewPointsHome],Table2[GameDate], "&lt;=" &amp; $A74, Table2[HomeTeam], L$1)</f>
        <v>12</v>
      </c>
      <c r="M74" s="145">
        <f>SUMIFS(Table2[NewPointsAway],Table2[GameDate], "&lt;=" &amp; $A74, Table2[AwayTeam], M$1)+SUMIFS(Table2[NewPointsHome],Table2[GameDate], "&lt;=" &amp; $A74, Table2[HomeTeam], M$1)</f>
        <v>11</v>
      </c>
      <c r="N74" s="145">
        <f>SUMIFS(Table2[NewPointsAway],Table2[GameDate], "&lt;=" &amp; $A74, Table2[AwayTeam], N$1)+SUMIFS(Table2[NewPointsHome],Table2[GameDate], "&lt;=" &amp; $A74, Table2[HomeTeam], N$1)</f>
        <v>13</v>
      </c>
      <c r="O74" s="145">
        <f>SUMIFS(Table2[NewPointsAway],Table2[GameDate], "&lt;=" &amp; $A74, Table2[AwayTeam], O$1)+SUMIFS(Table2[NewPointsHome],Table2[GameDate], "&lt;=" &amp; $A74, Table2[HomeTeam], O$1)</f>
        <v>9</v>
      </c>
      <c r="P74" s="145">
        <f>SUMIFS(Table2[NewPointsAway],Table2[GameDate], "&lt;=" &amp; $A74, Table2[AwayTeam], P$1)+SUMIFS(Table2[NewPointsHome],Table2[GameDate], "&lt;=" &amp; $A74, Table2[HomeTeam], P$1)</f>
        <v>16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10</v>
      </c>
      <c r="U74" s="145">
        <f>SUMIFS(Table2[NewPointsAway],Table2[GameDate], "&lt;=" &amp; $A74, Table2[AwayTeam], U$1)+SUMIFS(Table2[NewPointsHome],Table2[GameDate], "&lt;=" &amp; $A74, Table2[HomeTeam], U$1)</f>
        <v>11</v>
      </c>
      <c r="V74" s="145">
        <f>SUMIFS(Table2[NewPointsAway],Table2[GameDate], "&lt;=" &amp; $A74, Table2[AwayTeam], V$1)+SUMIFS(Table2[NewPointsHome],Table2[GameDate], "&lt;=" &amp; $A74, Table2[HomeTeam], V$1)</f>
        <v>11</v>
      </c>
      <c r="W74" s="145">
        <f>SUMIFS(Table2[NewPointsAway],Table2[GameDate], "&lt;=" &amp; $A74, Table2[AwayTeam], W$1)+SUMIFS(Table2[NewPointsHome],Table2[GameDate], "&lt;=" &amp; $A74, Table2[HomeTeam], W$1)</f>
        <v>16</v>
      </c>
      <c r="X74" s="145">
        <f>SUMIFS(Table2[NewPointsAway],Table2[GameDate], "&lt;=" &amp; $A74, Table2[AwayTeam], X$1)+SUMIFS(Table2[NewPointsHome],Table2[GameDate], "&lt;=" &amp; $A74, Table2[HomeTeam], X$1)</f>
        <v>13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10</v>
      </c>
      <c r="AB74" s="145">
        <f>SUMIFS(Table2[NewPointsAway],Table2[GameDate], "&lt;=" &amp; $A74, Table2[AwayTeam], AB$1)+SUMIFS(Table2[NewPointsHome],Table2[GameDate], "&lt;=" &amp; $A74, Table2[HomeTeam], AB$1)</f>
        <v>11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15</v>
      </c>
      <c r="AF74" s="145">
        <f>SUMIFS(Table2[NewPointsAway],Table2[GameDate], "&lt;=" &amp; $A74, Table2[AwayTeam], AF$1)+SUMIFS(Table2[NewPointsHome],Table2[GameDate], "&lt;=" &amp; $A74, Table2[HomeTeam], AF$1)</f>
        <v>14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11</v>
      </c>
      <c r="C75" s="145">
        <f>SUMIFS(Table2[NewPointsAway],Table2[GameDate], "&lt;=" &amp; $A75, Table2[AwayTeam], C$1)+SUMIFS(Table2[NewPointsHome],Table2[GameDate], "&lt;=" &amp; $A75, Table2[HomeTeam], C$1)</f>
        <v>10</v>
      </c>
      <c r="D75" s="145">
        <f>SUMIFS(Table2[NewPointsAway],Table2[GameDate], "&lt;=" &amp; $A75, Table2[AwayTeam], D$1)+SUMIFS(Table2[NewPointsHome],Table2[GameDate], "&lt;=" &amp; $A75, Table2[HomeTeam], D$1)</f>
        <v>10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12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12</v>
      </c>
      <c r="I75" s="145">
        <f>SUMIFS(Table2[NewPointsAway],Table2[GameDate], "&lt;=" &amp; $A75, Table2[AwayTeam], I$1)+SUMIFS(Table2[NewPointsHome],Table2[GameDate], "&lt;=" &amp; $A75, Table2[HomeTeam], I$1)</f>
        <v>16</v>
      </c>
      <c r="J75" s="145">
        <f>SUMIFS(Table2[NewPointsAway],Table2[GameDate], "&lt;=" &amp; $A75, Table2[AwayTeam], J$1)+SUMIFS(Table2[NewPointsHome],Table2[GameDate], "&lt;=" &amp; $A75, Table2[HomeTeam], J$1)</f>
        <v>13</v>
      </c>
      <c r="K75" s="145">
        <f>SUMIFS(Table2[NewPointsAway],Table2[GameDate], "&lt;=" &amp; $A75, Table2[AwayTeam], K$1)+SUMIFS(Table2[NewPointsHome],Table2[GameDate], "&lt;=" &amp; $A75, Table2[HomeTeam], K$1)</f>
        <v>14</v>
      </c>
      <c r="L75" s="145">
        <f>SUMIFS(Table2[NewPointsAway],Table2[GameDate], "&lt;=" &amp; $A75, Table2[AwayTeam], L$1)+SUMIFS(Table2[NewPointsHome],Table2[GameDate], "&lt;=" &amp; $A75, Table2[HomeTeam], L$1)</f>
        <v>12</v>
      </c>
      <c r="M75" s="145">
        <f>SUMIFS(Table2[NewPointsAway],Table2[GameDate], "&lt;=" &amp; $A75, Table2[AwayTeam], M$1)+SUMIFS(Table2[NewPointsHome],Table2[GameDate], "&lt;=" &amp; $A75, Table2[HomeTeam], M$1)</f>
        <v>11</v>
      </c>
      <c r="N75" s="145">
        <f>SUMIFS(Table2[NewPointsAway],Table2[GameDate], "&lt;=" &amp; $A75, Table2[AwayTeam], N$1)+SUMIFS(Table2[NewPointsHome],Table2[GameDate], "&lt;=" &amp; $A75, Table2[HomeTeam], N$1)</f>
        <v>13</v>
      </c>
      <c r="O75" s="145">
        <f>SUMIFS(Table2[NewPointsAway],Table2[GameDate], "&lt;=" &amp; $A75, Table2[AwayTeam], O$1)+SUMIFS(Table2[NewPointsHome],Table2[GameDate], "&lt;=" &amp; $A75, Table2[HomeTeam], O$1)</f>
        <v>9</v>
      </c>
      <c r="P75" s="145">
        <f>SUMIFS(Table2[NewPointsAway],Table2[GameDate], "&lt;=" &amp; $A75, Table2[AwayTeam], P$1)+SUMIFS(Table2[NewPointsHome],Table2[GameDate], "&lt;=" &amp; $A75, Table2[HomeTeam], P$1)</f>
        <v>16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10</v>
      </c>
      <c r="U75" s="145">
        <f>SUMIFS(Table2[NewPointsAway],Table2[GameDate], "&lt;=" &amp; $A75, Table2[AwayTeam], U$1)+SUMIFS(Table2[NewPointsHome],Table2[GameDate], "&lt;=" &amp; $A75, Table2[HomeTeam], U$1)</f>
        <v>11</v>
      </c>
      <c r="V75" s="145">
        <f>SUMIFS(Table2[NewPointsAway],Table2[GameDate], "&lt;=" &amp; $A75, Table2[AwayTeam], V$1)+SUMIFS(Table2[NewPointsHome],Table2[GameDate], "&lt;=" &amp; $A75, Table2[HomeTeam], V$1)</f>
        <v>11</v>
      </c>
      <c r="W75" s="145">
        <f>SUMIFS(Table2[NewPointsAway],Table2[GameDate], "&lt;=" &amp; $A75, Table2[AwayTeam], W$1)+SUMIFS(Table2[NewPointsHome],Table2[GameDate], "&lt;=" &amp; $A75, Table2[HomeTeam], W$1)</f>
        <v>16</v>
      </c>
      <c r="X75" s="145">
        <f>SUMIFS(Table2[NewPointsAway],Table2[GameDate], "&lt;=" &amp; $A75, Table2[AwayTeam], X$1)+SUMIFS(Table2[NewPointsHome],Table2[GameDate], "&lt;=" &amp; $A75, Table2[HomeTeam], X$1)</f>
        <v>13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10</v>
      </c>
      <c r="AB75" s="145">
        <f>SUMIFS(Table2[NewPointsAway],Table2[GameDate], "&lt;=" &amp; $A75, Table2[AwayTeam], AB$1)+SUMIFS(Table2[NewPointsHome],Table2[GameDate], "&lt;=" &amp; $A75, Table2[HomeTeam], AB$1)</f>
        <v>11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15</v>
      </c>
      <c r="AF75" s="145">
        <f>SUMIFS(Table2[NewPointsAway],Table2[GameDate], "&lt;=" &amp; $A75, Table2[AwayTeam], AF$1)+SUMIFS(Table2[NewPointsHome],Table2[GameDate], "&lt;=" &amp; $A75, Table2[HomeTeam], AF$1)</f>
        <v>14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11</v>
      </c>
      <c r="C76" s="145">
        <f>SUMIFS(Table2[NewPointsAway],Table2[GameDate], "&lt;=" &amp; $A76, Table2[AwayTeam], C$1)+SUMIFS(Table2[NewPointsHome],Table2[GameDate], "&lt;=" &amp; $A76, Table2[HomeTeam], C$1)</f>
        <v>10</v>
      </c>
      <c r="D76" s="145">
        <f>SUMIFS(Table2[NewPointsAway],Table2[GameDate], "&lt;=" &amp; $A76, Table2[AwayTeam], D$1)+SUMIFS(Table2[NewPointsHome],Table2[GameDate], "&lt;=" &amp; $A76, Table2[HomeTeam], D$1)</f>
        <v>10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12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12</v>
      </c>
      <c r="I76" s="145">
        <f>SUMIFS(Table2[NewPointsAway],Table2[GameDate], "&lt;=" &amp; $A76, Table2[AwayTeam], I$1)+SUMIFS(Table2[NewPointsHome],Table2[GameDate], "&lt;=" &amp; $A76, Table2[HomeTeam], I$1)</f>
        <v>16</v>
      </c>
      <c r="J76" s="145">
        <f>SUMIFS(Table2[NewPointsAway],Table2[GameDate], "&lt;=" &amp; $A76, Table2[AwayTeam], J$1)+SUMIFS(Table2[NewPointsHome],Table2[GameDate], "&lt;=" &amp; $A76, Table2[HomeTeam], J$1)</f>
        <v>13</v>
      </c>
      <c r="K76" s="145">
        <f>SUMIFS(Table2[NewPointsAway],Table2[GameDate], "&lt;=" &amp; $A76, Table2[AwayTeam], K$1)+SUMIFS(Table2[NewPointsHome],Table2[GameDate], "&lt;=" &amp; $A76, Table2[HomeTeam], K$1)</f>
        <v>14</v>
      </c>
      <c r="L76" s="145">
        <f>SUMIFS(Table2[NewPointsAway],Table2[GameDate], "&lt;=" &amp; $A76, Table2[AwayTeam], L$1)+SUMIFS(Table2[NewPointsHome],Table2[GameDate], "&lt;=" &amp; $A76, Table2[HomeTeam], L$1)</f>
        <v>12</v>
      </c>
      <c r="M76" s="145">
        <f>SUMIFS(Table2[NewPointsAway],Table2[GameDate], "&lt;=" &amp; $A76, Table2[AwayTeam], M$1)+SUMIFS(Table2[NewPointsHome],Table2[GameDate], "&lt;=" &amp; $A76, Table2[HomeTeam], M$1)</f>
        <v>11</v>
      </c>
      <c r="N76" s="145">
        <f>SUMIFS(Table2[NewPointsAway],Table2[GameDate], "&lt;=" &amp; $A76, Table2[AwayTeam], N$1)+SUMIFS(Table2[NewPointsHome],Table2[GameDate], "&lt;=" &amp; $A76, Table2[HomeTeam], N$1)</f>
        <v>13</v>
      </c>
      <c r="O76" s="145">
        <f>SUMIFS(Table2[NewPointsAway],Table2[GameDate], "&lt;=" &amp; $A76, Table2[AwayTeam], O$1)+SUMIFS(Table2[NewPointsHome],Table2[GameDate], "&lt;=" &amp; $A76, Table2[HomeTeam], O$1)</f>
        <v>9</v>
      </c>
      <c r="P76" s="145">
        <f>SUMIFS(Table2[NewPointsAway],Table2[GameDate], "&lt;=" &amp; $A76, Table2[AwayTeam], P$1)+SUMIFS(Table2[NewPointsHome],Table2[GameDate], "&lt;=" &amp; $A76, Table2[HomeTeam], P$1)</f>
        <v>16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10</v>
      </c>
      <c r="U76" s="145">
        <f>SUMIFS(Table2[NewPointsAway],Table2[GameDate], "&lt;=" &amp; $A76, Table2[AwayTeam], U$1)+SUMIFS(Table2[NewPointsHome],Table2[GameDate], "&lt;=" &amp; $A76, Table2[HomeTeam], U$1)</f>
        <v>11</v>
      </c>
      <c r="V76" s="145">
        <f>SUMIFS(Table2[NewPointsAway],Table2[GameDate], "&lt;=" &amp; $A76, Table2[AwayTeam], V$1)+SUMIFS(Table2[NewPointsHome],Table2[GameDate], "&lt;=" &amp; $A76, Table2[HomeTeam], V$1)</f>
        <v>11</v>
      </c>
      <c r="W76" s="145">
        <f>SUMIFS(Table2[NewPointsAway],Table2[GameDate], "&lt;=" &amp; $A76, Table2[AwayTeam], W$1)+SUMIFS(Table2[NewPointsHome],Table2[GameDate], "&lt;=" &amp; $A76, Table2[HomeTeam], W$1)</f>
        <v>16</v>
      </c>
      <c r="X76" s="145">
        <f>SUMIFS(Table2[NewPointsAway],Table2[GameDate], "&lt;=" &amp; $A76, Table2[AwayTeam], X$1)+SUMIFS(Table2[NewPointsHome],Table2[GameDate], "&lt;=" &amp; $A76, Table2[HomeTeam], X$1)</f>
        <v>13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10</v>
      </c>
      <c r="AB76" s="145">
        <f>SUMIFS(Table2[NewPointsAway],Table2[GameDate], "&lt;=" &amp; $A76, Table2[AwayTeam], AB$1)+SUMIFS(Table2[NewPointsHome],Table2[GameDate], "&lt;=" &amp; $A76, Table2[HomeTeam], AB$1)</f>
        <v>11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15</v>
      </c>
      <c r="AF76" s="145">
        <f>SUMIFS(Table2[NewPointsAway],Table2[GameDate], "&lt;=" &amp; $A76, Table2[AwayTeam], AF$1)+SUMIFS(Table2[NewPointsHome],Table2[GameDate], "&lt;=" &amp; $A76, Table2[HomeTeam], AF$1)</f>
        <v>14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11</v>
      </c>
      <c r="C77" s="145">
        <f>SUMIFS(Table2[NewPointsAway],Table2[GameDate], "&lt;=" &amp; $A77, Table2[AwayTeam], C$1)+SUMIFS(Table2[NewPointsHome],Table2[GameDate], "&lt;=" &amp; $A77, Table2[HomeTeam], C$1)</f>
        <v>10</v>
      </c>
      <c r="D77" s="145">
        <f>SUMIFS(Table2[NewPointsAway],Table2[GameDate], "&lt;=" &amp; $A77, Table2[AwayTeam], D$1)+SUMIFS(Table2[NewPointsHome],Table2[GameDate], "&lt;=" &amp; $A77, Table2[HomeTeam], D$1)</f>
        <v>10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12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12</v>
      </c>
      <c r="I77" s="145">
        <f>SUMIFS(Table2[NewPointsAway],Table2[GameDate], "&lt;=" &amp; $A77, Table2[AwayTeam], I$1)+SUMIFS(Table2[NewPointsHome],Table2[GameDate], "&lt;=" &amp; $A77, Table2[HomeTeam], I$1)</f>
        <v>16</v>
      </c>
      <c r="J77" s="145">
        <f>SUMIFS(Table2[NewPointsAway],Table2[GameDate], "&lt;=" &amp; $A77, Table2[AwayTeam], J$1)+SUMIFS(Table2[NewPointsHome],Table2[GameDate], "&lt;=" &amp; $A77, Table2[HomeTeam], J$1)</f>
        <v>13</v>
      </c>
      <c r="K77" s="145">
        <f>SUMIFS(Table2[NewPointsAway],Table2[GameDate], "&lt;=" &amp; $A77, Table2[AwayTeam], K$1)+SUMIFS(Table2[NewPointsHome],Table2[GameDate], "&lt;=" &amp; $A77, Table2[HomeTeam], K$1)</f>
        <v>14</v>
      </c>
      <c r="L77" s="145">
        <f>SUMIFS(Table2[NewPointsAway],Table2[GameDate], "&lt;=" &amp; $A77, Table2[AwayTeam], L$1)+SUMIFS(Table2[NewPointsHome],Table2[GameDate], "&lt;=" &amp; $A77, Table2[HomeTeam], L$1)</f>
        <v>12</v>
      </c>
      <c r="M77" s="145">
        <f>SUMIFS(Table2[NewPointsAway],Table2[GameDate], "&lt;=" &amp; $A77, Table2[AwayTeam], M$1)+SUMIFS(Table2[NewPointsHome],Table2[GameDate], "&lt;=" &amp; $A77, Table2[HomeTeam], M$1)</f>
        <v>11</v>
      </c>
      <c r="N77" s="145">
        <f>SUMIFS(Table2[NewPointsAway],Table2[GameDate], "&lt;=" &amp; $A77, Table2[AwayTeam], N$1)+SUMIFS(Table2[NewPointsHome],Table2[GameDate], "&lt;=" &amp; $A77, Table2[HomeTeam], N$1)</f>
        <v>13</v>
      </c>
      <c r="O77" s="145">
        <f>SUMIFS(Table2[NewPointsAway],Table2[GameDate], "&lt;=" &amp; $A77, Table2[AwayTeam], O$1)+SUMIFS(Table2[NewPointsHome],Table2[GameDate], "&lt;=" &amp; $A77, Table2[HomeTeam], O$1)</f>
        <v>9</v>
      </c>
      <c r="P77" s="145">
        <f>SUMIFS(Table2[NewPointsAway],Table2[GameDate], "&lt;=" &amp; $A77, Table2[AwayTeam], P$1)+SUMIFS(Table2[NewPointsHome],Table2[GameDate], "&lt;=" &amp; $A77, Table2[HomeTeam], P$1)</f>
        <v>16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10</v>
      </c>
      <c r="U77" s="145">
        <f>SUMIFS(Table2[NewPointsAway],Table2[GameDate], "&lt;=" &amp; $A77, Table2[AwayTeam], U$1)+SUMIFS(Table2[NewPointsHome],Table2[GameDate], "&lt;=" &amp; $A77, Table2[HomeTeam], U$1)</f>
        <v>11</v>
      </c>
      <c r="V77" s="145">
        <f>SUMIFS(Table2[NewPointsAway],Table2[GameDate], "&lt;=" &amp; $A77, Table2[AwayTeam], V$1)+SUMIFS(Table2[NewPointsHome],Table2[GameDate], "&lt;=" &amp; $A77, Table2[HomeTeam], V$1)</f>
        <v>11</v>
      </c>
      <c r="W77" s="145">
        <f>SUMIFS(Table2[NewPointsAway],Table2[GameDate], "&lt;=" &amp; $A77, Table2[AwayTeam], W$1)+SUMIFS(Table2[NewPointsHome],Table2[GameDate], "&lt;=" &amp; $A77, Table2[HomeTeam], W$1)</f>
        <v>16</v>
      </c>
      <c r="X77" s="145">
        <f>SUMIFS(Table2[NewPointsAway],Table2[GameDate], "&lt;=" &amp; $A77, Table2[AwayTeam], X$1)+SUMIFS(Table2[NewPointsHome],Table2[GameDate], "&lt;=" &amp; $A77, Table2[HomeTeam], X$1)</f>
        <v>13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10</v>
      </c>
      <c r="AB77" s="145">
        <f>SUMIFS(Table2[NewPointsAway],Table2[GameDate], "&lt;=" &amp; $A77, Table2[AwayTeam], AB$1)+SUMIFS(Table2[NewPointsHome],Table2[GameDate], "&lt;=" &amp; $A77, Table2[HomeTeam], AB$1)</f>
        <v>11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15</v>
      </c>
      <c r="AF77" s="145">
        <f>SUMIFS(Table2[NewPointsAway],Table2[GameDate], "&lt;=" &amp; $A77, Table2[AwayTeam], AF$1)+SUMIFS(Table2[NewPointsHome],Table2[GameDate], "&lt;=" &amp; $A77, Table2[HomeTeam], AF$1)</f>
        <v>14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11</v>
      </c>
      <c r="C78" s="145">
        <f>SUMIFS(Table2[NewPointsAway],Table2[GameDate], "&lt;=" &amp; $A78, Table2[AwayTeam], C$1)+SUMIFS(Table2[NewPointsHome],Table2[GameDate], "&lt;=" &amp; $A78, Table2[HomeTeam], C$1)</f>
        <v>10</v>
      </c>
      <c r="D78" s="145">
        <f>SUMIFS(Table2[NewPointsAway],Table2[GameDate], "&lt;=" &amp; $A78, Table2[AwayTeam], D$1)+SUMIFS(Table2[NewPointsHome],Table2[GameDate], "&lt;=" &amp; $A78, Table2[HomeTeam], D$1)</f>
        <v>10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12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12</v>
      </c>
      <c r="I78" s="145">
        <f>SUMIFS(Table2[NewPointsAway],Table2[GameDate], "&lt;=" &amp; $A78, Table2[AwayTeam], I$1)+SUMIFS(Table2[NewPointsHome],Table2[GameDate], "&lt;=" &amp; $A78, Table2[HomeTeam], I$1)</f>
        <v>16</v>
      </c>
      <c r="J78" s="145">
        <f>SUMIFS(Table2[NewPointsAway],Table2[GameDate], "&lt;=" &amp; $A78, Table2[AwayTeam], J$1)+SUMIFS(Table2[NewPointsHome],Table2[GameDate], "&lt;=" &amp; $A78, Table2[HomeTeam], J$1)</f>
        <v>13</v>
      </c>
      <c r="K78" s="145">
        <f>SUMIFS(Table2[NewPointsAway],Table2[GameDate], "&lt;=" &amp; $A78, Table2[AwayTeam], K$1)+SUMIFS(Table2[NewPointsHome],Table2[GameDate], "&lt;=" &amp; $A78, Table2[HomeTeam], K$1)</f>
        <v>14</v>
      </c>
      <c r="L78" s="145">
        <f>SUMIFS(Table2[NewPointsAway],Table2[GameDate], "&lt;=" &amp; $A78, Table2[AwayTeam], L$1)+SUMIFS(Table2[NewPointsHome],Table2[GameDate], "&lt;=" &amp; $A78, Table2[HomeTeam], L$1)</f>
        <v>12</v>
      </c>
      <c r="M78" s="145">
        <f>SUMIFS(Table2[NewPointsAway],Table2[GameDate], "&lt;=" &amp; $A78, Table2[AwayTeam], M$1)+SUMIFS(Table2[NewPointsHome],Table2[GameDate], "&lt;=" &amp; $A78, Table2[HomeTeam], M$1)</f>
        <v>11</v>
      </c>
      <c r="N78" s="145">
        <f>SUMIFS(Table2[NewPointsAway],Table2[GameDate], "&lt;=" &amp; $A78, Table2[AwayTeam], N$1)+SUMIFS(Table2[NewPointsHome],Table2[GameDate], "&lt;=" &amp; $A78, Table2[HomeTeam], N$1)</f>
        <v>13</v>
      </c>
      <c r="O78" s="145">
        <f>SUMIFS(Table2[NewPointsAway],Table2[GameDate], "&lt;=" &amp; $A78, Table2[AwayTeam], O$1)+SUMIFS(Table2[NewPointsHome],Table2[GameDate], "&lt;=" &amp; $A78, Table2[HomeTeam], O$1)</f>
        <v>9</v>
      </c>
      <c r="P78" s="145">
        <f>SUMIFS(Table2[NewPointsAway],Table2[GameDate], "&lt;=" &amp; $A78, Table2[AwayTeam], P$1)+SUMIFS(Table2[NewPointsHome],Table2[GameDate], "&lt;=" &amp; $A78, Table2[HomeTeam], P$1)</f>
        <v>16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10</v>
      </c>
      <c r="U78" s="145">
        <f>SUMIFS(Table2[NewPointsAway],Table2[GameDate], "&lt;=" &amp; $A78, Table2[AwayTeam], U$1)+SUMIFS(Table2[NewPointsHome],Table2[GameDate], "&lt;=" &amp; $A78, Table2[HomeTeam], U$1)</f>
        <v>11</v>
      </c>
      <c r="V78" s="145">
        <f>SUMIFS(Table2[NewPointsAway],Table2[GameDate], "&lt;=" &amp; $A78, Table2[AwayTeam], V$1)+SUMIFS(Table2[NewPointsHome],Table2[GameDate], "&lt;=" &amp; $A78, Table2[HomeTeam], V$1)</f>
        <v>11</v>
      </c>
      <c r="W78" s="145">
        <f>SUMIFS(Table2[NewPointsAway],Table2[GameDate], "&lt;=" &amp; $A78, Table2[AwayTeam], W$1)+SUMIFS(Table2[NewPointsHome],Table2[GameDate], "&lt;=" &amp; $A78, Table2[HomeTeam], W$1)</f>
        <v>16</v>
      </c>
      <c r="X78" s="145">
        <f>SUMIFS(Table2[NewPointsAway],Table2[GameDate], "&lt;=" &amp; $A78, Table2[AwayTeam], X$1)+SUMIFS(Table2[NewPointsHome],Table2[GameDate], "&lt;=" &amp; $A78, Table2[HomeTeam], X$1)</f>
        <v>13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10</v>
      </c>
      <c r="AB78" s="145">
        <f>SUMIFS(Table2[NewPointsAway],Table2[GameDate], "&lt;=" &amp; $A78, Table2[AwayTeam], AB$1)+SUMIFS(Table2[NewPointsHome],Table2[GameDate], "&lt;=" &amp; $A78, Table2[HomeTeam], AB$1)</f>
        <v>11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15</v>
      </c>
      <c r="AF78" s="145">
        <f>SUMIFS(Table2[NewPointsAway],Table2[GameDate], "&lt;=" &amp; $A78, Table2[AwayTeam], AF$1)+SUMIFS(Table2[NewPointsHome],Table2[GameDate], "&lt;=" &amp; $A78, Table2[HomeTeam], AF$1)</f>
        <v>14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11</v>
      </c>
      <c r="C79" s="145">
        <f>SUMIFS(Table2[NewPointsAway],Table2[GameDate], "&lt;=" &amp; $A79, Table2[AwayTeam], C$1)+SUMIFS(Table2[NewPointsHome],Table2[GameDate], "&lt;=" &amp; $A79, Table2[HomeTeam], C$1)</f>
        <v>10</v>
      </c>
      <c r="D79" s="145">
        <f>SUMIFS(Table2[NewPointsAway],Table2[GameDate], "&lt;=" &amp; $A79, Table2[AwayTeam], D$1)+SUMIFS(Table2[NewPointsHome],Table2[GameDate], "&lt;=" &amp; $A79, Table2[HomeTeam], D$1)</f>
        <v>10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12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12</v>
      </c>
      <c r="I79" s="145">
        <f>SUMIFS(Table2[NewPointsAway],Table2[GameDate], "&lt;=" &amp; $A79, Table2[AwayTeam], I$1)+SUMIFS(Table2[NewPointsHome],Table2[GameDate], "&lt;=" &amp; $A79, Table2[HomeTeam], I$1)</f>
        <v>16</v>
      </c>
      <c r="J79" s="145">
        <f>SUMIFS(Table2[NewPointsAway],Table2[GameDate], "&lt;=" &amp; $A79, Table2[AwayTeam], J$1)+SUMIFS(Table2[NewPointsHome],Table2[GameDate], "&lt;=" &amp; $A79, Table2[HomeTeam], J$1)</f>
        <v>13</v>
      </c>
      <c r="K79" s="145">
        <f>SUMIFS(Table2[NewPointsAway],Table2[GameDate], "&lt;=" &amp; $A79, Table2[AwayTeam], K$1)+SUMIFS(Table2[NewPointsHome],Table2[GameDate], "&lt;=" &amp; $A79, Table2[HomeTeam], K$1)</f>
        <v>14</v>
      </c>
      <c r="L79" s="145">
        <f>SUMIFS(Table2[NewPointsAway],Table2[GameDate], "&lt;=" &amp; $A79, Table2[AwayTeam], L$1)+SUMIFS(Table2[NewPointsHome],Table2[GameDate], "&lt;=" &amp; $A79, Table2[HomeTeam], L$1)</f>
        <v>12</v>
      </c>
      <c r="M79" s="145">
        <f>SUMIFS(Table2[NewPointsAway],Table2[GameDate], "&lt;=" &amp; $A79, Table2[AwayTeam], M$1)+SUMIFS(Table2[NewPointsHome],Table2[GameDate], "&lt;=" &amp; $A79, Table2[HomeTeam], M$1)</f>
        <v>11</v>
      </c>
      <c r="N79" s="145">
        <f>SUMIFS(Table2[NewPointsAway],Table2[GameDate], "&lt;=" &amp; $A79, Table2[AwayTeam], N$1)+SUMIFS(Table2[NewPointsHome],Table2[GameDate], "&lt;=" &amp; $A79, Table2[HomeTeam], N$1)</f>
        <v>13</v>
      </c>
      <c r="O79" s="145">
        <f>SUMIFS(Table2[NewPointsAway],Table2[GameDate], "&lt;=" &amp; $A79, Table2[AwayTeam], O$1)+SUMIFS(Table2[NewPointsHome],Table2[GameDate], "&lt;=" &amp; $A79, Table2[HomeTeam], O$1)</f>
        <v>9</v>
      </c>
      <c r="P79" s="145">
        <f>SUMIFS(Table2[NewPointsAway],Table2[GameDate], "&lt;=" &amp; $A79, Table2[AwayTeam], P$1)+SUMIFS(Table2[NewPointsHome],Table2[GameDate], "&lt;=" &amp; $A79, Table2[HomeTeam], P$1)</f>
        <v>16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10</v>
      </c>
      <c r="U79" s="145">
        <f>SUMIFS(Table2[NewPointsAway],Table2[GameDate], "&lt;=" &amp; $A79, Table2[AwayTeam], U$1)+SUMIFS(Table2[NewPointsHome],Table2[GameDate], "&lt;=" &amp; $A79, Table2[HomeTeam], U$1)</f>
        <v>11</v>
      </c>
      <c r="V79" s="145">
        <f>SUMIFS(Table2[NewPointsAway],Table2[GameDate], "&lt;=" &amp; $A79, Table2[AwayTeam], V$1)+SUMIFS(Table2[NewPointsHome],Table2[GameDate], "&lt;=" &amp; $A79, Table2[HomeTeam], V$1)</f>
        <v>11</v>
      </c>
      <c r="W79" s="145">
        <f>SUMIFS(Table2[NewPointsAway],Table2[GameDate], "&lt;=" &amp; $A79, Table2[AwayTeam], W$1)+SUMIFS(Table2[NewPointsHome],Table2[GameDate], "&lt;=" &amp; $A79, Table2[HomeTeam], W$1)</f>
        <v>16</v>
      </c>
      <c r="X79" s="145">
        <f>SUMIFS(Table2[NewPointsAway],Table2[GameDate], "&lt;=" &amp; $A79, Table2[AwayTeam], X$1)+SUMIFS(Table2[NewPointsHome],Table2[GameDate], "&lt;=" &amp; $A79, Table2[HomeTeam], X$1)</f>
        <v>13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10</v>
      </c>
      <c r="AB79" s="145">
        <f>SUMIFS(Table2[NewPointsAway],Table2[GameDate], "&lt;=" &amp; $A79, Table2[AwayTeam], AB$1)+SUMIFS(Table2[NewPointsHome],Table2[GameDate], "&lt;=" &amp; $A79, Table2[HomeTeam], AB$1)</f>
        <v>11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15</v>
      </c>
      <c r="AF79" s="145">
        <f>SUMIFS(Table2[NewPointsAway],Table2[GameDate], "&lt;=" &amp; $A79, Table2[AwayTeam], AF$1)+SUMIFS(Table2[NewPointsHome],Table2[GameDate], "&lt;=" &amp; $A79, Table2[HomeTeam], AF$1)</f>
        <v>14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11</v>
      </c>
      <c r="C80" s="145">
        <f>SUMIFS(Table2[NewPointsAway],Table2[GameDate], "&lt;=" &amp; $A80, Table2[AwayTeam], C$1)+SUMIFS(Table2[NewPointsHome],Table2[GameDate], "&lt;=" &amp; $A80, Table2[HomeTeam], C$1)</f>
        <v>10</v>
      </c>
      <c r="D80" s="145">
        <f>SUMIFS(Table2[NewPointsAway],Table2[GameDate], "&lt;=" &amp; $A80, Table2[AwayTeam], D$1)+SUMIFS(Table2[NewPointsHome],Table2[GameDate], "&lt;=" &amp; $A80, Table2[HomeTeam], D$1)</f>
        <v>10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12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12</v>
      </c>
      <c r="I80" s="145">
        <f>SUMIFS(Table2[NewPointsAway],Table2[GameDate], "&lt;=" &amp; $A80, Table2[AwayTeam], I$1)+SUMIFS(Table2[NewPointsHome],Table2[GameDate], "&lt;=" &amp; $A80, Table2[HomeTeam], I$1)</f>
        <v>16</v>
      </c>
      <c r="J80" s="145">
        <f>SUMIFS(Table2[NewPointsAway],Table2[GameDate], "&lt;=" &amp; $A80, Table2[AwayTeam], J$1)+SUMIFS(Table2[NewPointsHome],Table2[GameDate], "&lt;=" &amp; $A80, Table2[HomeTeam], J$1)</f>
        <v>13</v>
      </c>
      <c r="K80" s="145">
        <f>SUMIFS(Table2[NewPointsAway],Table2[GameDate], "&lt;=" &amp; $A80, Table2[AwayTeam], K$1)+SUMIFS(Table2[NewPointsHome],Table2[GameDate], "&lt;=" &amp; $A80, Table2[HomeTeam], K$1)</f>
        <v>14</v>
      </c>
      <c r="L80" s="145">
        <f>SUMIFS(Table2[NewPointsAway],Table2[GameDate], "&lt;=" &amp; $A80, Table2[AwayTeam], L$1)+SUMIFS(Table2[NewPointsHome],Table2[GameDate], "&lt;=" &amp; $A80, Table2[HomeTeam], L$1)</f>
        <v>12</v>
      </c>
      <c r="M80" s="145">
        <f>SUMIFS(Table2[NewPointsAway],Table2[GameDate], "&lt;=" &amp; $A80, Table2[AwayTeam], M$1)+SUMIFS(Table2[NewPointsHome],Table2[GameDate], "&lt;=" &amp; $A80, Table2[HomeTeam], M$1)</f>
        <v>11</v>
      </c>
      <c r="N80" s="145">
        <f>SUMIFS(Table2[NewPointsAway],Table2[GameDate], "&lt;=" &amp; $A80, Table2[AwayTeam], N$1)+SUMIFS(Table2[NewPointsHome],Table2[GameDate], "&lt;=" &amp; $A80, Table2[HomeTeam], N$1)</f>
        <v>13</v>
      </c>
      <c r="O80" s="145">
        <f>SUMIFS(Table2[NewPointsAway],Table2[GameDate], "&lt;=" &amp; $A80, Table2[AwayTeam], O$1)+SUMIFS(Table2[NewPointsHome],Table2[GameDate], "&lt;=" &amp; $A80, Table2[HomeTeam], O$1)</f>
        <v>9</v>
      </c>
      <c r="P80" s="145">
        <f>SUMIFS(Table2[NewPointsAway],Table2[GameDate], "&lt;=" &amp; $A80, Table2[AwayTeam], P$1)+SUMIFS(Table2[NewPointsHome],Table2[GameDate], "&lt;=" &amp; $A80, Table2[HomeTeam], P$1)</f>
        <v>16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10</v>
      </c>
      <c r="U80" s="145">
        <f>SUMIFS(Table2[NewPointsAway],Table2[GameDate], "&lt;=" &amp; $A80, Table2[AwayTeam], U$1)+SUMIFS(Table2[NewPointsHome],Table2[GameDate], "&lt;=" &amp; $A80, Table2[HomeTeam], U$1)</f>
        <v>11</v>
      </c>
      <c r="V80" s="145">
        <f>SUMIFS(Table2[NewPointsAway],Table2[GameDate], "&lt;=" &amp; $A80, Table2[AwayTeam], V$1)+SUMIFS(Table2[NewPointsHome],Table2[GameDate], "&lt;=" &amp; $A80, Table2[HomeTeam], V$1)</f>
        <v>11</v>
      </c>
      <c r="W80" s="145">
        <f>SUMIFS(Table2[NewPointsAway],Table2[GameDate], "&lt;=" &amp; $A80, Table2[AwayTeam], W$1)+SUMIFS(Table2[NewPointsHome],Table2[GameDate], "&lt;=" &amp; $A80, Table2[HomeTeam], W$1)</f>
        <v>16</v>
      </c>
      <c r="X80" s="145">
        <f>SUMIFS(Table2[NewPointsAway],Table2[GameDate], "&lt;=" &amp; $A80, Table2[AwayTeam], X$1)+SUMIFS(Table2[NewPointsHome],Table2[GameDate], "&lt;=" &amp; $A80, Table2[HomeTeam], X$1)</f>
        <v>13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10</v>
      </c>
      <c r="AB80" s="145">
        <f>SUMIFS(Table2[NewPointsAway],Table2[GameDate], "&lt;=" &amp; $A80, Table2[AwayTeam], AB$1)+SUMIFS(Table2[NewPointsHome],Table2[GameDate], "&lt;=" &amp; $A80, Table2[HomeTeam], AB$1)</f>
        <v>11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15</v>
      </c>
      <c r="AF80" s="145">
        <f>SUMIFS(Table2[NewPointsAway],Table2[GameDate], "&lt;=" &amp; $A80, Table2[AwayTeam], AF$1)+SUMIFS(Table2[NewPointsHome],Table2[GameDate], "&lt;=" &amp; $A80, Table2[HomeTeam], AF$1)</f>
        <v>14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11</v>
      </c>
      <c r="C81" s="145">
        <f>SUMIFS(Table2[NewPointsAway],Table2[GameDate], "&lt;=" &amp; $A81, Table2[AwayTeam], C$1)+SUMIFS(Table2[NewPointsHome],Table2[GameDate], "&lt;=" &amp; $A81, Table2[HomeTeam], C$1)</f>
        <v>10</v>
      </c>
      <c r="D81" s="145">
        <f>SUMIFS(Table2[NewPointsAway],Table2[GameDate], "&lt;=" &amp; $A81, Table2[AwayTeam], D$1)+SUMIFS(Table2[NewPointsHome],Table2[GameDate], "&lt;=" &amp; $A81, Table2[HomeTeam], D$1)</f>
        <v>10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12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12</v>
      </c>
      <c r="I81" s="145">
        <f>SUMIFS(Table2[NewPointsAway],Table2[GameDate], "&lt;=" &amp; $A81, Table2[AwayTeam], I$1)+SUMIFS(Table2[NewPointsHome],Table2[GameDate], "&lt;=" &amp; $A81, Table2[HomeTeam], I$1)</f>
        <v>16</v>
      </c>
      <c r="J81" s="145">
        <f>SUMIFS(Table2[NewPointsAway],Table2[GameDate], "&lt;=" &amp; $A81, Table2[AwayTeam], J$1)+SUMIFS(Table2[NewPointsHome],Table2[GameDate], "&lt;=" &amp; $A81, Table2[HomeTeam], J$1)</f>
        <v>13</v>
      </c>
      <c r="K81" s="145">
        <f>SUMIFS(Table2[NewPointsAway],Table2[GameDate], "&lt;=" &amp; $A81, Table2[AwayTeam], K$1)+SUMIFS(Table2[NewPointsHome],Table2[GameDate], "&lt;=" &amp; $A81, Table2[HomeTeam], K$1)</f>
        <v>14</v>
      </c>
      <c r="L81" s="145">
        <f>SUMIFS(Table2[NewPointsAway],Table2[GameDate], "&lt;=" &amp; $A81, Table2[AwayTeam], L$1)+SUMIFS(Table2[NewPointsHome],Table2[GameDate], "&lt;=" &amp; $A81, Table2[HomeTeam], L$1)</f>
        <v>12</v>
      </c>
      <c r="M81" s="145">
        <f>SUMIFS(Table2[NewPointsAway],Table2[GameDate], "&lt;=" &amp; $A81, Table2[AwayTeam], M$1)+SUMIFS(Table2[NewPointsHome],Table2[GameDate], "&lt;=" &amp; $A81, Table2[HomeTeam], M$1)</f>
        <v>11</v>
      </c>
      <c r="N81" s="145">
        <f>SUMIFS(Table2[NewPointsAway],Table2[GameDate], "&lt;=" &amp; $A81, Table2[AwayTeam], N$1)+SUMIFS(Table2[NewPointsHome],Table2[GameDate], "&lt;=" &amp; $A81, Table2[HomeTeam], N$1)</f>
        <v>13</v>
      </c>
      <c r="O81" s="145">
        <f>SUMIFS(Table2[NewPointsAway],Table2[GameDate], "&lt;=" &amp; $A81, Table2[AwayTeam], O$1)+SUMIFS(Table2[NewPointsHome],Table2[GameDate], "&lt;=" &amp; $A81, Table2[HomeTeam], O$1)</f>
        <v>9</v>
      </c>
      <c r="P81" s="145">
        <f>SUMIFS(Table2[NewPointsAway],Table2[GameDate], "&lt;=" &amp; $A81, Table2[AwayTeam], P$1)+SUMIFS(Table2[NewPointsHome],Table2[GameDate], "&lt;=" &amp; $A81, Table2[HomeTeam], P$1)</f>
        <v>16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10</v>
      </c>
      <c r="U81" s="145">
        <f>SUMIFS(Table2[NewPointsAway],Table2[GameDate], "&lt;=" &amp; $A81, Table2[AwayTeam], U$1)+SUMIFS(Table2[NewPointsHome],Table2[GameDate], "&lt;=" &amp; $A81, Table2[HomeTeam], U$1)</f>
        <v>11</v>
      </c>
      <c r="V81" s="145">
        <f>SUMIFS(Table2[NewPointsAway],Table2[GameDate], "&lt;=" &amp; $A81, Table2[AwayTeam], V$1)+SUMIFS(Table2[NewPointsHome],Table2[GameDate], "&lt;=" &amp; $A81, Table2[HomeTeam], V$1)</f>
        <v>11</v>
      </c>
      <c r="W81" s="145">
        <f>SUMIFS(Table2[NewPointsAway],Table2[GameDate], "&lt;=" &amp; $A81, Table2[AwayTeam], W$1)+SUMIFS(Table2[NewPointsHome],Table2[GameDate], "&lt;=" &amp; $A81, Table2[HomeTeam], W$1)</f>
        <v>16</v>
      </c>
      <c r="X81" s="145">
        <f>SUMIFS(Table2[NewPointsAway],Table2[GameDate], "&lt;=" &amp; $A81, Table2[AwayTeam], X$1)+SUMIFS(Table2[NewPointsHome],Table2[GameDate], "&lt;=" &amp; $A81, Table2[HomeTeam], X$1)</f>
        <v>13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10</v>
      </c>
      <c r="AB81" s="145">
        <f>SUMIFS(Table2[NewPointsAway],Table2[GameDate], "&lt;=" &amp; $A81, Table2[AwayTeam], AB$1)+SUMIFS(Table2[NewPointsHome],Table2[GameDate], "&lt;=" &amp; $A81, Table2[HomeTeam], AB$1)</f>
        <v>11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15</v>
      </c>
      <c r="AF81" s="145">
        <f>SUMIFS(Table2[NewPointsAway],Table2[GameDate], "&lt;=" &amp; $A81, Table2[AwayTeam], AF$1)+SUMIFS(Table2[NewPointsHome],Table2[GameDate], "&lt;=" &amp; $A81, Table2[HomeTeam], AF$1)</f>
        <v>14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11</v>
      </c>
      <c r="C82" s="145">
        <f>SUMIFS(Table2[NewPointsAway],Table2[GameDate], "&lt;=" &amp; $A82, Table2[AwayTeam], C$1)+SUMIFS(Table2[NewPointsHome],Table2[GameDate], "&lt;=" &amp; $A82, Table2[HomeTeam], C$1)</f>
        <v>10</v>
      </c>
      <c r="D82" s="145">
        <f>SUMIFS(Table2[NewPointsAway],Table2[GameDate], "&lt;=" &amp; $A82, Table2[AwayTeam], D$1)+SUMIFS(Table2[NewPointsHome],Table2[GameDate], "&lt;=" &amp; $A82, Table2[HomeTeam], D$1)</f>
        <v>10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12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12</v>
      </c>
      <c r="I82" s="145">
        <f>SUMIFS(Table2[NewPointsAway],Table2[GameDate], "&lt;=" &amp; $A82, Table2[AwayTeam], I$1)+SUMIFS(Table2[NewPointsHome],Table2[GameDate], "&lt;=" &amp; $A82, Table2[HomeTeam], I$1)</f>
        <v>16</v>
      </c>
      <c r="J82" s="145">
        <f>SUMIFS(Table2[NewPointsAway],Table2[GameDate], "&lt;=" &amp; $A82, Table2[AwayTeam], J$1)+SUMIFS(Table2[NewPointsHome],Table2[GameDate], "&lt;=" &amp; $A82, Table2[HomeTeam], J$1)</f>
        <v>13</v>
      </c>
      <c r="K82" s="145">
        <f>SUMIFS(Table2[NewPointsAway],Table2[GameDate], "&lt;=" &amp; $A82, Table2[AwayTeam], K$1)+SUMIFS(Table2[NewPointsHome],Table2[GameDate], "&lt;=" &amp; $A82, Table2[HomeTeam], K$1)</f>
        <v>14</v>
      </c>
      <c r="L82" s="145">
        <f>SUMIFS(Table2[NewPointsAway],Table2[GameDate], "&lt;=" &amp; $A82, Table2[AwayTeam], L$1)+SUMIFS(Table2[NewPointsHome],Table2[GameDate], "&lt;=" &amp; $A82, Table2[HomeTeam], L$1)</f>
        <v>12</v>
      </c>
      <c r="M82" s="145">
        <f>SUMIFS(Table2[NewPointsAway],Table2[GameDate], "&lt;=" &amp; $A82, Table2[AwayTeam], M$1)+SUMIFS(Table2[NewPointsHome],Table2[GameDate], "&lt;=" &amp; $A82, Table2[HomeTeam], M$1)</f>
        <v>11</v>
      </c>
      <c r="N82" s="145">
        <f>SUMIFS(Table2[NewPointsAway],Table2[GameDate], "&lt;=" &amp; $A82, Table2[AwayTeam], N$1)+SUMIFS(Table2[NewPointsHome],Table2[GameDate], "&lt;=" &amp; $A82, Table2[HomeTeam], N$1)</f>
        <v>13</v>
      </c>
      <c r="O82" s="145">
        <f>SUMIFS(Table2[NewPointsAway],Table2[GameDate], "&lt;=" &amp; $A82, Table2[AwayTeam], O$1)+SUMIFS(Table2[NewPointsHome],Table2[GameDate], "&lt;=" &amp; $A82, Table2[HomeTeam], O$1)</f>
        <v>9</v>
      </c>
      <c r="P82" s="145">
        <f>SUMIFS(Table2[NewPointsAway],Table2[GameDate], "&lt;=" &amp; $A82, Table2[AwayTeam], P$1)+SUMIFS(Table2[NewPointsHome],Table2[GameDate], "&lt;=" &amp; $A82, Table2[HomeTeam], P$1)</f>
        <v>16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10</v>
      </c>
      <c r="U82" s="145">
        <f>SUMIFS(Table2[NewPointsAway],Table2[GameDate], "&lt;=" &amp; $A82, Table2[AwayTeam], U$1)+SUMIFS(Table2[NewPointsHome],Table2[GameDate], "&lt;=" &amp; $A82, Table2[HomeTeam], U$1)</f>
        <v>11</v>
      </c>
      <c r="V82" s="145">
        <f>SUMIFS(Table2[NewPointsAway],Table2[GameDate], "&lt;=" &amp; $A82, Table2[AwayTeam], V$1)+SUMIFS(Table2[NewPointsHome],Table2[GameDate], "&lt;=" &amp; $A82, Table2[HomeTeam], V$1)</f>
        <v>11</v>
      </c>
      <c r="W82" s="145">
        <f>SUMIFS(Table2[NewPointsAway],Table2[GameDate], "&lt;=" &amp; $A82, Table2[AwayTeam], W$1)+SUMIFS(Table2[NewPointsHome],Table2[GameDate], "&lt;=" &amp; $A82, Table2[HomeTeam], W$1)</f>
        <v>16</v>
      </c>
      <c r="X82" s="145">
        <f>SUMIFS(Table2[NewPointsAway],Table2[GameDate], "&lt;=" &amp; $A82, Table2[AwayTeam], X$1)+SUMIFS(Table2[NewPointsHome],Table2[GameDate], "&lt;=" &amp; $A82, Table2[HomeTeam], X$1)</f>
        <v>13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10</v>
      </c>
      <c r="AB82" s="145">
        <f>SUMIFS(Table2[NewPointsAway],Table2[GameDate], "&lt;=" &amp; $A82, Table2[AwayTeam], AB$1)+SUMIFS(Table2[NewPointsHome],Table2[GameDate], "&lt;=" &amp; $A82, Table2[HomeTeam], AB$1)</f>
        <v>11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15</v>
      </c>
      <c r="AF82" s="145">
        <f>SUMIFS(Table2[NewPointsAway],Table2[GameDate], "&lt;=" &amp; $A82, Table2[AwayTeam], AF$1)+SUMIFS(Table2[NewPointsHome],Table2[GameDate], "&lt;=" &amp; $A82, Table2[HomeTeam], AF$1)</f>
        <v>14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11</v>
      </c>
      <c r="C83" s="145">
        <f>SUMIFS(Table2[NewPointsAway],Table2[GameDate], "&lt;=" &amp; $A83, Table2[AwayTeam], C$1)+SUMIFS(Table2[NewPointsHome],Table2[GameDate], "&lt;=" &amp; $A83, Table2[HomeTeam], C$1)</f>
        <v>10</v>
      </c>
      <c r="D83" s="145">
        <f>SUMIFS(Table2[NewPointsAway],Table2[GameDate], "&lt;=" &amp; $A83, Table2[AwayTeam], D$1)+SUMIFS(Table2[NewPointsHome],Table2[GameDate], "&lt;=" &amp; $A83, Table2[HomeTeam], D$1)</f>
        <v>10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12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12</v>
      </c>
      <c r="I83" s="145">
        <f>SUMIFS(Table2[NewPointsAway],Table2[GameDate], "&lt;=" &amp; $A83, Table2[AwayTeam], I$1)+SUMIFS(Table2[NewPointsHome],Table2[GameDate], "&lt;=" &amp; $A83, Table2[HomeTeam], I$1)</f>
        <v>16</v>
      </c>
      <c r="J83" s="145">
        <f>SUMIFS(Table2[NewPointsAway],Table2[GameDate], "&lt;=" &amp; $A83, Table2[AwayTeam], J$1)+SUMIFS(Table2[NewPointsHome],Table2[GameDate], "&lt;=" &amp; $A83, Table2[HomeTeam], J$1)</f>
        <v>13</v>
      </c>
      <c r="K83" s="145">
        <f>SUMIFS(Table2[NewPointsAway],Table2[GameDate], "&lt;=" &amp; $A83, Table2[AwayTeam], K$1)+SUMIFS(Table2[NewPointsHome],Table2[GameDate], "&lt;=" &amp; $A83, Table2[HomeTeam], K$1)</f>
        <v>14</v>
      </c>
      <c r="L83" s="145">
        <f>SUMIFS(Table2[NewPointsAway],Table2[GameDate], "&lt;=" &amp; $A83, Table2[AwayTeam], L$1)+SUMIFS(Table2[NewPointsHome],Table2[GameDate], "&lt;=" &amp; $A83, Table2[HomeTeam], L$1)</f>
        <v>12</v>
      </c>
      <c r="M83" s="145">
        <f>SUMIFS(Table2[NewPointsAway],Table2[GameDate], "&lt;=" &amp; $A83, Table2[AwayTeam], M$1)+SUMIFS(Table2[NewPointsHome],Table2[GameDate], "&lt;=" &amp; $A83, Table2[HomeTeam], M$1)</f>
        <v>11</v>
      </c>
      <c r="N83" s="145">
        <f>SUMIFS(Table2[NewPointsAway],Table2[GameDate], "&lt;=" &amp; $A83, Table2[AwayTeam], N$1)+SUMIFS(Table2[NewPointsHome],Table2[GameDate], "&lt;=" &amp; $A83, Table2[HomeTeam], N$1)</f>
        <v>13</v>
      </c>
      <c r="O83" s="145">
        <f>SUMIFS(Table2[NewPointsAway],Table2[GameDate], "&lt;=" &amp; $A83, Table2[AwayTeam], O$1)+SUMIFS(Table2[NewPointsHome],Table2[GameDate], "&lt;=" &amp; $A83, Table2[HomeTeam], O$1)</f>
        <v>9</v>
      </c>
      <c r="P83" s="145">
        <f>SUMIFS(Table2[NewPointsAway],Table2[GameDate], "&lt;=" &amp; $A83, Table2[AwayTeam], P$1)+SUMIFS(Table2[NewPointsHome],Table2[GameDate], "&lt;=" &amp; $A83, Table2[HomeTeam], P$1)</f>
        <v>16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10</v>
      </c>
      <c r="U83" s="145">
        <f>SUMIFS(Table2[NewPointsAway],Table2[GameDate], "&lt;=" &amp; $A83, Table2[AwayTeam], U$1)+SUMIFS(Table2[NewPointsHome],Table2[GameDate], "&lt;=" &amp; $A83, Table2[HomeTeam], U$1)</f>
        <v>11</v>
      </c>
      <c r="V83" s="145">
        <f>SUMIFS(Table2[NewPointsAway],Table2[GameDate], "&lt;=" &amp; $A83, Table2[AwayTeam], V$1)+SUMIFS(Table2[NewPointsHome],Table2[GameDate], "&lt;=" &amp; $A83, Table2[HomeTeam], V$1)</f>
        <v>11</v>
      </c>
      <c r="W83" s="145">
        <f>SUMIFS(Table2[NewPointsAway],Table2[GameDate], "&lt;=" &amp; $A83, Table2[AwayTeam], W$1)+SUMIFS(Table2[NewPointsHome],Table2[GameDate], "&lt;=" &amp; $A83, Table2[HomeTeam], W$1)</f>
        <v>16</v>
      </c>
      <c r="X83" s="145">
        <f>SUMIFS(Table2[NewPointsAway],Table2[GameDate], "&lt;=" &amp; $A83, Table2[AwayTeam], X$1)+SUMIFS(Table2[NewPointsHome],Table2[GameDate], "&lt;=" &amp; $A83, Table2[HomeTeam], X$1)</f>
        <v>13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10</v>
      </c>
      <c r="AB83" s="145">
        <f>SUMIFS(Table2[NewPointsAway],Table2[GameDate], "&lt;=" &amp; $A83, Table2[AwayTeam], AB$1)+SUMIFS(Table2[NewPointsHome],Table2[GameDate], "&lt;=" &amp; $A83, Table2[HomeTeam], AB$1)</f>
        <v>11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15</v>
      </c>
      <c r="AF83" s="145">
        <f>SUMIFS(Table2[NewPointsAway],Table2[GameDate], "&lt;=" &amp; $A83, Table2[AwayTeam], AF$1)+SUMIFS(Table2[NewPointsHome],Table2[GameDate], "&lt;=" &amp; $A83, Table2[HomeTeam], AF$1)</f>
        <v>14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11</v>
      </c>
      <c r="C84" s="145">
        <f>SUMIFS(Table2[NewPointsAway],Table2[GameDate], "&lt;=" &amp; $A84, Table2[AwayTeam], C$1)+SUMIFS(Table2[NewPointsHome],Table2[GameDate], "&lt;=" &amp; $A84, Table2[HomeTeam], C$1)</f>
        <v>10</v>
      </c>
      <c r="D84" s="145">
        <f>SUMIFS(Table2[NewPointsAway],Table2[GameDate], "&lt;=" &amp; $A84, Table2[AwayTeam], D$1)+SUMIFS(Table2[NewPointsHome],Table2[GameDate], "&lt;=" &amp; $A84, Table2[HomeTeam], D$1)</f>
        <v>10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12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12</v>
      </c>
      <c r="I84" s="145">
        <f>SUMIFS(Table2[NewPointsAway],Table2[GameDate], "&lt;=" &amp; $A84, Table2[AwayTeam], I$1)+SUMIFS(Table2[NewPointsHome],Table2[GameDate], "&lt;=" &amp; $A84, Table2[HomeTeam], I$1)</f>
        <v>16</v>
      </c>
      <c r="J84" s="145">
        <f>SUMIFS(Table2[NewPointsAway],Table2[GameDate], "&lt;=" &amp; $A84, Table2[AwayTeam], J$1)+SUMIFS(Table2[NewPointsHome],Table2[GameDate], "&lt;=" &amp; $A84, Table2[HomeTeam], J$1)</f>
        <v>13</v>
      </c>
      <c r="K84" s="145">
        <f>SUMIFS(Table2[NewPointsAway],Table2[GameDate], "&lt;=" &amp; $A84, Table2[AwayTeam], K$1)+SUMIFS(Table2[NewPointsHome],Table2[GameDate], "&lt;=" &amp; $A84, Table2[HomeTeam], K$1)</f>
        <v>14</v>
      </c>
      <c r="L84" s="145">
        <f>SUMIFS(Table2[NewPointsAway],Table2[GameDate], "&lt;=" &amp; $A84, Table2[AwayTeam], L$1)+SUMIFS(Table2[NewPointsHome],Table2[GameDate], "&lt;=" &amp; $A84, Table2[HomeTeam], L$1)</f>
        <v>12</v>
      </c>
      <c r="M84" s="145">
        <f>SUMIFS(Table2[NewPointsAway],Table2[GameDate], "&lt;=" &amp; $A84, Table2[AwayTeam], M$1)+SUMIFS(Table2[NewPointsHome],Table2[GameDate], "&lt;=" &amp; $A84, Table2[HomeTeam], M$1)</f>
        <v>11</v>
      </c>
      <c r="N84" s="145">
        <f>SUMIFS(Table2[NewPointsAway],Table2[GameDate], "&lt;=" &amp; $A84, Table2[AwayTeam], N$1)+SUMIFS(Table2[NewPointsHome],Table2[GameDate], "&lt;=" &amp; $A84, Table2[HomeTeam], N$1)</f>
        <v>13</v>
      </c>
      <c r="O84" s="145">
        <f>SUMIFS(Table2[NewPointsAway],Table2[GameDate], "&lt;=" &amp; $A84, Table2[AwayTeam], O$1)+SUMIFS(Table2[NewPointsHome],Table2[GameDate], "&lt;=" &amp; $A84, Table2[HomeTeam], O$1)</f>
        <v>9</v>
      </c>
      <c r="P84" s="145">
        <f>SUMIFS(Table2[NewPointsAway],Table2[GameDate], "&lt;=" &amp; $A84, Table2[AwayTeam], P$1)+SUMIFS(Table2[NewPointsHome],Table2[GameDate], "&lt;=" &amp; $A84, Table2[HomeTeam], P$1)</f>
        <v>16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10</v>
      </c>
      <c r="U84" s="145">
        <f>SUMIFS(Table2[NewPointsAway],Table2[GameDate], "&lt;=" &amp; $A84, Table2[AwayTeam], U$1)+SUMIFS(Table2[NewPointsHome],Table2[GameDate], "&lt;=" &amp; $A84, Table2[HomeTeam], U$1)</f>
        <v>11</v>
      </c>
      <c r="V84" s="145">
        <f>SUMIFS(Table2[NewPointsAway],Table2[GameDate], "&lt;=" &amp; $A84, Table2[AwayTeam], V$1)+SUMIFS(Table2[NewPointsHome],Table2[GameDate], "&lt;=" &amp; $A84, Table2[HomeTeam], V$1)</f>
        <v>11</v>
      </c>
      <c r="W84" s="145">
        <f>SUMIFS(Table2[NewPointsAway],Table2[GameDate], "&lt;=" &amp; $A84, Table2[AwayTeam], W$1)+SUMIFS(Table2[NewPointsHome],Table2[GameDate], "&lt;=" &amp; $A84, Table2[HomeTeam], W$1)</f>
        <v>16</v>
      </c>
      <c r="X84" s="145">
        <f>SUMIFS(Table2[NewPointsAway],Table2[GameDate], "&lt;=" &amp; $A84, Table2[AwayTeam], X$1)+SUMIFS(Table2[NewPointsHome],Table2[GameDate], "&lt;=" &amp; $A84, Table2[HomeTeam], X$1)</f>
        <v>13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10</v>
      </c>
      <c r="AB84" s="145">
        <f>SUMIFS(Table2[NewPointsAway],Table2[GameDate], "&lt;=" &amp; $A84, Table2[AwayTeam], AB$1)+SUMIFS(Table2[NewPointsHome],Table2[GameDate], "&lt;=" &amp; $A84, Table2[HomeTeam], AB$1)</f>
        <v>11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15</v>
      </c>
      <c r="AF84" s="145">
        <f>SUMIFS(Table2[NewPointsAway],Table2[GameDate], "&lt;=" &amp; $A84, Table2[AwayTeam], AF$1)+SUMIFS(Table2[NewPointsHome],Table2[GameDate], "&lt;=" &amp; $A84, Table2[HomeTeam], AF$1)</f>
        <v>14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11</v>
      </c>
      <c r="C85" s="145">
        <f>SUMIFS(Table2[NewPointsAway],Table2[GameDate], "&lt;=" &amp; $A85, Table2[AwayTeam], C$1)+SUMIFS(Table2[NewPointsHome],Table2[GameDate], "&lt;=" &amp; $A85, Table2[HomeTeam], C$1)</f>
        <v>10</v>
      </c>
      <c r="D85" s="145">
        <f>SUMIFS(Table2[NewPointsAway],Table2[GameDate], "&lt;=" &amp; $A85, Table2[AwayTeam], D$1)+SUMIFS(Table2[NewPointsHome],Table2[GameDate], "&lt;=" &amp; $A85, Table2[HomeTeam], D$1)</f>
        <v>10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12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12</v>
      </c>
      <c r="I85" s="145">
        <f>SUMIFS(Table2[NewPointsAway],Table2[GameDate], "&lt;=" &amp; $A85, Table2[AwayTeam], I$1)+SUMIFS(Table2[NewPointsHome],Table2[GameDate], "&lt;=" &amp; $A85, Table2[HomeTeam], I$1)</f>
        <v>16</v>
      </c>
      <c r="J85" s="145">
        <f>SUMIFS(Table2[NewPointsAway],Table2[GameDate], "&lt;=" &amp; $A85, Table2[AwayTeam], J$1)+SUMIFS(Table2[NewPointsHome],Table2[GameDate], "&lt;=" &amp; $A85, Table2[HomeTeam], J$1)</f>
        <v>13</v>
      </c>
      <c r="K85" s="145">
        <f>SUMIFS(Table2[NewPointsAway],Table2[GameDate], "&lt;=" &amp; $A85, Table2[AwayTeam], K$1)+SUMIFS(Table2[NewPointsHome],Table2[GameDate], "&lt;=" &amp; $A85, Table2[HomeTeam], K$1)</f>
        <v>14</v>
      </c>
      <c r="L85" s="145">
        <f>SUMIFS(Table2[NewPointsAway],Table2[GameDate], "&lt;=" &amp; $A85, Table2[AwayTeam], L$1)+SUMIFS(Table2[NewPointsHome],Table2[GameDate], "&lt;=" &amp; $A85, Table2[HomeTeam], L$1)</f>
        <v>12</v>
      </c>
      <c r="M85" s="145">
        <f>SUMIFS(Table2[NewPointsAway],Table2[GameDate], "&lt;=" &amp; $A85, Table2[AwayTeam], M$1)+SUMIFS(Table2[NewPointsHome],Table2[GameDate], "&lt;=" &amp; $A85, Table2[HomeTeam], M$1)</f>
        <v>11</v>
      </c>
      <c r="N85" s="145">
        <f>SUMIFS(Table2[NewPointsAway],Table2[GameDate], "&lt;=" &amp; $A85, Table2[AwayTeam], N$1)+SUMIFS(Table2[NewPointsHome],Table2[GameDate], "&lt;=" &amp; $A85, Table2[HomeTeam], N$1)</f>
        <v>13</v>
      </c>
      <c r="O85" s="145">
        <f>SUMIFS(Table2[NewPointsAway],Table2[GameDate], "&lt;=" &amp; $A85, Table2[AwayTeam], O$1)+SUMIFS(Table2[NewPointsHome],Table2[GameDate], "&lt;=" &amp; $A85, Table2[HomeTeam], O$1)</f>
        <v>9</v>
      </c>
      <c r="P85" s="145">
        <f>SUMIFS(Table2[NewPointsAway],Table2[GameDate], "&lt;=" &amp; $A85, Table2[AwayTeam], P$1)+SUMIFS(Table2[NewPointsHome],Table2[GameDate], "&lt;=" &amp; $A85, Table2[HomeTeam], P$1)</f>
        <v>16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10</v>
      </c>
      <c r="U85" s="145">
        <f>SUMIFS(Table2[NewPointsAway],Table2[GameDate], "&lt;=" &amp; $A85, Table2[AwayTeam], U$1)+SUMIFS(Table2[NewPointsHome],Table2[GameDate], "&lt;=" &amp; $A85, Table2[HomeTeam], U$1)</f>
        <v>11</v>
      </c>
      <c r="V85" s="145">
        <f>SUMIFS(Table2[NewPointsAway],Table2[GameDate], "&lt;=" &amp; $A85, Table2[AwayTeam], V$1)+SUMIFS(Table2[NewPointsHome],Table2[GameDate], "&lt;=" &amp; $A85, Table2[HomeTeam], V$1)</f>
        <v>11</v>
      </c>
      <c r="W85" s="145">
        <f>SUMIFS(Table2[NewPointsAway],Table2[GameDate], "&lt;=" &amp; $A85, Table2[AwayTeam], W$1)+SUMIFS(Table2[NewPointsHome],Table2[GameDate], "&lt;=" &amp; $A85, Table2[HomeTeam], W$1)</f>
        <v>16</v>
      </c>
      <c r="X85" s="145">
        <f>SUMIFS(Table2[NewPointsAway],Table2[GameDate], "&lt;=" &amp; $A85, Table2[AwayTeam], X$1)+SUMIFS(Table2[NewPointsHome],Table2[GameDate], "&lt;=" &amp; $A85, Table2[HomeTeam], X$1)</f>
        <v>13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10</v>
      </c>
      <c r="AB85" s="145">
        <f>SUMIFS(Table2[NewPointsAway],Table2[GameDate], "&lt;=" &amp; $A85, Table2[AwayTeam], AB$1)+SUMIFS(Table2[NewPointsHome],Table2[GameDate], "&lt;=" &amp; $A85, Table2[HomeTeam], AB$1)</f>
        <v>11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15</v>
      </c>
      <c r="AF85" s="145">
        <f>SUMIFS(Table2[NewPointsAway],Table2[GameDate], "&lt;=" &amp; $A85, Table2[AwayTeam], AF$1)+SUMIFS(Table2[NewPointsHome],Table2[GameDate], "&lt;=" &amp; $A85, Table2[HomeTeam], AF$1)</f>
        <v>14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11</v>
      </c>
      <c r="C86" s="145">
        <f>SUMIFS(Table2[NewPointsAway],Table2[GameDate], "&lt;=" &amp; $A86, Table2[AwayTeam], C$1)+SUMIFS(Table2[NewPointsHome],Table2[GameDate], "&lt;=" &amp; $A86, Table2[HomeTeam], C$1)</f>
        <v>10</v>
      </c>
      <c r="D86" s="145">
        <f>SUMIFS(Table2[NewPointsAway],Table2[GameDate], "&lt;=" &amp; $A86, Table2[AwayTeam], D$1)+SUMIFS(Table2[NewPointsHome],Table2[GameDate], "&lt;=" &amp; $A86, Table2[HomeTeam], D$1)</f>
        <v>10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12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12</v>
      </c>
      <c r="I86" s="145">
        <f>SUMIFS(Table2[NewPointsAway],Table2[GameDate], "&lt;=" &amp; $A86, Table2[AwayTeam], I$1)+SUMIFS(Table2[NewPointsHome],Table2[GameDate], "&lt;=" &amp; $A86, Table2[HomeTeam], I$1)</f>
        <v>16</v>
      </c>
      <c r="J86" s="145">
        <f>SUMIFS(Table2[NewPointsAway],Table2[GameDate], "&lt;=" &amp; $A86, Table2[AwayTeam], J$1)+SUMIFS(Table2[NewPointsHome],Table2[GameDate], "&lt;=" &amp; $A86, Table2[HomeTeam], J$1)</f>
        <v>13</v>
      </c>
      <c r="K86" s="145">
        <f>SUMIFS(Table2[NewPointsAway],Table2[GameDate], "&lt;=" &amp; $A86, Table2[AwayTeam], K$1)+SUMIFS(Table2[NewPointsHome],Table2[GameDate], "&lt;=" &amp; $A86, Table2[HomeTeam], K$1)</f>
        <v>14</v>
      </c>
      <c r="L86" s="145">
        <f>SUMIFS(Table2[NewPointsAway],Table2[GameDate], "&lt;=" &amp; $A86, Table2[AwayTeam], L$1)+SUMIFS(Table2[NewPointsHome],Table2[GameDate], "&lt;=" &amp; $A86, Table2[HomeTeam], L$1)</f>
        <v>12</v>
      </c>
      <c r="M86" s="145">
        <f>SUMIFS(Table2[NewPointsAway],Table2[GameDate], "&lt;=" &amp; $A86, Table2[AwayTeam], M$1)+SUMIFS(Table2[NewPointsHome],Table2[GameDate], "&lt;=" &amp; $A86, Table2[HomeTeam], M$1)</f>
        <v>11</v>
      </c>
      <c r="N86" s="145">
        <f>SUMIFS(Table2[NewPointsAway],Table2[GameDate], "&lt;=" &amp; $A86, Table2[AwayTeam], N$1)+SUMIFS(Table2[NewPointsHome],Table2[GameDate], "&lt;=" &amp; $A86, Table2[HomeTeam], N$1)</f>
        <v>13</v>
      </c>
      <c r="O86" s="145">
        <f>SUMIFS(Table2[NewPointsAway],Table2[GameDate], "&lt;=" &amp; $A86, Table2[AwayTeam], O$1)+SUMIFS(Table2[NewPointsHome],Table2[GameDate], "&lt;=" &amp; $A86, Table2[HomeTeam], O$1)</f>
        <v>9</v>
      </c>
      <c r="P86" s="145">
        <f>SUMIFS(Table2[NewPointsAway],Table2[GameDate], "&lt;=" &amp; $A86, Table2[AwayTeam], P$1)+SUMIFS(Table2[NewPointsHome],Table2[GameDate], "&lt;=" &amp; $A86, Table2[HomeTeam], P$1)</f>
        <v>16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10</v>
      </c>
      <c r="U86" s="145">
        <f>SUMIFS(Table2[NewPointsAway],Table2[GameDate], "&lt;=" &amp; $A86, Table2[AwayTeam], U$1)+SUMIFS(Table2[NewPointsHome],Table2[GameDate], "&lt;=" &amp; $A86, Table2[HomeTeam], U$1)</f>
        <v>11</v>
      </c>
      <c r="V86" s="145">
        <f>SUMIFS(Table2[NewPointsAway],Table2[GameDate], "&lt;=" &amp; $A86, Table2[AwayTeam], V$1)+SUMIFS(Table2[NewPointsHome],Table2[GameDate], "&lt;=" &amp; $A86, Table2[HomeTeam], V$1)</f>
        <v>11</v>
      </c>
      <c r="W86" s="145">
        <f>SUMIFS(Table2[NewPointsAway],Table2[GameDate], "&lt;=" &amp; $A86, Table2[AwayTeam], W$1)+SUMIFS(Table2[NewPointsHome],Table2[GameDate], "&lt;=" &amp; $A86, Table2[HomeTeam], W$1)</f>
        <v>16</v>
      </c>
      <c r="X86" s="145">
        <f>SUMIFS(Table2[NewPointsAway],Table2[GameDate], "&lt;=" &amp; $A86, Table2[AwayTeam], X$1)+SUMIFS(Table2[NewPointsHome],Table2[GameDate], "&lt;=" &amp; $A86, Table2[HomeTeam], X$1)</f>
        <v>13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10</v>
      </c>
      <c r="AB86" s="145">
        <f>SUMIFS(Table2[NewPointsAway],Table2[GameDate], "&lt;=" &amp; $A86, Table2[AwayTeam], AB$1)+SUMIFS(Table2[NewPointsHome],Table2[GameDate], "&lt;=" &amp; $A86, Table2[HomeTeam], AB$1)</f>
        <v>11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15</v>
      </c>
      <c r="AF86" s="145">
        <f>SUMIFS(Table2[NewPointsAway],Table2[GameDate], "&lt;=" &amp; $A86, Table2[AwayTeam], AF$1)+SUMIFS(Table2[NewPointsHome],Table2[GameDate], "&lt;=" &amp; $A86, Table2[HomeTeam], AF$1)</f>
        <v>14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11</v>
      </c>
      <c r="C87" s="145">
        <f>SUMIFS(Table2[NewPointsAway],Table2[GameDate], "&lt;=" &amp; $A87, Table2[AwayTeam], C$1)+SUMIFS(Table2[NewPointsHome],Table2[GameDate], "&lt;=" &amp; $A87, Table2[HomeTeam], C$1)</f>
        <v>10</v>
      </c>
      <c r="D87" s="145">
        <f>SUMIFS(Table2[NewPointsAway],Table2[GameDate], "&lt;=" &amp; $A87, Table2[AwayTeam], D$1)+SUMIFS(Table2[NewPointsHome],Table2[GameDate], "&lt;=" &amp; $A87, Table2[HomeTeam], D$1)</f>
        <v>10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12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12</v>
      </c>
      <c r="I87" s="145">
        <f>SUMIFS(Table2[NewPointsAway],Table2[GameDate], "&lt;=" &amp; $A87, Table2[AwayTeam], I$1)+SUMIFS(Table2[NewPointsHome],Table2[GameDate], "&lt;=" &amp; $A87, Table2[HomeTeam], I$1)</f>
        <v>16</v>
      </c>
      <c r="J87" s="145">
        <f>SUMIFS(Table2[NewPointsAway],Table2[GameDate], "&lt;=" &amp; $A87, Table2[AwayTeam], J$1)+SUMIFS(Table2[NewPointsHome],Table2[GameDate], "&lt;=" &amp; $A87, Table2[HomeTeam], J$1)</f>
        <v>13</v>
      </c>
      <c r="K87" s="145">
        <f>SUMIFS(Table2[NewPointsAway],Table2[GameDate], "&lt;=" &amp; $A87, Table2[AwayTeam], K$1)+SUMIFS(Table2[NewPointsHome],Table2[GameDate], "&lt;=" &amp; $A87, Table2[HomeTeam], K$1)</f>
        <v>14</v>
      </c>
      <c r="L87" s="145">
        <f>SUMIFS(Table2[NewPointsAway],Table2[GameDate], "&lt;=" &amp; $A87, Table2[AwayTeam], L$1)+SUMIFS(Table2[NewPointsHome],Table2[GameDate], "&lt;=" &amp; $A87, Table2[HomeTeam], L$1)</f>
        <v>12</v>
      </c>
      <c r="M87" s="145">
        <f>SUMIFS(Table2[NewPointsAway],Table2[GameDate], "&lt;=" &amp; $A87, Table2[AwayTeam], M$1)+SUMIFS(Table2[NewPointsHome],Table2[GameDate], "&lt;=" &amp; $A87, Table2[HomeTeam], M$1)</f>
        <v>11</v>
      </c>
      <c r="N87" s="145">
        <f>SUMIFS(Table2[NewPointsAway],Table2[GameDate], "&lt;=" &amp; $A87, Table2[AwayTeam], N$1)+SUMIFS(Table2[NewPointsHome],Table2[GameDate], "&lt;=" &amp; $A87, Table2[HomeTeam], N$1)</f>
        <v>13</v>
      </c>
      <c r="O87" s="145">
        <f>SUMIFS(Table2[NewPointsAway],Table2[GameDate], "&lt;=" &amp; $A87, Table2[AwayTeam], O$1)+SUMIFS(Table2[NewPointsHome],Table2[GameDate], "&lt;=" &amp; $A87, Table2[HomeTeam], O$1)</f>
        <v>9</v>
      </c>
      <c r="P87" s="145">
        <f>SUMIFS(Table2[NewPointsAway],Table2[GameDate], "&lt;=" &amp; $A87, Table2[AwayTeam], P$1)+SUMIFS(Table2[NewPointsHome],Table2[GameDate], "&lt;=" &amp; $A87, Table2[HomeTeam], P$1)</f>
        <v>16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10</v>
      </c>
      <c r="U87" s="145">
        <f>SUMIFS(Table2[NewPointsAway],Table2[GameDate], "&lt;=" &amp; $A87, Table2[AwayTeam], U$1)+SUMIFS(Table2[NewPointsHome],Table2[GameDate], "&lt;=" &amp; $A87, Table2[HomeTeam], U$1)</f>
        <v>11</v>
      </c>
      <c r="V87" s="145">
        <f>SUMIFS(Table2[NewPointsAway],Table2[GameDate], "&lt;=" &amp; $A87, Table2[AwayTeam], V$1)+SUMIFS(Table2[NewPointsHome],Table2[GameDate], "&lt;=" &amp; $A87, Table2[HomeTeam], V$1)</f>
        <v>11</v>
      </c>
      <c r="W87" s="145">
        <f>SUMIFS(Table2[NewPointsAway],Table2[GameDate], "&lt;=" &amp; $A87, Table2[AwayTeam], W$1)+SUMIFS(Table2[NewPointsHome],Table2[GameDate], "&lt;=" &amp; $A87, Table2[HomeTeam], W$1)</f>
        <v>16</v>
      </c>
      <c r="X87" s="145">
        <f>SUMIFS(Table2[NewPointsAway],Table2[GameDate], "&lt;=" &amp; $A87, Table2[AwayTeam], X$1)+SUMIFS(Table2[NewPointsHome],Table2[GameDate], "&lt;=" &amp; $A87, Table2[HomeTeam], X$1)</f>
        <v>13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10</v>
      </c>
      <c r="AB87" s="145">
        <f>SUMIFS(Table2[NewPointsAway],Table2[GameDate], "&lt;=" &amp; $A87, Table2[AwayTeam], AB$1)+SUMIFS(Table2[NewPointsHome],Table2[GameDate], "&lt;=" &amp; $A87, Table2[HomeTeam], AB$1)</f>
        <v>11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15</v>
      </c>
      <c r="AF87" s="145">
        <f>SUMIFS(Table2[NewPointsAway],Table2[GameDate], "&lt;=" &amp; $A87, Table2[AwayTeam], AF$1)+SUMIFS(Table2[NewPointsHome],Table2[GameDate], "&lt;=" &amp; $A87, Table2[HomeTeam], AF$1)</f>
        <v>14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11</v>
      </c>
      <c r="C88" s="145">
        <f>SUMIFS(Table2[NewPointsAway],Table2[GameDate], "&lt;=" &amp; $A88, Table2[AwayTeam], C$1)+SUMIFS(Table2[NewPointsHome],Table2[GameDate], "&lt;=" &amp; $A88, Table2[HomeTeam], C$1)</f>
        <v>10</v>
      </c>
      <c r="D88" s="145">
        <f>SUMIFS(Table2[NewPointsAway],Table2[GameDate], "&lt;=" &amp; $A88, Table2[AwayTeam], D$1)+SUMIFS(Table2[NewPointsHome],Table2[GameDate], "&lt;=" &amp; $A88, Table2[HomeTeam], D$1)</f>
        <v>10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12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12</v>
      </c>
      <c r="I88" s="145">
        <f>SUMIFS(Table2[NewPointsAway],Table2[GameDate], "&lt;=" &amp; $A88, Table2[AwayTeam], I$1)+SUMIFS(Table2[NewPointsHome],Table2[GameDate], "&lt;=" &amp; $A88, Table2[HomeTeam], I$1)</f>
        <v>16</v>
      </c>
      <c r="J88" s="145">
        <f>SUMIFS(Table2[NewPointsAway],Table2[GameDate], "&lt;=" &amp; $A88, Table2[AwayTeam], J$1)+SUMIFS(Table2[NewPointsHome],Table2[GameDate], "&lt;=" &amp; $A88, Table2[HomeTeam], J$1)</f>
        <v>13</v>
      </c>
      <c r="K88" s="145">
        <f>SUMIFS(Table2[NewPointsAway],Table2[GameDate], "&lt;=" &amp; $A88, Table2[AwayTeam], K$1)+SUMIFS(Table2[NewPointsHome],Table2[GameDate], "&lt;=" &amp; $A88, Table2[HomeTeam], K$1)</f>
        <v>14</v>
      </c>
      <c r="L88" s="145">
        <f>SUMIFS(Table2[NewPointsAway],Table2[GameDate], "&lt;=" &amp; $A88, Table2[AwayTeam], L$1)+SUMIFS(Table2[NewPointsHome],Table2[GameDate], "&lt;=" &amp; $A88, Table2[HomeTeam], L$1)</f>
        <v>12</v>
      </c>
      <c r="M88" s="145">
        <f>SUMIFS(Table2[NewPointsAway],Table2[GameDate], "&lt;=" &amp; $A88, Table2[AwayTeam], M$1)+SUMIFS(Table2[NewPointsHome],Table2[GameDate], "&lt;=" &amp; $A88, Table2[HomeTeam], M$1)</f>
        <v>11</v>
      </c>
      <c r="N88" s="145">
        <f>SUMIFS(Table2[NewPointsAway],Table2[GameDate], "&lt;=" &amp; $A88, Table2[AwayTeam], N$1)+SUMIFS(Table2[NewPointsHome],Table2[GameDate], "&lt;=" &amp; $A88, Table2[HomeTeam], N$1)</f>
        <v>13</v>
      </c>
      <c r="O88" s="145">
        <f>SUMIFS(Table2[NewPointsAway],Table2[GameDate], "&lt;=" &amp; $A88, Table2[AwayTeam], O$1)+SUMIFS(Table2[NewPointsHome],Table2[GameDate], "&lt;=" &amp; $A88, Table2[HomeTeam], O$1)</f>
        <v>9</v>
      </c>
      <c r="P88" s="145">
        <f>SUMIFS(Table2[NewPointsAway],Table2[GameDate], "&lt;=" &amp; $A88, Table2[AwayTeam], P$1)+SUMIFS(Table2[NewPointsHome],Table2[GameDate], "&lt;=" &amp; $A88, Table2[HomeTeam], P$1)</f>
        <v>16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10</v>
      </c>
      <c r="U88" s="145">
        <f>SUMIFS(Table2[NewPointsAway],Table2[GameDate], "&lt;=" &amp; $A88, Table2[AwayTeam], U$1)+SUMIFS(Table2[NewPointsHome],Table2[GameDate], "&lt;=" &amp; $A88, Table2[HomeTeam], U$1)</f>
        <v>11</v>
      </c>
      <c r="V88" s="145">
        <f>SUMIFS(Table2[NewPointsAway],Table2[GameDate], "&lt;=" &amp; $A88, Table2[AwayTeam], V$1)+SUMIFS(Table2[NewPointsHome],Table2[GameDate], "&lt;=" &amp; $A88, Table2[HomeTeam], V$1)</f>
        <v>11</v>
      </c>
      <c r="W88" s="145">
        <f>SUMIFS(Table2[NewPointsAway],Table2[GameDate], "&lt;=" &amp; $A88, Table2[AwayTeam], W$1)+SUMIFS(Table2[NewPointsHome],Table2[GameDate], "&lt;=" &amp; $A88, Table2[HomeTeam], W$1)</f>
        <v>16</v>
      </c>
      <c r="X88" s="145">
        <f>SUMIFS(Table2[NewPointsAway],Table2[GameDate], "&lt;=" &amp; $A88, Table2[AwayTeam], X$1)+SUMIFS(Table2[NewPointsHome],Table2[GameDate], "&lt;=" &amp; $A88, Table2[HomeTeam], X$1)</f>
        <v>13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10</v>
      </c>
      <c r="AB88" s="145">
        <f>SUMIFS(Table2[NewPointsAway],Table2[GameDate], "&lt;=" &amp; $A88, Table2[AwayTeam], AB$1)+SUMIFS(Table2[NewPointsHome],Table2[GameDate], "&lt;=" &amp; $A88, Table2[HomeTeam], AB$1)</f>
        <v>11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15</v>
      </c>
      <c r="AF88" s="145">
        <f>SUMIFS(Table2[NewPointsAway],Table2[GameDate], "&lt;=" &amp; $A88, Table2[AwayTeam], AF$1)+SUMIFS(Table2[NewPointsHome],Table2[GameDate], "&lt;=" &amp; $A88, Table2[HomeTeam], AF$1)</f>
        <v>14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11</v>
      </c>
      <c r="C89" s="145">
        <f>SUMIFS(Table2[NewPointsAway],Table2[GameDate], "&lt;=" &amp; $A89, Table2[AwayTeam], C$1)+SUMIFS(Table2[NewPointsHome],Table2[GameDate], "&lt;=" &amp; $A89, Table2[HomeTeam], C$1)</f>
        <v>10</v>
      </c>
      <c r="D89" s="145">
        <f>SUMIFS(Table2[NewPointsAway],Table2[GameDate], "&lt;=" &amp; $A89, Table2[AwayTeam], D$1)+SUMIFS(Table2[NewPointsHome],Table2[GameDate], "&lt;=" &amp; $A89, Table2[HomeTeam], D$1)</f>
        <v>10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12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12</v>
      </c>
      <c r="I89" s="145">
        <f>SUMIFS(Table2[NewPointsAway],Table2[GameDate], "&lt;=" &amp; $A89, Table2[AwayTeam], I$1)+SUMIFS(Table2[NewPointsHome],Table2[GameDate], "&lt;=" &amp; $A89, Table2[HomeTeam], I$1)</f>
        <v>16</v>
      </c>
      <c r="J89" s="145">
        <f>SUMIFS(Table2[NewPointsAway],Table2[GameDate], "&lt;=" &amp; $A89, Table2[AwayTeam], J$1)+SUMIFS(Table2[NewPointsHome],Table2[GameDate], "&lt;=" &amp; $A89, Table2[HomeTeam], J$1)</f>
        <v>13</v>
      </c>
      <c r="K89" s="145">
        <f>SUMIFS(Table2[NewPointsAway],Table2[GameDate], "&lt;=" &amp; $A89, Table2[AwayTeam], K$1)+SUMIFS(Table2[NewPointsHome],Table2[GameDate], "&lt;=" &amp; $A89, Table2[HomeTeam], K$1)</f>
        <v>14</v>
      </c>
      <c r="L89" s="145">
        <f>SUMIFS(Table2[NewPointsAway],Table2[GameDate], "&lt;=" &amp; $A89, Table2[AwayTeam], L$1)+SUMIFS(Table2[NewPointsHome],Table2[GameDate], "&lt;=" &amp; $A89, Table2[HomeTeam], L$1)</f>
        <v>12</v>
      </c>
      <c r="M89" s="145">
        <f>SUMIFS(Table2[NewPointsAway],Table2[GameDate], "&lt;=" &amp; $A89, Table2[AwayTeam], M$1)+SUMIFS(Table2[NewPointsHome],Table2[GameDate], "&lt;=" &amp; $A89, Table2[HomeTeam], M$1)</f>
        <v>11</v>
      </c>
      <c r="N89" s="145">
        <f>SUMIFS(Table2[NewPointsAway],Table2[GameDate], "&lt;=" &amp; $A89, Table2[AwayTeam], N$1)+SUMIFS(Table2[NewPointsHome],Table2[GameDate], "&lt;=" &amp; $A89, Table2[HomeTeam], N$1)</f>
        <v>13</v>
      </c>
      <c r="O89" s="145">
        <f>SUMIFS(Table2[NewPointsAway],Table2[GameDate], "&lt;=" &amp; $A89, Table2[AwayTeam], O$1)+SUMIFS(Table2[NewPointsHome],Table2[GameDate], "&lt;=" &amp; $A89, Table2[HomeTeam], O$1)</f>
        <v>9</v>
      </c>
      <c r="P89" s="145">
        <f>SUMIFS(Table2[NewPointsAway],Table2[GameDate], "&lt;=" &amp; $A89, Table2[AwayTeam], P$1)+SUMIFS(Table2[NewPointsHome],Table2[GameDate], "&lt;=" &amp; $A89, Table2[HomeTeam], P$1)</f>
        <v>16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10</v>
      </c>
      <c r="U89" s="145">
        <f>SUMIFS(Table2[NewPointsAway],Table2[GameDate], "&lt;=" &amp; $A89, Table2[AwayTeam], U$1)+SUMIFS(Table2[NewPointsHome],Table2[GameDate], "&lt;=" &amp; $A89, Table2[HomeTeam], U$1)</f>
        <v>11</v>
      </c>
      <c r="V89" s="145">
        <f>SUMIFS(Table2[NewPointsAway],Table2[GameDate], "&lt;=" &amp; $A89, Table2[AwayTeam], V$1)+SUMIFS(Table2[NewPointsHome],Table2[GameDate], "&lt;=" &amp; $A89, Table2[HomeTeam], V$1)</f>
        <v>11</v>
      </c>
      <c r="W89" s="145">
        <f>SUMIFS(Table2[NewPointsAway],Table2[GameDate], "&lt;=" &amp; $A89, Table2[AwayTeam], W$1)+SUMIFS(Table2[NewPointsHome],Table2[GameDate], "&lt;=" &amp; $A89, Table2[HomeTeam], W$1)</f>
        <v>16</v>
      </c>
      <c r="X89" s="145">
        <f>SUMIFS(Table2[NewPointsAway],Table2[GameDate], "&lt;=" &amp; $A89, Table2[AwayTeam], X$1)+SUMIFS(Table2[NewPointsHome],Table2[GameDate], "&lt;=" &amp; $A89, Table2[HomeTeam], X$1)</f>
        <v>13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10</v>
      </c>
      <c r="AB89" s="145">
        <f>SUMIFS(Table2[NewPointsAway],Table2[GameDate], "&lt;=" &amp; $A89, Table2[AwayTeam], AB$1)+SUMIFS(Table2[NewPointsHome],Table2[GameDate], "&lt;=" &amp; $A89, Table2[HomeTeam], AB$1)</f>
        <v>11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15</v>
      </c>
      <c r="AF89" s="145">
        <f>SUMIFS(Table2[NewPointsAway],Table2[GameDate], "&lt;=" &amp; $A89, Table2[AwayTeam], AF$1)+SUMIFS(Table2[NewPointsHome],Table2[GameDate], "&lt;=" &amp; $A89, Table2[HomeTeam], AF$1)</f>
        <v>14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11</v>
      </c>
      <c r="C90" s="145">
        <f>SUMIFS(Table2[NewPointsAway],Table2[GameDate], "&lt;=" &amp; $A90, Table2[AwayTeam], C$1)+SUMIFS(Table2[NewPointsHome],Table2[GameDate], "&lt;=" &amp; $A90, Table2[HomeTeam], C$1)</f>
        <v>10</v>
      </c>
      <c r="D90" s="145">
        <f>SUMIFS(Table2[NewPointsAway],Table2[GameDate], "&lt;=" &amp; $A90, Table2[AwayTeam], D$1)+SUMIFS(Table2[NewPointsHome],Table2[GameDate], "&lt;=" &amp; $A90, Table2[HomeTeam], D$1)</f>
        <v>10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12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12</v>
      </c>
      <c r="I90" s="145">
        <f>SUMIFS(Table2[NewPointsAway],Table2[GameDate], "&lt;=" &amp; $A90, Table2[AwayTeam], I$1)+SUMIFS(Table2[NewPointsHome],Table2[GameDate], "&lt;=" &amp; $A90, Table2[HomeTeam], I$1)</f>
        <v>16</v>
      </c>
      <c r="J90" s="145">
        <f>SUMIFS(Table2[NewPointsAway],Table2[GameDate], "&lt;=" &amp; $A90, Table2[AwayTeam], J$1)+SUMIFS(Table2[NewPointsHome],Table2[GameDate], "&lt;=" &amp; $A90, Table2[HomeTeam], J$1)</f>
        <v>13</v>
      </c>
      <c r="K90" s="145">
        <f>SUMIFS(Table2[NewPointsAway],Table2[GameDate], "&lt;=" &amp; $A90, Table2[AwayTeam], K$1)+SUMIFS(Table2[NewPointsHome],Table2[GameDate], "&lt;=" &amp; $A90, Table2[HomeTeam], K$1)</f>
        <v>14</v>
      </c>
      <c r="L90" s="145">
        <f>SUMIFS(Table2[NewPointsAway],Table2[GameDate], "&lt;=" &amp; $A90, Table2[AwayTeam], L$1)+SUMIFS(Table2[NewPointsHome],Table2[GameDate], "&lt;=" &amp; $A90, Table2[HomeTeam], L$1)</f>
        <v>12</v>
      </c>
      <c r="M90" s="145">
        <f>SUMIFS(Table2[NewPointsAway],Table2[GameDate], "&lt;=" &amp; $A90, Table2[AwayTeam], M$1)+SUMIFS(Table2[NewPointsHome],Table2[GameDate], "&lt;=" &amp; $A90, Table2[HomeTeam], M$1)</f>
        <v>11</v>
      </c>
      <c r="N90" s="145">
        <f>SUMIFS(Table2[NewPointsAway],Table2[GameDate], "&lt;=" &amp; $A90, Table2[AwayTeam], N$1)+SUMIFS(Table2[NewPointsHome],Table2[GameDate], "&lt;=" &amp; $A90, Table2[HomeTeam], N$1)</f>
        <v>13</v>
      </c>
      <c r="O90" s="145">
        <f>SUMIFS(Table2[NewPointsAway],Table2[GameDate], "&lt;=" &amp; $A90, Table2[AwayTeam], O$1)+SUMIFS(Table2[NewPointsHome],Table2[GameDate], "&lt;=" &amp; $A90, Table2[HomeTeam], O$1)</f>
        <v>9</v>
      </c>
      <c r="P90" s="145">
        <f>SUMIFS(Table2[NewPointsAway],Table2[GameDate], "&lt;=" &amp; $A90, Table2[AwayTeam], P$1)+SUMIFS(Table2[NewPointsHome],Table2[GameDate], "&lt;=" &amp; $A90, Table2[HomeTeam], P$1)</f>
        <v>16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10</v>
      </c>
      <c r="U90" s="145">
        <f>SUMIFS(Table2[NewPointsAway],Table2[GameDate], "&lt;=" &amp; $A90, Table2[AwayTeam], U$1)+SUMIFS(Table2[NewPointsHome],Table2[GameDate], "&lt;=" &amp; $A90, Table2[HomeTeam], U$1)</f>
        <v>11</v>
      </c>
      <c r="V90" s="145">
        <f>SUMIFS(Table2[NewPointsAway],Table2[GameDate], "&lt;=" &amp; $A90, Table2[AwayTeam], V$1)+SUMIFS(Table2[NewPointsHome],Table2[GameDate], "&lt;=" &amp; $A90, Table2[HomeTeam], V$1)</f>
        <v>11</v>
      </c>
      <c r="W90" s="145">
        <f>SUMIFS(Table2[NewPointsAway],Table2[GameDate], "&lt;=" &amp; $A90, Table2[AwayTeam], W$1)+SUMIFS(Table2[NewPointsHome],Table2[GameDate], "&lt;=" &amp; $A90, Table2[HomeTeam], W$1)</f>
        <v>16</v>
      </c>
      <c r="X90" s="145">
        <f>SUMIFS(Table2[NewPointsAway],Table2[GameDate], "&lt;=" &amp; $A90, Table2[AwayTeam], X$1)+SUMIFS(Table2[NewPointsHome],Table2[GameDate], "&lt;=" &amp; $A90, Table2[HomeTeam], X$1)</f>
        <v>13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10</v>
      </c>
      <c r="AB90" s="145">
        <f>SUMIFS(Table2[NewPointsAway],Table2[GameDate], "&lt;=" &amp; $A90, Table2[AwayTeam], AB$1)+SUMIFS(Table2[NewPointsHome],Table2[GameDate], "&lt;=" &amp; $A90, Table2[HomeTeam], AB$1)</f>
        <v>11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15</v>
      </c>
      <c r="AF90" s="145">
        <f>SUMIFS(Table2[NewPointsAway],Table2[GameDate], "&lt;=" &amp; $A90, Table2[AwayTeam], AF$1)+SUMIFS(Table2[NewPointsHome],Table2[GameDate], "&lt;=" &amp; $A90, Table2[HomeTeam], AF$1)</f>
        <v>14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11</v>
      </c>
      <c r="C91" s="145">
        <f>SUMIFS(Table2[NewPointsAway],Table2[GameDate], "&lt;=" &amp; $A91, Table2[AwayTeam], C$1)+SUMIFS(Table2[NewPointsHome],Table2[GameDate], "&lt;=" &amp; $A91, Table2[HomeTeam], C$1)</f>
        <v>10</v>
      </c>
      <c r="D91" s="145">
        <f>SUMIFS(Table2[NewPointsAway],Table2[GameDate], "&lt;=" &amp; $A91, Table2[AwayTeam], D$1)+SUMIFS(Table2[NewPointsHome],Table2[GameDate], "&lt;=" &amp; $A91, Table2[HomeTeam], D$1)</f>
        <v>10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12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12</v>
      </c>
      <c r="I91" s="145">
        <f>SUMIFS(Table2[NewPointsAway],Table2[GameDate], "&lt;=" &amp; $A91, Table2[AwayTeam], I$1)+SUMIFS(Table2[NewPointsHome],Table2[GameDate], "&lt;=" &amp; $A91, Table2[HomeTeam], I$1)</f>
        <v>16</v>
      </c>
      <c r="J91" s="145">
        <f>SUMIFS(Table2[NewPointsAway],Table2[GameDate], "&lt;=" &amp; $A91, Table2[AwayTeam], J$1)+SUMIFS(Table2[NewPointsHome],Table2[GameDate], "&lt;=" &amp; $A91, Table2[HomeTeam], J$1)</f>
        <v>13</v>
      </c>
      <c r="K91" s="145">
        <f>SUMIFS(Table2[NewPointsAway],Table2[GameDate], "&lt;=" &amp; $A91, Table2[AwayTeam], K$1)+SUMIFS(Table2[NewPointsHome],Table2[GameDate], "&lt;=" &amp; $A91, Table2[HomeTeam], K$1)</f>
        <v>14</v>
      </c>
      <c r="L91" s="145">
        <f>SUMIFS(Table2[NewPointsAway],Table2[GameDate], "&lt;=" &amp; $A91, Table2[AwayTeam], L$1)+SUMIFS(Table2[NewPointsHome],Table2[GameDate], "&lt;=" &amp; $A91, Table2[HomeTeam], L$1)</f>
        <v>12</v>
      </c>
      <c r="M91" s="145">
        <f>SUMIFS(Table2[NewPointsAway],Table2[GameDate], "&lt;=" &amp; $A91, Table2[AwayTeam], M$1)+SUMIFS(Table2[NewPointsHome],Table2[GameDate], "&lt;=" &amp; $A91, Table2[HomeTeam], M$1)</f>
        <v>11</v>
      </c>
      <c r="N91" s="145">
        <f>SUMIFS(Table2[NewPointsAway],Table2[GameDate], "&lt;=" &amp; $A91, Table2[AwayTeam], N$1)+SUMIFS(Table2[NewPointsHome],Table2[GameDate], "&lt;=" &amp; $A91, Table2[HomeTeam], N$1)</f>
        <v>13</v>
      </c>
      <c r="O91" s="145">
        <f>SUMIFS(Table2[NewPointsAway],Table2[GameDate], "&lt;=" &amp; $A91, Table2[AwayTeam], O$1)+SUMIFS(Table2[NewPointsHome],Table2[GameDate], "&lt;=" &amp; $A91, Table2[HomeTeam], O$1)</f>
        <v>9</v>
      </c>
      <c r="P91" s="145">
        <f>SUMIFS(Table2[NewPointsAway],Table2[GameDate], "&lt;=" &amp; $A91, Table2[AwayTeam], P$1)+SUMIFS(Table2[NewPointsHome],Table2[GameDate], "&lt;=" &amp; $A91, Table2[HomeTeam], P$1)</f>
        <v>16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10</v>
      </c>
      <c r="U91" s="145">
        <f>SUMIFS(Table2[NewPointsAway],Table2[GameDate], "&lt;=" &amp; $A91, Table2[AwayTeam], U$1)+SUMIFS(Table2[NewPointsHome],Table2[GameDate], "&lt;=" &amp; $A91, Table2[HomeTeam], U$1)</f>
        <v>11</v>
      </c>
      <c r="V91" s="145">
        <f>SUMIFS(Table2[NewPointsAway],Table2[GameDate], "&lt;=" &amp; $A91, Table2[AwayTeam], V$1)+SUMIFS(Table2[NewPointsHome],Table2[GameDate], "&lt;=" &amp; $A91, Table2[HomeTeam], V$1)</f>
        <v>11</v>
      </c>
      <c r="W91" s="145">
        <f>SUMIFS(Table2[NewPointsAway],Table2[GameDate], "&lt;=" &amp; $A91, Table2[AwayTeam], W$1)+SUMIFS(Table2[NewPointsHome],Table2[GameDate], "&lt;=" &amp; $A91, Table2[HomeTeam], W$1)</f>
        <v>16</v>
      </c>
      <c r="X91" s="145">
        <f>SUMIFS(Table2[NewPointsAway],Table2[GameDate], "&lt;=" &amp; $A91, Table2[AwayTeam], X$1)+SUMIFS(Table2[NewPointsHome],Table2[GameDate], "&lt;=" &amp; $A91, Table2[HomeTeam], X$1)</f>
        <v>13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10</v>
      </c>
      <c r="AB91" s="145">
        <f>SUMIFS(Table2[NewPointsAway],Table2[GameDate], "&lt;=" &amp; $A91, Table2[AwayTeam], AB$1)+SUMIFS(Table2[NewPointsHome],Table2[GameDate], "&lt;=" &amp; $A91, Table2[HomeTeam], AB$1)</f>
        <v>11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15</v>
      </c>
      <c r="AF91" s="145">
        <f>SUMIFS(Table2[NewPointsAway],Table2[GameDate], "&lt;=" &amp; $A91, Table2[AwayTeam], AF$1)+SUMIFS(Table2[NewPointsHome],Table2[GameDate], "&lt;=" &amp; $A91, Table2[HomeTeam], AF$1)</f>
        <v>14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11</v>
      </c>
      <c r="C92" s="145">
        <f>SUMIFS(Table2[NewPointsAway],Table2[GameDate], "&lt;=" &amp; $A92, Table2[AwayTeam], C$1)+SUMIFS(Table2[NewPointsHome],Table2[GameDate], "&lt;=" &amp; $A92, Table2[HomeTeam], C$1)</f>
        <v>10</v>
      </c>
      <c r="D92" s="145">
        <f>SUMIFS(Table2[NewPointsAway],Table2[GameDate], "&lt;=" &amp; $A92, Table2[AwayTeam], D$1)+SUMIFS(Table2[NewPointsHome],Table2[GameDate], "&lt;=" &amp; $A92, Table2[HomeTeam], D$1)</f>
        <v>10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12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12</v>
      </c>
      <c r="I92" s="145">
        <f>SUMIFS(Table2[NewPointsAway],Table2[GameDate], "&lt;=" &amp; $A92, Table2[AwayTeam], I$1)+SUMIFS(Table2[NewPointsHome],Table2[GameDate], "&lt;=" &amp; $A92, Table2[HomeTeam], I$1)</f>
        <v>16</v>
      </c>
      <c r="J92" s="145">
        <f>SUMIFS(Table2[NewPointsAway],Table2[GameDate], "&lt;=" &amp; $A92, Table2[AwayTeam], J$1)+SUMIFS(Table2[NewPointsHome],Table2[GameDate], "&lt;=" &amp; $A92, Table2[HomeTeam], J$1)</f>
        <v>13</v>
      </c>
      <c r="K92" s="145">
        <f>SUMIFS(Table2[NewPointsAway],Table2[GameDate], "&lt;=" &amp; $A92, Table2[AwayTeam], K$1)+SUMIFS(Table2[NewPointsHome],Table2[GameDate], "&lt;=" &amp; $A92, Table2[HomeTeam], K$1)</f>
        <v>14</v>
      </c>
      <c r="L92" s="145">
        <f>SUMIFS(Table2[NewPointsAway],Table2[GameDate], "&lt;=" &amp; $A92, Table2[AwayTeam], L$1)+SUMIFS(Table2[NewPointsHome],Table2[GameDate], "&lt;=" &amp; $A92, Table2[HomeTeam], L$1)</f>
        <v>12</v>
      </c>
      <c r="M92" s="145">
        <f>SUMIFS(Table2[NewPointsAway],Table2[GameDate], "&lt;=" &amp; $A92, Table2[AwayTeam], M$1)+SUMIFS(Table2[NewPointsHome],Table2[GameDate], "&lt;=" &amp; $A92, Table2[HomeTeam], M$1)</f>
        <v>11</v>
      </c>
      <c r="N92" s="145">
        <f>SUMIFS(Table2[NewPointsAway],Table2[GameDate], "&lt;=" &amp; $A92, Table2[AwayTeam], N$1)+SUMIFS(Table2[NewPointsHome],Table2[GameDate], "&lt;=" &amp; $A92, Table2[HomeTeam], N$1)</f>
        <v>13</v>
      </c>
      <c r="O92" s="145">
        <f>SUMIFS(Table2[NewPointsAway],Table2[GameDate], "&lt;=" &amp; $A92, Table2[AwayTeam], O$1)+SUMIFS(Table2[NewPointsHome],Table2[GameDate], "&lt;=" &amp; $A92, Table2[HomeTeam], O$1)</f>
        <v>9</v>
      </c>
      <c r="P92" s="145">
        <f>SUMIFS(Table2[NewPointsAway],Table2[GameDate], "&lt;=" &amp; $A92, Table2[AwayTeam], P$1)+SUMIFS(Table2[NewPointsHome],Table2[GameDate], "&lt;=" &amp; $A92, Table2[HomeTeam], P$1)</f>
        <v>16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10</v>
      </c>
      <c r="U92" s="145">
        <f>SUMIFS(Table2[NewPointsAway],Table2[GameDate], "&lt;=" &amp; $A92, Table2[AwayTeam], U$1)+SUMIFS(Table2[NewPointsHome],Table2[GameDate], "&lt;=" &amp; $A92, Table2[HomeTeam], U$1)</f>
        <v>11</v>
      </c>
      <c r="V92" s="145">
        <f>SUMIFS(Table2[NewPointsAway],Table2[GameDate], "&lt;=" &amp; $A92, Table2[AwayTeam], V$1)+SUMIFS(Table2[NewPointsHome],Table2[GameDate], "&lt;=" &amp; $A92, Table2[HomeTeam], V$1)</f>
        <v>11</v>
      </c>
      <c r="W92" s="145">
        <f>SUMIFS(Table2[NewPointsAway],Table2[GameDate], "&lt;=" &amp; $A92, Table2[AwayTeam], W$1)+SUMIFS(Table2[NewPointsHome],Table2[GameDate], "&lt;=" &amp; $A92, Table2[HomeTeam], W$1)</f>
        <v>16</v>
      </c>
      <c r="X92" s="145">
        <f>SUMIFS(Table2[NewPointsAway],Table2[GameDate], "&lt;=" &amp; $A92, Table2[AwayTeam], X$1)+SUMIFS(Table2[NewPointsHome],Table2[GameDate], "&lt;=" &amp; $A92, Table2[HomeTeam], X$1)</f>
        <v>13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10</v>
      </c>
      <c r="AB92" s="145">
        <f>SUMIFS(Table2[NewPointsAway],Table2[GameDate], "&lt;=" &amp; $A92, Table2[AwayTeam], AB$1)+SUMIFS(Table2[NewPointsHome],Table2[GameDate], "&lt;=" &amp; $A92, Table2[HomeTeam], AB$1)</f>
        <v>11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15</v>
      </c>
      <c r="AF92" s="145">
        <f>SUMIFS(Table2[NewPointsAway],Table2[GameDate], "&lt;=" &amp; $A92, Table2[AwayTeam], AF$1)+SUMIFS(Table2[NewPointsHome],Table2[GameDate], "&lt;=" &amp; $A92, Table2[HomeTeam], AF$1)</f>
        <v>14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11</v>
      </c>
      <c r="C93" s="145">
        <f>SUMIFS(Table2[NewPointsAway],Table2[GameDate], "&lt;=" &amp; $A93, Table2[AwayTeam], C$1)+SUMIFS(Table2[NewPointsHome],Table2[GameDate], "&lt;=" &amp; $A93, Table2[HomeTeam], C$1)</f>
        <v>10</v>
      </c>
      <c r="D93" s="145">
        <f>SUMIFS(Table2[NewPointsAway],Table2[GameDate], "&lt;=" &amp; $A93, Table2[AwayTeam], D$1)+SUMIFS(Table2[NewPointsHome],Table2[GameDate], "&lt;=" &amp; $A93, Table2[HomeTeam], D$1)</f>
        <v>10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12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12</v>
      </c>
      <c r="I93" s="145">
        <f>SUMIFS(Table2[NewPointsAway],Table2[GameDate], "&lt;=" &amp; $A93, Table2[AwayTeam], I$1)+SUMIFS(Table2[NewPointsHome],Table2[GameDate], "&lt;=" &amp; $A93, Table2[HomeTeam], I$1)</f>
        <v>16</v>
      </c>
      <c r="J93" s="145">
        <f>SUMIFS(Table2[NewPointsAway],Table2[GameDate], "&lt;=" &amp; $A93, Table2[AwayTeam], J$1)+SUMIFS(Table2[NewPointsHome],Table2[GameDate], "&lt;=" &amp; $A93, Table2[HomeTeam], J$1)</f>
        <v>13</v>
      </c>
      <c r="K93" s="145">
        <f>SUMIFS(Table2[NewPointsAway],Table2[GameDate], "&lt;=" &amp; $A93, Table2[AwayTeam], K$1)+SUMIFS(Table2[NewPointsHome],Table2[GameDate], "&lt;=" &amp; $A93, Table2[HomeTeam], K$1)</f>
        <v>14</v>
      </c>
      <c r="L93" s="145">
        <f>SUMIFS(Table2[NewPointsAway],Table2[GameDate], "&lt;=" &amp; $A93, Table2[AwayTeam], L$1)+SUMIFS(Table2[NewPointsHome],Table2[GameDate], "&lt;=" &amp; $A93, Table2[HomeTeam], L$1)</f>
        <v>12</v>
      </c>
      <c r="M93" s="145">
        <f>SUMIFS(Table2[NewPointsAway],Table2[GameDate], "&lt;=" &amp; $A93, Table2[AwayTeam], M$1)+SUMIFS(Table2[NewPointsHome],Table2[GameDate], "&lt;=" &amp; $A93, Table2[HomeTeam], M$1)</f>
        <v>11</v>
      </c>
      <c r="N93" s="145">
        <f>SUMIFS(Table2[NewPointsAway],Table2[GameDate], "&lt;=" &amp; $A93, Table2[AwayTeam], N$1)+SUMIFS(Table2[NewPointsHome],Table2[GameDate], "&lt;=" &amp; $A93, Table2[HomeTeam], N$1)</f>
        <v>13</v>
      </c>
      <c r="O93" s="145">
        <f>SUMIFS(Table2[NewPointsAway],Table2[GameDate], "&lt;=" &amp; $A93, Table2[AwayTeam], O$1)+SUMIFS(Table2[NewPointsHome],Table2[GameDate], "&lt;=" &amp; $A93, Table2[HomeTeam], O$1)</f>
        <v>9</v>
      </c>
      <c r="P93" s="145">
        <f>SUMIFS(Table2[NewPointsAway],Table2[GameDate], "&lt;=" &amp; $A93, Table2[AwayTeam], P$1)+SUMIFS(Table2[NewPointsHome],Table2[GameDate], "&lt;=" &amp; $A93, Table2[HomeTeam], P$1)</f>
        <v>16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10</v>
      </c>
      <c r="U93" s="145">
        <f>SUMIFS(Table2[NewPointsAway],Table2[GameDate], "&lt;=" &amp; $A93, Table2[AwayTeam], U$1)+SUMIFS(Table2[NewPointsHome],Table2[GameDate], "&lt;=" &amp; $A93, Table2[HomeTeam], U$1)</f>
        <v>11</v>
      </c>
      <c r="V93" s="145">
        <f>SUMIFS(Table2[NewPointsAway],Table2[GameDate], "&lt;=" &amp; $A93, Table2[AwayTeam], V$1)+SUMIFS(Table2[NewPointsHome],Table2[GameDate], "&lt;=" &amp; $A93, Table2[HomeTeam], V$1)</f>
        <v>11</v>
      </c>
      <c r="W93" s="145">
        <f>SUMIFS(Table2[NewPointsAway],Table2[GameDate], "&lt;=" &amp; $A93, Table2[AwayTeam], W$1)+SUMIFS(Table2[NewPointsHome],Table2[GameDate], "&lt;=" &amp; $A93, Table2[HomeTeam], W$1)</f>
        <v>16</v>
      </c>
      <c r="X93" s="145">
        <f>SUMIFS(Table2[NewPointsAway],Table2[GameDate], "&lt;=" &amp; $A93, Table2[AwayTeam], X$1)+SUMIFS(Table2[NewPointsHome],Table2[GameDate], "&lt;=" &amp; $A93, Table2[HomeTeam], X$1)</f>
        <v>13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10</v>
      </c>
      <c r="AB93" s="145">
        <f>SUMIFS(Table2[NewPointsAway],Table2[GameDate], "&lt;=" &amp; $A93, Table2[AwayTeam], AB$1)+SUMIFS(Table2[NewPointsHome],Table2[GameDate], "&lt;=" &amp; $A93, Table2[HomeTeam], AB$1)</f>
        <v>11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15</v>
      </c>
      <c r="AF93" s="145">
        <f>SUMIFS(Table2[NewPointsAway],Table2[GameDate], "&lt;=" &amp; $A93, Table2[AwayTeam], AF$1)+SUMIFS(Table2[NewPointsHome],Table2[GameDate], "&lt;=" &amp; $A93, Table2[HomeTeam], AF$1)</f>
        <v>14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11</v>
      </c>
      <c r="C94" s="145">
        <f>SUMIFS(Table2[NewPointsAway],Table2[GameDate], "&lt;=" &amp; $A94, Table2[AwayTeam], C$1)+SUMIFS(Table2[NewPointsHome],Table2[GameDate], "&lt;=" &amp; $A94, Table2[HomeTeam], C$1)</f>
        <v>10</v>
      </c>
      <c r="D94" s="145">
        <f>SUMIFS(Table2[NewPointsAway],Table2[GameDate], "&lt;=" &amp; $A94, Table2[AwayTeam], D$1)+SUMIFS(Table2[NewPointsHome],Table2[GameDate], "&lt;=" &amp; $A94, Table2[HomeTeam], D$1)</f>
        <v>10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12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12</v>
      </c>
      <c r="I94" s="145">
        <f>SUMIFS(Table2[NewPointsAway],Table2[GameDate], "&lt;=" &amp; $A94, Table2[AwayTeam], I$1)+SUMIFS(Table2[NewPointsHome],Table2[GameDate], "&lt;=" &amp; $A94, Table2[HomeTeam], I$1)</f>
        <v>16</v>
      </c>
      <c r="J94" s="145">
        <f>SUMIFS(Table2[NewPointsAway],Table2[GameDate], "&lt;=" &amp; $A94, Table2[AwayTeam], J$1)+SUMIFS(Table2[NewPointsHome],Table2[GameDate], "&lt;=" &amp; $A94, Table2[HomeTeam], J$1)</f>
        <v>13</v>
      </c>
      <c r="K94" s="145">
        <f>SUMIFS(Table2[NewPointsAway],Table2[GameDate], "&lt;=" &amp; $A94, Table2[AwayTeam], K$1)+SUMIFS(Table2[NewPointsHome],Table2[GameDate], "&lt;=" &amp; $A94, Table2[HomeTeam], K$1)</f>
        <v>14</v>
      </c>
      <c r="L94" s="145">
        <f>SUMIFS(Table2[NewPointsAway],Table2[GameDate], "&lt;=" &amp; $A94, Table2[AwayTeam], L$1)+SUMIFS(Table2[NewPointsHome],Table2[GameDate], "&lt;=" &amp; $A94, Table2[HomeTeam], L$1)</f>
        <v>12</v>
      </c>
      <c r="M94" s="145">
        <f>SUMIFS(Table2[NewPointsAway],Table2[GameDate], "&lt;=" &amp; $A94, Table2[AwayTeam], M$1)+SUMIFS(Table2[NewPointsHome],Table2[GameDate], "&lt;=" &amp; $A94, Table2[HomeTeam], M$1)</f>
        <v>11</v>
      </c>
      <c r="N94" s="145">
        <f>SUMIFS(Table2[NewPointsAway],Table2[GameDate], "&lt;=" &amp; $A94, Table2[AwayTeam], N$1)+SUMIFS(Table2[NewPointsHome],Table2[GameDate], "&lt;=" &amp; $A94, Table2[HomeTeam], N$1)</f>
        <v>13</v>
      </c>
      <c r="O94" s="145">
        <f>SUMIFS(Table2[NewPointsAway],Table2[GameDate], "&lt;=" &amp; $A94, Table2[AwayTeam], O$1)+SUMIFS(Table2[NewPointsHome],Table2[GameDate], "&lt;=" &amp; $A94, Table2[HomeTeam], O$1)</f>
        <v>9</v>
      </c>
      <c r="P94" s="145">
        <f>SUMIFS(Table2[NewPointsAway],Table2[GameDate], "&lt;=" &amp; $A94, Table2[AwayTeam], P$1)+SUMIFS(Table2[NewPointsHome],Table2[GameDate], "&lt;=" &amp; $A94, Table2[HomeTeam], P$1)</f>
        <v>16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10</v>
      </c>
      <c r="U94" s="145">
        <f>SUMIFS(Table2[NewPointsAway],Table2[GameDate], "&lt;=" &amp; $A94, Table2[AwayTeam], U$1)+SUMIFS(Table2[NewPointsHome],Table2[GameDate], "&lt;=" &amp; $A94, Table2[HomeTeam], U$1)</f>
        <v>11</v>
      </c>
      <c r="V94" s="145">
        <f>SUMIFS(Table2[NewPointsAway],Table2[GameDate], "&lt;=" &amp; $A94, Table2[AwayTeam], V$1)+SUMIFS(Table2[NewPointsHome],Table2[GameDate], "&lt;=" &amp; $A94, Table2[HomeTeam], V$1)</f>
        <v>11</v>
      </c>
      <c r="W94" s="145">
        <f>SUMIFS(Table2[NewPointsAway],Table2[GameDate], "&lt;=" &amp; $A94, Table2[AwayTeam], W$1)+SUMIFS(Table2[NewPointsHome],Table2[GameDate], "&lt;=" &amp; $A94, Table2[HomeTeam], W$1)</f>
        <v>16</v>
      </c>
      <c r="X94" s="145">
        <f>SUMIFS(Table2[NewPointsAway],Table2[GameDate], "&lt;=" &amp; $A94, Table2[AwayTeam], X$1)+SUMIFS(Table2[NewPointsHome],Table2[GameDate], "&lt;=" &amp; $A94, Table2[HomeTeam], X$1)</f>
        <v>13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10</v>
      </c>
      <c r="AB94" s="145">
        <f>SUMIFS(Table2[NewPointsAway],Table2[GameDate], "&lt;=" &amp; $A94, Table2[AwayTeam], AB$1)+SUMIFS(Table2[NewPointsHome],Table2[GameDate], "&lt;=" &amp; $A94, Table2[HomeTeam], AB$1)</f>
        <v>11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15</v>
      </c>
      <c r="AF94" s="145">
        <f>SUMIFS(Table2[NewPointsAway],Table2[GameDate], "&lt;=" &amp; $A94, Table2[AwayTeam], AF$1)+SUMIFS(Table2[NewPointsHome],Table2[GameDate], "&lt;=" &amp; $A94, Table2[HomeTeam], AF$1)</f>
        <v>14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11</v>
      </c>
      <c r="C95" s="145">
        <f>SUMIFS(Table2[NewPointsAway],Table2[GameDate], "&lt;=" &amp; $A95, Table2[AwayTeam], C$1)+SUMIFS(Table2[NewPointsHome],Table2[GameDate], "&lt;=" &amp; $A95, Table2[HomeTeam], C$1)</f>
        <v>10</v>
      </c>
      <c r="D95" s="145">
        <f>SUMIFS(Table2[NewPointsAway],Table2[GameDate], "&lt;=" &amp; $A95, Table2[AwayTeam], D$1)+SUMIFS(Table2[NewPointsHome],Table2[GameDate], "&lt;=" &amp; $A95, Table2[HomeTeam], D$1)</f>
        <v>10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12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12</v>
      </c>
      <c r="I95" s="145">
        <f>SUMIFS(Table2[NewPointsAway],Table2[GameDate], "&lt;=" &amp; $A95, Table2[AwayTeam], I$1)+SUMIFS(Table2[NewPointsHome],Table2[GameDate], "&lt;=" &amp; $A95, Table2[HomeTeam], I$1)</f>
        <v>16</v>
      </c>
      <c r="J95" s="145">
        <f>SUMIFS(Table2[NewPointsAway],Table2[GameDate], "&lt;=" &amp; $A95, Table2[AwayTeam], J$1)+SUMIFS(Table2[NewPointsHome],Table2[GameDate], "&lt;=" &amp; $A95, Table2[HomeTeam], J$1)</f>
        <v>13</v>
      </c>
      <c r="K95" s="145">
        <f>SUMIFS(Table2[NewPointsAway],Table2[GameDate], "&lt;=" &amp; $A95, Table2[AwayTeam], K$1)+SUMIFS(Table2[NewPointsHome],Table2[GameDate], "&lt;=" &amp; $A95, Table2[HomeTeam], K$1)</f>
        <v>14</v>
      </c>
      <c r="L95" s="145">
        <f>SUMIFS(Table2[NewPointsAway],Table2[GameDate], "&lt;=" &amp; $A95, Table2[AwayTeam], L$1)+SUMIFS(Table2[NewPointsHome],Table2[GameDate], "&lt;=" &amp; $A95, Table2[HomeTeam], L$1)</f>
        <v>12</v>
      </c>
      <c r="M95" s="145">
        <f>SUMIFS(Table2[NewPointsAway],Table2[GameDate], "&lt;=" &amp; $A95, Table2[AwayTeam], M$1)+SUMIFS(Table2[NewPointsHome],Table2[GameDate], "&lt;=" &amp; $A95, Table2[HomeTeam], M$1)</f>
        <v>11</v>
      </c>
      <c r="N95" s="145">
        <f>SUMIFS(Table2[NewPointsAway],Table2[GameDate], "&lt;=" &amp; $A95, Table2[AwayTeam], N$1)+SUMIFS(Table2[NewPointsHome],Table2[GameDate], "&lt;=" &amp; $A95, Table2[HomeTeam], N$1)</f>
        <v>13</v>
      </c>
      <c r="O95" s="145">
        <f>SUMIFS(Table2[NewPointsAway],Table2[GameDate], "&lt;=" &amp; $A95, Table2[AwayTeam], O$1)+SUMIFS(Table2[NewPointsHome],Table2[GameDate], "&lt;=" &amp; $A95, Table2[HomeTeam], O$1)</f>
        <v>9</v>
      </c>
      <c r="P95" s="145">
        <f>SUMIFS(Table2[NewPointsAway],Table2[GameDate], "&lt;=" &amp; $A95, Table2[AwayTeam], P$1)+SUMIFS(Table2[NewPointsHome],Table2[GameDate], "&lt;=" &amp; $A95, Table2[HomeTeam], P$1)</f>
        <v>16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10</v>
      </c>
      <c r="U95" s="145">
        <f>SUMIFS(Table2[NewPointsAway],Table2[GameDate], "&lt;=" &amp; $A95, Table2[AwayTeam], U$1)+SUMIFS(Table2[NewPointsHome],Table2[GameDate], "&lt;=" &amp; $A95, Table2[HomeTeam], U$1)</f>
        <v>11</v>
      </c>
      <c r="V95" s="145">
        <f>SUMIFS(Table2[NewPointsAway],Table2[GameDate], "&lt;=" &amp; $A95, Table2[AwayTeam], V$1)+SUMIFS(Table2[NewPointsHome],Table2[GameDate], "&lt;=" &amp; $A95, Table2[HomeTeam], V$1)</f>
        <v>11</v>
      </c>
      <c r="W95" s="145">
        <f>SUMIFS(Table2[NewPointsAway],Table2[GameDate], "&lt;=" &amp; $A95, Table2[AwayTeam], W$1)+SUMIFS(Table2[NewPointsHome],Table2[GameDate], "&lt;=" &amp; $A95, Table2[HomeTeam], W$1)</f>
        <v>16</v>
      </c>
      <c r="X95" s="145">
        <f>SUMIFS(Table2[NewPointsAway],Table2[GameDate], "&lt;=" &amp; $A95, Table2[AwayTeam], X$1)+SUMIFS(Table2[NewPointsHome],Table2[GameDate], "&lt;=" &amp; $A95, Table2[HomeTeam], X$1)</f>
        <v>13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10</v>
      </c>
      <c r="AB95" s="145">
        <f>SUMIFS(Table2[NewPointsAway],Table2[GameDate], "&lt;=" &amp; $A95, Table2[AwayTeam], AB$1)+SUMIFS(Table2[NewPointsHome],Table2[GameDate], "&lt;=" &amp; $A95, Table2[HomeTeam], AB$1)</f>
        <v>11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15</v>
      </c>
      <c r="AF95" s="145">
        <f>SUMIFS(Table2[NewPointsAway],Table2[GameDate], "&lt;=" &amp; $A95, Table2[AwayTeam], AF$1)+SUMIFS(Table2[NewPointsHome],Table2[GameDate], "&lt;=" &amp; $A95, Table2[HomeTeam], AF$1)</f>
        <v>14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11</v>
      </c>
      <c r="C96" s="145">
        <f>SUMIFS(Table2[NewPointsAway],Table2[GameDate], "&lt;=" &amp; $A96, Table2[AwayTeam], C$1)+SUMIFS(Table2[NewPointsHome],Table2[GameDate], "&lt;=" &amp; $A96, Table2[HomeTeam], C$1)</f>
        <v>10</v>
      </c>
      <c r="D96" s="145">
        <f>SUMIFS(Table2[NewPointsAway],Table2[GameDate], "&lt;=" &amp; $A96, Table2[AwayTeam], D$1)+SUMIFS(Table2[NewPointsHome],Table2[GameDate], "&lt;=" &amp; $A96, Table2[HomeTeam], D$1)</f>
        <v>10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12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12</v>
      </c>
      <c r="I96" s="145">
        <f>SUMIFS(Table2[NewPointsAway],Table2[GameDate], "&lt;=" &amp; $A96, Table2[AwayTeam], I$1)+SUMIFS(Table2[NewPointsHome],Table2[GameDate], "&lt;=" &amp; $A96, Table2[HomeTeam], I$1)</f>
        <v>16</v>
      </c>
      <c r="J96" s="145">
        <f>SUMIFS(Table2[NewPointsAway],Table2[GameDate], "&lt;=" &amp; $A96, Table2[AwayTeam], J$1)+SUMIFS(Table2[NewPointsHome],Table2[GameDate], "&lt;=" &amp; $A96, Table2[HomeTeam], J$1)</f>
        <v>13</v>
      </c>
      <c r="K96" s="145">
        <f>SUMIFS(Table2[NewPointsAway],Table2[GameDate], "&lt;=" &amp; $A96, Table2[AwayTeam], K$1)+SUMIFS(Table2[NewPointsHome],Table2[GameDate], "&lt;=" &amp; $A96, Table2[HomeTeam], K$1)</f>
        <v>14</v>
      </c>
      <c r="L96" s="145">
        <f>SUMIFS(Table2[NewPointsAway],Table2[GameDate], "&lt;=" &amp; $A96, Table2[AwayTeam], L$1)+SUMIFS(Table2[NewPointsHome],Table2[GameDate], "&lt;=" &amp; $A96, Table2[HomeTeam], L$1)</f>
        <v>12</v>
      </c>
      <c r="M96" s="145">
        <f>SUMIFS(Table2[NewPointsAway],Table2[GameDate], "&lt;=" &amp; $A96, Table2[AwayTeam], M$1)+SUMIFS(Table2[NewPointsHome],Table2[GameDate], "&lt;=" &amp; $A96, Table2[HomeTeam], M$1)</f>
        <v>11</v>
      </c>
      <c r="N96" s="145">
        <f>SUMIFS(Table2[NewPointsAway],Table2[GameDate], "&lt;=" &amp; $A96, Table2[AwayTeam], N$1)+SUMIFS(Table2[NewPointsHome],Table2[GameDate], "&lt;=" &amp; $A96, Table2[HomeTeam], N$1)</f>
        <v>13</v>
      </c>
      <c r="O96" s="145">
        <f>SUMIFS(Table2[NewPointsAway],Table2[GameDate], "&lt;=" &amp; $A96, Table2[AwayTeam], O$1)+SUMIFS(Table2[NewPointsHome],Table2[GameDate], "&lt;=" &amp; $A96, Table2[HomeTeam], O$1)</f>
        <v>9</v>
      </c>
      <c r="P96" s="145">
        <f>SUMIFS(Table2[NewPointsAway],Table2[GameDate], "&lt;=" &amp; $A96, Table2[AwayTeam], P$1)+SUMIFS(Table2[NewPointsHome],Table2[GameDate], "&lt;=" &amp; $A96, Table2[HomeTeam], P$1)</f>
        <v>16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10</v>
      </c>
      <c r="U96" s="145">
        <f>SUMIFS(Table2[NewPointsAway],Table2[GameDate], "&lt;=" &amp; $A96, Table2[AwayTeam], U$1)+SUMIFS(Table2[NewPointsHome],Table2[GameDate], "&lt;=" &amp; $A96, Table2[HomeTeam], U$1)</f>
        <v>11</v>
      </c>
      <c r="V96" s="145">
        <f>SUMIFS(Table2[NewPointsAway],Table2[GameDate], "&lt;=" &amp; $A96, Table2[AwayTeam], V$1)+SUMIFS(Table2[NewPointsHome],Table2[GameDate], "&lt;=" &amp; $A96, Table2[HomeTeam], V$1)</f>
        <v>11</v>
      </c>
      <c r="W96" s="145">
        <f>SUMIFS(Table2[NewPointsAway],Table2[GameDate], "&lt;=" &amp; $A96, Table2[AwayTeam], W$1)+SUMIFS(Table2[NewPointsHome],Table2[GameDate], "&lt;=" &amp; $A96, Table2[HomeTeam], W$1)</f>
        <v>16</v>
      </c>
      <c r="X96" s="145">
        <f>SUMIFS(Table2[NewPointsAway],Table2[GameDate], "&lt;=" &amp; $A96, Table2[AwayTeam], X$1)+SUMIFS(Table2[NewPointsHome],Table2[GameDate], "&lt;=" &amp; $A96, Table2[HomeTeam], X$1)</f>
        <v>13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10</v>
      </c>
      <c r="AB96" s="145">
        <f>SUMIFS(Table2[NewPointsAway],Table2[GameDate], "&lt;=" &amp; $A96, Table2[AwayTeam], AB$1)+SUMIFS(Table2[NewPointsHome],Table2[GameDate], "&lt;=" &amp; $A96, Table2[HomeTeam], AB$1)</f>
        <v>11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15</v>
      </c>
      <c r="AF96" s="145">
        <f>SUMIFS(Table2[NewPointsAway],Table2[GameDate], "&lt;=" &amp; $A96, Table2[AwayTeam], AF$1)+SUMIFS(Table2[NewPointsHome],Table2[GameDate], "&lt;=" &amp; $A96, Table2[HomeTeam], AF$1)</f>
        <v>14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11</v>
      </c>
      <c r="C97" s="145">
        <f>SUMIFS(Table2[NewPointsAway],Table2[GameDate], "&lt;=" &amp; $A97, Table2[AwayTeam], C$1)+SUMIFS(Table2[NewPointsHome],Table2[GameDate], "&lt;=" &amp; $A97, Table2[HomeTeam], C$1)</f>
        <v>10</v>
      </c>
      <c r="D97" s="145">
        <f>SUMIFS(Table2[NewPointsAway],Table2[GameDate], "&lt;=" &amp; $A97, Table2[AwayTeam], D$1)+SUMIFS(Table2[NewPointsHome],Table2[GameDate], "&lt;=" &amp; $A97, Table2[HomeTeam], D$1)</f>
        <v>10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12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12</v>
      </c>
      <c r="I97" s="145">
        <f>SUMIFS(Table2[NewPointsAway],Table2[GameDate], "&lt;=" &amp; $A97, Table2[AwayTeam], I$1)+SUMIFS(Table2[NewPointsHome],Table2[GameDate], "&lt;=" &amp; $A97, Table2[HomeTeam], I$1)</f>
        <v>16</v>
      </c>
      <c r="J97" s="145">
        <f>SUMIFS(Table2[NewPointsAway],Table2[GameDate], "&lt;=" &amp; $A97, Table2[AwayTeam], J$1)+SUMIFS(Table2[NewPointsHome],Table2[GameDate], "&lt;=" &amp; $A97, Table2[HomeTeam], J$1)</f>
        <v>13</v>
      </c>
      <c r="K97" s="145">
        <f>SUMIFS(Table2[NewPointsAway],Table2[GameDate], "&lt;=" &amp; $A97, Table2[AwayTeam], K$1)+SUMIFS(Table2[NewPointsHome],Table2[GameDate], "&lt;=" &amp; $A97, Table2[HomeTeam], K$1)</f>
        <v>14</v>
      </c>
      <c r="L97" s="145">
        <f>SUMIFS(Table2[NewPointsAway],Table2[GameDate], "&lt;=" &amp; $A97, Table2[AwayTeam], L$1)+SUMIFS(Table2[NewPointsHome],Table2[GameDate], "&lt;=" &amp; $A97, Table2[HomeTeam], L$1)</f>
        <v>12</v>
      </c>
      <c r="M97" s="145">
        <f>SUMIFS(Table2[NewPointsAway],Table2[GameDate], "&lt;=" &amp; $A97, Table2[AwayTeam], M$1)+SUMIFS(Table2[NewPointsHome],Table2[GameDate], "&lt;=" &amp; $A97, Table2[HomeTeam], M$1)</f>
        <v>11</v>
      </c>
      <c r="N97" s="145">
        <f>SUMIFS(Table2[NewPointsAway],Table2[GameDate], "&lt;=" &amp; $A97, Table2[AwayTeam], N$1)+SUMIFS(Table2[NewPointsHome],Table2[GameDate], "&lt;=" &amp; $A97, Table2[HomeTeam], N$1)</f>
        <v>13</v>
      </c>
      <c r="O97" s="145">
        <f>SUMIFS(Table2[NewPointsAway],Table2[GameDate], "&lt;=" &amp; $A97, Table2[AwayTeam], O$1)+SUMIFS(Table2[NewPointsHome],Table2[GameDate], "&lt;=" &amp; $A97, Table2[HomeTeam], O$1)</f>
        <v>9</v>
      </c>
      <c r="P97" s="145">
        <f>SUMIFS(Table2[NewPointsAway],Table2[GameDate], "&lt;=" &amp; $A97, Table2[AwayTeam], P$1)+SUMIFS(Table2[NewPointsHome],Table2[GameDate], "&lt;=" &amp; $A97, Table2[HomeTeam], P$1)</f>
        <v>16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10</v>
      </c>
      <c r="U97" s="145">
        <f>SUMIFS(Table2[NewPointsAway],Table2[GameDate], "&lt;=" &amp; $A97, Table2[AwayTeam], U$1)+SUMIFS(Table2[NewPointsHome],Table2[GameDate], "&lt;=" &amp; $A97, Table2[HomeTeam], U$1)</f>
        <v>11</v>
      </c>
      <c r="V97" s="145">
        <f>SUMIFS(Table2[NewPointsAway],Table2[GameDate], "&lt;=" &amp; $A97, Table2[AwayTeam], V$1)+SUMIFS(Table2[NewPointsHome],Table2[GameDate], "&lt;=" &amp; $A97, Table2[HomeTeam], V$1)</f>
        <v>11</v>
      </c>
      <c r="W97" s="145">
        <f>SUMIFS(Table2[NewPointsAway],Table2[GameDate], "&lt;=" &amp; $A97, Table2[AwayTeam], W$1)+SUMIFS(Table2[NewPointsHome],Table2[GameDate], "&lt;=" &amp; $A97, Table2[HomeTeam], W$1)</f>
        <v>16</v>
      </c>
      <c r="X97" s="145">
        <f>SUMIFS(Table2[NewPointsAway],Table2[GameDate], "&lt;=" &amp; $A97, Table2[AwayTeam], X$1)+SUMIFS(Table2[NewPointsHome],Table2[GameDate], "&lt;=" &amp; $A97, Table2[HomeTeam], X$1)</f>
        <v>13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10</v>
      </c>
      <c r="AB97" s="145">
        <f>SUMIFS(Table2[NewPointsAway],Table2[GameDate], "&lt;=" &amp; $A97, Table2[AwayTeam], AB$1)+SUMIFS(Table2[NewPointsHome],Table2[GameDate], "&lt;=" &amp; $A97, Table2[HomeTeam], AB$1)</f>
        <v>11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15</v>
      </c>
      <c r="AF97" s="145">
        <f>SUMIFS(Table2[NewPointsAway],Table2[GameDate], "&lt;=" &amp; $A97, Table2[AwayTeam], AF$1)+SUMIFS(Table2[NewPointsHome],Table2[GameDate], "&lt;=" &amp; $A97, Table2[HomeTeam], AF$1)</f>
        <v>14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11</v>
      </c>
      <c r="C98" s="145">
        <f>SUMIFS(Table2[NewPointsAway],Table2[GameDate], "&lt;=" &amp; $A98, Table2[AwayTeam], C$1)+SUMIFS(Table2[NewPointsHome],Table2[GameDate], "&lt;=" &amp; $A98, Table2[HomeTeam], C$1)</f>
        <v>10</v>
      </c>
      <c r="D98" s="145">
        <f>SUMIFS(Table2[NewPointsAway],Table2[GameDate], "&lt;=" &amp; $A98, Table2[AwayTeam], D$1)+SUMIFS(Table2[NewPointsHome],Table2[GameDate], "&lt;=" &amp; $A98, Table2[HomeTeam], D$1)</f>
        <v>10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12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12</v>
      </c>
      <c r="I98" s="145">
        <f>SUMIFS(Table2[NewPointsAway],Table2[GameDate], "&lt;=" &amp; $A98, Table2[AwayTeam], I$1)+SUMIFS(Table2[NewPointsHome],Table2[GameDate], "&lt;=" &amp; $A98, Table2[HomeTeam], I$1)</f>
        <v>16</v>
      </c>
      <c r="J98" s="145">
        <f>SUMIFS(Table2[NewPointsAway],Table2[GameDate], "&lt;=" &amp; $A98, Table2[AwayTeam], J$1)+SUMIFS(Table2[NewPointsHome],Table2[GameDate], "&lt;=" &amp; $A98, Table2[HomeTeam], J$1)</f>
        <v>13</v>
      </c>
      <c r="K98" s="145">
        <f>SUMIFS(Table2[NewPointsAway],Table2[GameDate], "&lt;=" &amp; $A98, Table2[AwayTeam], K$1)+SUMIFS(Table2[NewPointsHome],Table2[GameDate], "&lt;=" &amp; $A98, Table2[HomeTeam], K$1)</f>
        <v>14</v>
      </c>
      <c r="L98" s="145">
        <f>SUMIFS(Table2[NewPointsAway],Table2[GameDate], "&lt;=" &amp; $A98, Table2[AwayTeam], L$1)+SUMIFS(Table2[NewPointsHome],Table2[GameDate], "&lt;=" &amp; $A98, Table2[HomeTeam], L$1)</f>
        <v>12</v>
      </c>
      <c r="M98" s="145">
        <f>SUMIFS(Table2[NewPointsAway],Table2[GameDate], "&lt;=" &amp; $A98, Table2[AwayTeam], M$1)+SUMIFS(Table2[NewPointsHome],Table2[GameDate], "&lt;=" &amp; $A98, Table2[HomeTeam], M$1)</f>
        <v>11</v>
      </c>
      <c r="N98" s="145">
        <f>SUMIFS(Table2[NewPointsAway],Table2[GameDate], "&lt;=" &amp; $A98, Table2[AwayTeam], N$1)+SUMIFS(Table2[NewPointsHome],Table2[GameDate], "&lt;=" &amp; $A98, Table2[HomeTeam], N$1)</f>
        <v>13</v>
      </c>
      <c r="O98" s="145">
        <f>SUMIFS(Table2[NewPointsAway],Table2[GameDate], "&lt;=" &amp; $A98, Table2[AwayTeam], O$1)+SUMIFS(Table2[NewPointsHome],Table2[GameDate], "&lt;=" &amp; $A98, Table2[HomeTeam], O$1)</f>
        <v>9</v>
      </c>
      <c r="P98" s="145">
        <f>SUMIFS(Table2[NewPointsAway],Table2[GameDate], "&lt;=" &amp; $A98, Table2[AwayTeam], P$1)+SUMIFS(Table2[NewPointsHome],Table2[GameDate], "&lt;=" &amp; $A98, Table2[HomeTeam], P$1)</f>
        <v>16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10</v>
      </c>
      <c r="U98" s="145">
        <f>SUMIFS(Table2[NewPointsAway],Table2[GameDate], "&lt;=" &amp; $A98, Table2[AwayTeam], U$1)+SUMIFS(Table2[NewPointsHome],Table2[GameDate], "&lt;=" &amp; $A98, Table2[HomeTeam], U$1)</f>
        <v>11</v>
      </c>
      <c r="V98" s="145">
        <f>SUMIFS(Table2[NewPointsAway],Table2[GameDate], "&lt;=" &amp; $A98, Table2[AwayTeam], V$1)+SUMIFS(Table2[NewPointsHome],Table2[GameDate], "&lt;=" &amp; $A98, Table2[HomeTeam], V$1)</f>
        <v>11</v>
      </c>
      <c r="W98" s="145">
        <f>SUMIFS(Table2[NewPointsAway],Table2[GameDate], "&lt;=" &amp; $A98, Table2[AwayTeam], W$1)+SUMIFS(Table2[NewPointsHome],Table2[GameDate], "&lt;=" &amp; $A98, Table2[HomeTeam], W$1)</f>
        <v>16</v>
      </c>
      <c r="X98" s="145">
        <f>SUMIFS(Table2[NewPointsAway],Table2[GameDate], "&lt;=" &amp; $A98, Table2[AwayTeam], X$1)+SUMIFS(Table2[NewPointsHome],Table2[GameDate], "&lt;=" &amp; $A98, Table2[HomeTeam], X$1)</f>
        <v>13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10</v>
      </c>
      <c r="AB98" s="145">
        <f>SUMIFS(Table2[NewPointsAway],Table2[GameDate], "&lt;=" &amp; $A98, Table2[AwayTeam], AB$1)+SUMIFS(Table2[NewPointsHome],Table2[GameDate], "&lt;=" &amp; $A98, Table2[HomeTeam], AB$1)</f>
        <v>11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15</v>
      </c>
      <c r="AF98" s="145">
        <f>SUMIFS(Table2[NewPointsAway],Table2[GameDate], "&lt;=" &amp; $A98, Table2[AwayTeam], AF$1)+SUMIFS(Table2[NewPointsHome],Table2[GameDate], "&lt;=" &amp; $A98, Table2[HomeTeam], AF$1)</f>
        <v>14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11</v>
      </c>
      <c r="C99" s="145">
        <f>SUMIFS(Table2[NewPointsAway],Table2[GameDate], "&lt;=" &amp; $A99, Table2[AwayTeam], C$1)+SUMIFS(Table2[NewPointsHome],Table2[GameDate], "&lt;=" &amp; $A99, Table2[HomeTeam], C$1)</f>
        <v>10</v>
      </c>
      <c r="D99" s="145">
        <f>SUMIFS(Table2[NewPointsAway],Table2[GameDate], "&lt;=" &amp; $A99, Table2[AwayTeam], D$1)+SUMIFS(Table2[NewPointsHome],Table2[GameDate], "&lt;=" &amp; $A99, Table2[HomeTeam], D$1)</f>
        <v>10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12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12</v>
      </c>
      <c r="I99" s="145">
        <f>SUMIFS(Table2[NewPointsAway],Table2[GameDate], "&lt;=" &amp; $A99, Table2[AwayTeam], I$1)+SUMIFS(Table2[NewPointsHome],Table2[GameDate], "&lt;=" &amp; $A99, Table2[HomeTeam], I$1)</f>
        <v>16</v>
      </c>
      <c r="J99" s="145">
        <f>SUMIFS(Table2[NewPointsAway],Table2[GameDate], "&lt;=" &amp; $A99, Table2[AwayTeam], J$1)+SUMIFS(Table2[NewPointsHome],Table2[GameDate], "&lt;=" &amp; $A99, Table2[HomeTeam], J$1)</f>
        <v>13</v>
      </c>
      <c r="K99" s="145">
        <f>SUMIFS(Table2[NewPointsAway],Table2[GameDate], "&lt;=" &amp; $A99, Table2[AwayTeam], K$1)+SUMIFS(Table2[NewPointsHome],Table2[GameDate], "&lt;=" &amp; $A99, Table2[HomeTeam], K$1)</f>
        <v>14</v>
      </c>
      <c r="L99" s="145">
        <f>SUMIFS(Table2[NewPointsAway],Table2[GameDate], "&lt;=" &amp; $A99, Table2[AwayTeam], L$1)+SUMIFS(Table2[NewPointsHome],Table2[GameDate], "&lt;=" &amp; $A99, Table2[HomeTeam], L$1)</f>
        <v>12</v>
      </c>
      <c r="M99" s="145">
        <f>SUMIFS(Table2[NewPointsAway],Table2[GameDate], "&lt;=" &amp; $A99, Table2[AwayTeam], M$1)+SUMIFS(Table2[NewPointsHome],Table2[GameDate], "&lt;=" &amp; $A99, Table2[HomeTeam], M$1)</f>
        <v>11</v>
      </c>
      <c r="N99" s="145">
        <f>SUMIFS(Table2[NewPointsAway],Table2[GameDate], "&lt;=" &amp; $A99, Table2[AwayTeam], N$1)+SUMIFS(Table2[NewPointsHome],Table2[GameDate], "&lt;=" &amp; $A99, Table2[HomeTeam], N$1)</f>
        <v>13</v>
      </c>
      <c r="O99" s="145">
        <f>SUMIFS(Table2[NewPointsAway],Table2[GameDate], "&lt;=" &amp; $A99, Table2[AwayTeam], O$1)+SUMIFS(Table2[NewPointsHome],Table2[GameDate], "&lt;=" &amp; $A99, Table2[HomeTeam], O$1)</f>
        <v>9</v>
      </c>
      <c r="P99" s="145">
        <f>SUMIFS(Table2[NewPointsAway],Table2[GameDate], "&lt;=" &amp; $A99, Table2[AwayTeam], P$1)+SUMIFS(Table2[NewPointsHome],Table2[GameDate], "&lt;=" &amp; $A99, Table2[HomeTeam], P$1)</f>
        <v>16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10</v>
      </c>
      <c r="U99" s="145">
        <f>SUMIFS(Table2[NewPointsAway],Table2[GameDate], "&lt;=" &amp; $A99, Table2[AwayTeam], U$1)+SUMIFS(Table2[NewPointsHome],Table2[GameDate], "&lt;=" &amp; $A99, Table2[HomeTeam], U$1)</f>
        <v>11</v>
      </c>
      <c r="V99" s="145">
        <f>SUMIFS(Table2[NewPointsAway],Table2[GameDate], "&lt;=" &amp; $A99, Table2[AwayTeam], V$1)+SUMIFS(Table2[NewPointsHome],Table2[GameDate], "&lt;=" &amp; $A99, Table2[HomeTeam], V$1)</f>
        <v>11</v>
      </c>
      <c r="W99" s="145">
        <f>SUMIFS(Table2[NewPointsAway],Table2[GameDate], "&lt;=" &amp; $A99, Table2[AwayTeam], W$1)+SUMIFS(Table2[NewPointsHome],Table2[GameDate], "&lt;=" &amp; $A99, Table2[HomeTeam], W$1)</f>
        <v>16</v>
      </c>
      <c r="X99" s="145">
        <f>SUMIFS(Table2[NewPointsAway],Table2[GameDate], "&lt;=" &amp; $A99, Table2[AwayTeam], X$1)+SUMIFS(Table2[NewPointsHome],Table2[GameDate], "&lt;=" &amp; $A99, Table2[HomeTeam], X$1)</f>
        <v>13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10</v>
      </c>
      <c r="AB99" s="145">
        <f>SUMIFS(Table2[NewPointsAway],Table2[GameDate], "&lt;=" &amp; $A99, Table2[AwayTeam], AB$1)+SUMIFS(Table2[NewPointsHome],Table2[GameDate], "&lt;=" &amp; $A99, Table2[HomeTeam], AB$1)</f>
        <v>11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15</v>
      </c>
      <c r="AF99" s="145">
        <f>SUMIFS(Table2[NewPointsAway],Table2[GameDate], "&lt;=" &amp; $A99, Table2[AwayTeam], AF$1)+SUMIFS(Table2[NewPointsHome],Table2[GameDate], "&lt;=" &amp; $A99, Table2[HomeTeam], AF$1)</f>
        <v>14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11</v>
      </c>
      <c r="C100" s="145">
        <f>SUMIFS(Table2[NewPointsAway],Table2[GameDate], "&lt;=" &amp; $A100, Table2[AwayTeam], C$1)+SUMIFS(Table2[NewPointsHome],Table2[GameDate], "&lt;=" &amp; $A100, Table2[HomeTeam], C$1)</f>
        <v>10</v>
      </c>
      <c r="D100" s="145">
        <f>SUMIFS(Table2[NewPointsAway],Table2[GameDate], "&lt;=" &amp; $A100, Table2[AwayTeam], D$1)+SUMIFS(Table2[NewPointsHome],Table2[GameDate], "&lt;=" &amp; $A100, Table2[HomeTeam], D$1)</f>
        <v>10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12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12</v>
      </c>
      <c r="I100" s="145">
        <f>SUMIFS(Table2[NewPointsAway],Table2[GameDate], "&lt;=" &amp; $A100, Table2[AwayTeam], I$1)+SUMIFS(Table2[NewPointsHome],Table2[GameDate], "&lt;=" &amp; $A100, Table2[HomeTeam], I$1)</f>
        <v>16</v>
      </c>
      <c r="J100" s="145">
        <f>SUMIFS(Table2[NewPointsAway],Table2[GameDate], "&lt;=" &amp; $A100, Table2[AwayTeam], J$1)+SUMIFS(Table2[NewPointsHome],Table2[GameDate], "&lt;=" &amp; $A100, Table2[HomeTeam], J$1)</f>
        <v>13</v>
      </c>
      <c r="K100" s="145">
        <f>SUMIFS(Table2[NewPointsAway],Table2[GameDate], "&lt;=" &amp; $A100, Table2[AwayTeam], K$1)+SUMIFS(Table2[NewPointsHome],Table2[GameDate], "&lt;=" &amp; $A100, Table2[HomeTeam], K$1)</f>
        <v>14</v>
      </c>
      <c r="L100" s="145">
        <f>SUMIFS(Table2[NewPointsAway],Table2[GameDate], "&lt;=" &amp; $A100, Table2[AwayTeam], L$1)+SUMIFS(Table2[NewPointsHome],Table2[GameDate], "&lt;=" &amp; $A100, Table2[HomeTeam], L$1)</f>
        <v>12</v>
      </c>
      <c r="M100" s="145">
        <f>SUMIFS(Table2[NewPointsAway],Table2[GameDate], "&lt;=" &amp; $A100, Table2[AwayTeam], M$1)+SUMIFS(Table2[NewPointsHome],Table2[GameDate], "&lt;=" &amp; $A100, Table2[HomeTeam], M$1)</f>
        <v>11</v>
      </c>
      <c r="N100" s="145">
        <f>SUMIFS(Table2[NewPointsAway],Table2[GameDate], "&lt;=" &amp; $A100, Table2[AwayTeam], N$1)+SUMIFS(Table2[NewPointsHome],Table2[GameDate], "&lt;=" &amp; $A100, Table2[HomeTeam], N$1)</f>
        <v>13</v>
      </c>
      <c r="O100" s="145">
        <f>SUMIFS(Table2[NewPointsAway],Table2[GameDate], "&lt;=" &amp; $A100, Table2[AwayTeam], O$1)+SUMIFS(Table2[NewPointsHome],Table2[GameDate], "&lt;=" &amp; $A100, Table2[HomeTeam], O$1)</f>
        <v>9</v>
      </c>
      <c r="P100" s="145">
        <f>SUMIFS(Table2[NewPointsAway],Table2[GameDate], "&lt;=" &amp; $A100, Table2[AwayTeam], P$1)+SUMIFS(Table2[NewPointsHome],Table2[GameDate], "&lt;=" &amp; $A100, Table2[HomeTeam], P$1)</f>
        <v>16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10</v>
      </c>
      <c r="U100" s="145">
        <f>SUMIFS(Table2[NewPointsAway],Table2[GameDate], "&lt;=" &amp; $A100, Table2[AwayTeam], U$1)+SUMIFS(Table2[NewPointsHome],Table2[GameDate], "&lt;=" &amp; $A100, Table2[HomeTeam], U$1)</f>
        <v>11</v>
      </c>
      <c r="V100" s="145">
        <f>SUMIFS(Table2[NewPointsAway],Table2[GameDate], "&lt;=" &amp; $A100, Table2[AwayTeam], V$1)+SUMIFS(Table2[NewPointsHome],Table2[GameDate], "&lt;=" &amp; $A100, Table2[HomeTeam], V$1)</f>
        <v>11</v>
      </c>
      <c r="W100" s="145">
        <f>SUMIFS(Table2[NewPointsAway],Table2[GameDate], "&lt;=" &amp; $A100, Table2[AwayTeam], W$1)+SUMIFS(Table2[NewPointsHome],Table2[GameDate], "&lt;=" &amp; $A100, Table2[HomeTeam], W$1)</f>
        <v>16</v>
      </c>
      <c r="X100" s="145">
        <f>SUMIFS(Table2[NewPointsAway],Table2[GameDate], "&lt;=" &amp; $A100, Table2[AwayTeam], X$1)+SUMIFS(Table2[NewPointsHome],Table2[GameDate], "&lt;=" &amp; $A100, Table2[HomeTeam], X$1)</f>
        <v>13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10</v>
      </c>
      <c r="AB100" s="145">
        <f>SUMIFS(Table2[NewPointsAway],Table2[GameDate], "&lt;=" &amp; $A100, Table2[AwayTeam], AB$1)+SUMIFS(Table2[NewPointsHome],Table2[GameDate], "&lt;=" &amp; $A100, Table2[HomeTeam], AB$1)</f>
        <v>11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15</v>
      </c>
      <c r="AF100" s="145">
        <f>SUMIFS(Table2[NewPointsAway],Table2[GameDate], "&lt;=" &amp; $A100, Table2[AwayTeam], AF$1)+SUMIFS(Table2[NewPointsHome],Table2[GameDate], "&lt;=" &amp; $A100, Table2[HomeTeam], AF$1)</f>
        <v>14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11</v>
      </c>
      <c r="C101" s="145">
        <f>SUMIFS(Table2[NewPointsAway],Table2[GameDate], "&lt;=" &amp; $A101, Table2[AwayTeam], C$1)+SUMIFS(Table2[NewPointsHome],Table2[GameDate], "&lt;=" &amp; $A101, Table2[HomeTeam], C$1)</f>
        <v>10</v>
      </c>
      <c r="D101" s="145">
        <f>SUMIFS(Table2[NewPointsAway],Table2[GameDate], "&lt;=" &amp; $A101, Table2[AwayTeam], D$1)+SUMIFS(Table2[NewPointsHome],Table2[GameDate], "&lt;=" &amp; $A101, Table2[HomeTeam], D$1)</f>
        <v>10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12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12</v>
      </c>
      <c r="I101" s="145">
        <f>SUMIFS(Table2[NewPointsAway],Table2[GameDate], "&lt;=" &amp; $A101, Table2[AwayTeam], I$1)+SUMIFS(Table2[NewPointsHome],Table2[GameDate], "&lt;=" &amp; $A101, Table2[HomeTeam], I$1)</f>
        <v>16</v>
      </c>
      <c r="J101" s="145">
        <f>SUMIFS(Table2[NewPointsAway],Table2[GameDate], "&lt;=" &amp; $A101, Table2[AwayTeam], J$1)+SUMIFS(Table2[NewPointsHome],Table2[GameDate], "&lt;=" &amp; $A101, Table2[HomeTeam], J$1)</f>
        <v>13</v>
      </c>
      <c r="K101" s="145">
        <f>SUMIFS(Table2[NewPointsAway],Table2[GameDate], "&lt;=" &amp; $A101, Table2[AwayTeam], K$1)+SUMIFS(Table2[NewPointsHome],Table2[GameDate], "&lt;=" &amp; $A101, Table2[HomeTeam], K$1)</f>
        <v>14</v>
      </c>
      <c r="L101" s="145">
        <f>SUMIFS(Table2[NewPointsAway],Table2[GameDate], "&lt;=" &amp; $A101, Table2[AwayTeam], L$1)+SUMIFS(Table2[NewPointsHome],Table2[GameDate], "&lt;=" &amp; $A101, Table2[HomeTeam], L$1)</f>
        <v>12</v>
      </c>
      <c r="M101" s="145">
        <f>SUMIFS(Table2[NewPointsAway],Table2[GameDate], "&lt;=" &amp; $A101, Table2[AwayTeam], M$1)+SUMIFS(Table2[NewPointsHome],Table2[GameDate], "&lt;=" &amp; $A101, Table2[HomeTeam], M$1)</f>
        <v>11</v>
      </c>
      <c r="N101" s="145">
        <f>SUMIFS(Table2[NewPointsAway],Table2[GameDate], "&lt;=" &amp; $A101, Table2[AwayTeam], N$1)+SUMIFS(Table2[NewPointsHome],Table2[GameDate], "&lt;=" &amp; $A101, Table2[HomeTeam], N$1)</f>
        <v>13</v>
      </c>
      <c r="O101" s="145">
        <f>SUMIFS(Table2[NewPointsAway],Table2[GameDate], "&lt;=" &amp; $A101, Table2[AwayTeam], O$1)+SUMIFS(Table2[NewPointsHome],Table2[GameDate], "&lt;=" &amp; $A101, Table2[HomeTeam], O$1)</f>
        <v>9</v>
      </c>
      <c r="P101" s="145">
        <f>SUMIFS(Table2[NewPointsAway],Table2[GameDate], "&lt;=" &amp; $A101, Table2[AwayTeam], P$1)+SUMIFS(Table2[NewPointsHome],Table2[GameDate], "&lt;=" &amp; $A101, Table2[HomeTeam], P$1)</f>
        <v>16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10</v>
      </c>
      <c r="U101" s="145">
        <f>SUMIFS(Table2[NewPointsAway],Table2[GameDate], "&lt;=" &amp; $A101, Table2[AwayTeam], U$1)+SUMIFS(Table2[NewPointsHome],Table2[GameDate], "&lt;=" &amp; $A101, Table2[HomeTeam], U$1)</f>
        <v>11</v>
      </c>
      <c r="V101" s="145">
        <f>SUMIFS(Table2[NewPointsAway],Table2[GameDate], "&lt;=" &amp; $A101, Table2[AwayTeam], V$1)+SUMIFS(Table2[NewPointsHome],Table2[GameDate], "&lt;=" &amp; $A101, Table2[HomeTeam], V$1)</f>
        <v>11</v>
      </c>
      <c r="W101" s="145">
        <f>SUMIFS(Table2[NewPointsAway],Table2[GameDate], "&lt;=" &amp; $A101, Table2[AwayTeam], W$1)+SUMIFS(Table2[NewPointsHome],Table2[GameDate], "&lt;=" &amp; $A101, Table2[HomeTeam], W$1)</f>
        <v>16</v>
      </c>
      <c r="X101" s="145">
        <f>SUMIFS(Table2[NewPointsAway],Table2[GameDate], "&lt;=" &amp; $A101, Table2[AwayTeam], X$1)+SUMIFS(Table2[NewPointsHome],Table2[GameDate], "&lt;=" &amp; $A101, Table2[HomeTeam], X$1)</f>
        <v>13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10</v>
      </c>
      <c r="AB101" s="145">
        <f>SUMIFS(Table2[NewPointsAway],Table2[GameDate], "&lt;=" &amp; $A101, Table2[AwayTeam], AB$1)+SUMIFS(Table2[NewPointsHome],Table2[GameDate], "&lt;=" &amp; $A101, Table2[HomeTeam], AB$1)</f>
        <v>11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15</v>
      </c>
      <c r="AF101" s="145">
        <f>SUMIFS(Table2[NewPointsAway],Table2[GameDate], "&lt;=" &amp; $A101, Table2[AwayTeam], AF$1)+SUMIFS(Table2[NewPointsHome],Table2[GameDate], "&lt;=" &amp; $A101, Table2[HomeTeam], AF$1)</f>
        <v>14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11</v>
      </c>
      <c r="C102" s="145">
        <f>SUMIFS(Table2[NewPointsAway],Table2[GameDate], "&lt;=" &amp; $A102, Table2[AwayTeam], C$1)+SUMIFS(Table2[NewPointsHome],Table2[GameDate], "&lt;=" &amp; $A102, Table2[HomeTeam], C$1)</f>
        <v>10</v>
      </c>
      <c r="D102" s="145">
        <f>SUMIFS(Table2[NewPointsAway],Table2[GameDate], "&lt;=" &amp; $A102, Table2[AwayTeam], D$1)+SUMIFS(Table2[NewPointsHome],Table2[GameDate], "&lt;=" &amp; $A102, Table2[HomeTeam], D$1)</f>
        <v>10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12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12</v>
      </c>
      <c r="I102" s="145">
        <f>SUMIFS(Table2[NewPointsAway],Table2[GameDate], "&lt;=" &amp; $A102, Table2[AwayTeam], I$1)+SUMIFS(Table2[NewPointsHome],Table2[GameDate], "&lt;=" &amp; $A102, Table2[HomeTeam], I$1)</f>
        <v>16</v>
      </c>
      <c r="J102" s="145">
        <f>SUMIFS(Table2[NewPointsAway],Table2[GameDate], "&lt;=" &amp; $A102, Table2[AwayTeam], J$1)+SUMIFS(Table2[NewPointsHome],Table2[GameDate], "&lt;=" &amp; $A102, Table2[HomeTeam], J$1)</f>
        <v>13</v>
      </c>
      <c r="K102" s="145">
        <f>SUMIFS(Table2[NewPointsAway],Table2[GameDate], "&lt;=" &amp; $A102, Table2[AwayTeam], K$1)+SUMIFS(Table2[NewPointsHome],Table2[GameDate], "&lt;=" &amp; $A102, Table2[HomeTeam], K$1)</f>
        <v>14</v>
      </c>
      <c r="L102" s="145">
        <f>SUMIFS(Table2[NewPointsAway],Table2[GameDate], "&lt;=" &amp; $A102, Table2[AwayTeam], L$1)+SUMIFS(Table2[NewPointsHome],Table2[GameDate], "&lt;=" &amp; $A102, Table2[HomeTeam], L$1)</f>
        <v>12</v>
      </c>
      <c r="M102" s="145">
        <f>SUMIFS(Table2[NewPointsAway],Table2[GameDate], "&lt;=" &amp; $A102, Table2[AwayTeam], M$1)+SUMIFS(Table2[NewPointsHome],Table2[GameDate], "&lt;=" &amp; $A102, Table2[HomeTeam], M$1)</f>
        <v>11</v>
      </c>
      <c r="N102" s="145">
        <f>SUMIFS(Table2[NewPointsAway],Table2[GameDate], "&lt;=" &amp; $A102, Table2[AwayTeam], N$1)+SUMIFS(Table2[NewPointsHome],Table2[GameDate], "&lt;=" &amp; $A102, Table2[HomeTeam], N$1)</f>
        <v>13</v>
      </c>
      <c r="O102" s="145">
        <f>SUMIFS(Table2[NewPointsAway],Table2[GameDate], "&lt;=" &amp; $A102, Table2[AwayTeam], O$1)+SUMIFS(Table2[NewPointsHome],Table2[GameDate], "&lt;=" &amp; $A102, Table2[HomeTeam], O$1)</f>
        <v>9</v>
      </c>
      <c r="P102" s="145">
        <f>SUMIFS(Table2[NewPointsAway],Table2[GameDate], "&lt;=" &amp; $A102, Table2[AwayTeam], P$1)+SUMIFS(Table2[NewPointsHome],Table2[GameDate], "&lt;=" &amp; $A102, Table2[HomeTeam], P$1)</f>
        <v>16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10</v>
      </c>
      <c r="U102" s="145">
        <f>SUMIFS(Table2[NewPointsAway],Table2[GameDate], "&lt;=" &amp; $A102, Table2[AwayTeam], U$1)+SUMIFS(Table2[NewPointsHome],Table2[GameDate], "&lt;=" &amp; $A102, Table2[HomeTeam], U$1)</f>
        <v>11</v>
      </c>
      <c r="V102" s="145">
        <f>SUMIFS(Table2[NewPointsAway],Table2[GameDate], "&lt;=" &amp; $A102, Table2[AwayTeam], V$1)+SUMIFS(Table2[NewPointsHome],Table2[GameDate], "&lt;=" &amp; $A102, Table2[HomeTeam], V$1)</f>
        <v>11</v>
      </c>
      <c r="W102" s="145">
        <f>SUMIFS(Table2[NewPointsAway],Table2[GameDate], "&lt;=" &amp; $A102, Table2[AwayTeam], W$1)+SUMIFS(Table2[NewPointsHome],Table2[GameDate], "&lt;=" &amp; $A102, Table2[HomeTeam], W$1)</f>
        <v>16</v>
      </c>
      <c r="X102" s="145">
        <f>SUMIFS(Table2[NewPointsAway],Table2[GameDate], "&lt;=" &amp; $A102, Table2[AwayTeam], X$1)+SUMIFS(Table2[NewPointsHome],Table2[GameDate], "&lt;=" &amp; $A102, Table2[HomeTeam], X$1)</f>
        <v>13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10</v>
      </c>
      <c r="AB102" s="145">
        <f>SUMIFS(Table2[NewPointsAway],Table2[GameDate], "&lt;=" &amp; $A102, Table2[AwayTeam], AB$1)+SUMIFS(Table2[NewPointsHome],Table2[GameDate], "&lt;=" &amp; $A102, Table2[HomeTeam], AB$1)</f>
        <v>11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15</v>
      </c>
      <c r="AF102" s="145">
        <f>SUMIFS(Table2[NewPointsAway],Table2[GameDate], "&lt;=" &amp; $A102, Table2[AwayTeam], AF$1)+SUMIFS(Table2[NewPointsHome],Table2[GameDate], "&lt;=" &amp; $A102, Table2[HomeTeam], AF$1)</f>
        <v>14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11</v>
      </c>
      <c r="C103" s="145">
        <f>SUMIFS(Table2[NewPointsAway],Table2[GameDate], "&lt;=" &amp; $A103, Table2[AwayTeam], C$1)+SUMIFS(Table2[NewPointsHome],Table2[GameDate], "&lt;=" &amp; $A103, Table2[HomeTeam], C$1)</f>
        <v>10</v>
      </c>
      <c r="D103" s="145">
        <f>SUMIFS(Table2[NewPointsAway],Table2[GameDate], "&lt;=" &amp; $A103, Table2[AwayTeam], D$1)+SUMIFS(Table2[NewPointsHome],Table2[GameDate], "&lt;=" &amp; $A103, Table2[HomeTeam], D$1)</f>
        <v>10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12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12</v>
      </c>
      <c r="I103" s="145">
        <f>SUMIFS(Table2[NewPointsAway],Table2[GameDate], "&lt;=" &amp; $A103, Table2[AwayTeam], I$1)+SUMIFS(Table2[NewPointsHome],Table2[GameDate], "&lt;=" &amp; $A103, Table2[HomeTeam], I$1)</f>
        <v>16</v>
      </c>
      <c r="J103" s="145">
        <f>SUMIFS(Table2[NewPointsAway],Table2[GameDate], "&lt;=" &amp; $A103, Table2[AwayTeam], J$1)+SUMIFS(Table2[NewPointsHome],Table2[GameDate], "&lt;=" &amp; $A103, Table2[HomeTeam], J$1)</f>
        <v>13</v>
      </c>
      <c r="K103" s="145">
        <f>SUMIFS(Table2[NewPointsAway],Table2[GameDate], "&lt;=" &amp; $A103, Table2[AwayTeam], K$1)+SUMIFS(Table2[NewPointsHome],Table2[GameDate], "&lt;=" &amp; $A103, Table2[HomeTeam], K$1)</f>
        <v>14</v>
      </c>
      <c r="L103" s="145">
        <f>SUMIFS(Table2[NewPointsAway],Table2[GameDate], "&lt;=" &amp; $A103, Table2[AwayTeam], L$1)+SUMIFS(Table2[NewPointsHome],Table2[GameDate], "&lt;=" &amp; $A103, Table2[HomeTeam], L$1)</f>
        <v>12</v>
      </c>
      <c r="M103" s="145">
        <f>SUMIFS(Table2[NewPointsAway],Table2[GameDate], "&lt;=" &amp; $A103, Table2[AwayTeam], M$1)+SUMIFS(Table2[NewPointsHome],Table2[GameDate], "&lt;=" &amp; $A103, Table2[HomeTeam], M$1)</f>
        <v>11</v>
      </c>
      <c r="N103" s="145">
        <f>SUMIFS(Table2[NewPointsAway],Table2[GameDate], "&lt;=" &amp; $A103, Table2[AwayTeam], N$1)+SUMIFS(Table2[NewPointsHome],Table2[GameDate], "&lt;=" &amp; $A103, Table2[HomeTeam], N$1)</f>
        <v>13</v>
      </c>
      <c r="O103" s="145">
        <f>SUMIFS(Table2[NewPointsAway],Table2[GameDate], "&lt;=" &amp; $A103, Table2[AwayTeam], O$1)+SUMIFS(Table2[NewPointsHome],Table2[GameDate], "&lt;=" &amp; $A103, Table2[HomeTeam], O$1)</f>
        <v>9</v>
      </c>
      <c r="P103" s="145">
        <f>SUMIFS(Table2[NewPointsAway],Table2[GameDate], "&lt;=" &amp; $A103, Table2[AwayTeam], P$1)+SUMIFS(Table2[NewPointsHome],Table2[GameDate], "&lt;=" &amp; $A103, Table2[HomeTeam], P$1)</f>
        <v>16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10</v>
      </c>
      <c r="U103" s="145">
        <f>SUMIFS(Table2[NewPointsAway],Table2[GameDate], "&lt;=" &amp; $A103, Table2[AwayTeam], U$1)+SUMIFS(Table2[NewPointsHome],Table2[GameDate], "&lt;=" &amp; $A103, Table2[HomeTeam], U$1)</f>
        <v>11</v>
      </c>
      <c r="V103" s="145">
        <f>SUMIFS(Table2[NewPointsAway],Table2[GameDate], "&lt;=" &amp; $A103, Table2[AwayTeam], V$1)+SUMIFS(Table2[NewPointsHome],Table2[GameDate], "&lt;=" &amp; $A103, Table2[HomeTeam], V$1)</f>
        <v>11</v>
      </c>
      <c r="W103" s="145">
        <f>SUMIFS(Table2[NewPointsAway],Table2[GameDate], "&lt;=" &amp; $A103, Table2[AwayTeam], W$1)+SUMIFS(Table2[NewPointsHome],Table2[GameDate], "&lt;=" &amp; $A103, Table2[HomeTeam], W$1)</f>
        <v>16</v>
      </c>
      <c r="X103" s="145">
        <f>SUMIFS(Table2[NewPointsAway],Table2[GameDate], "&lt;=" &amp; $A103, Table2[AwayTeam], X$1)+SUMIFS(Table2[NewPointsHome],Table2[GameDate], "&lt;=" &amp; $A103, Table2[HomeTeam], X$1)</f>
        <v>13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10</v>
      </c>
      <c r="AB103" s="145">
        <f>SUMIFS(Table2[NewPointsAway],Table2[GameDate], "&lt;=" &amp; $A103, Table2[AwayTeam], AB$1)+SUMIFS(Table2[NewPointsHome],Table2[GameDate], "&lt;=" &amp; $A103, Table2[HomeTeam], AB$1)</f>
        <v>11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15</v>
      </c>
      <c r="AF103" s="145">
        <f>SUMIFS(Table2[NewPointsAway],Table2[GameDate], "&lt;=" &amp; $A103, Table2[AwayTeam], AF$1)+SUMIFS(Table2[NewPointsHome],Table2[GameDate], "&lt;=" &amp; $A103, Table2[HomeTeam], AF$1)</f>
        <v>14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11</v>
      </c>
      <c r="C104" s="145">
        <f>SUMIFS(Table2[NewPointsAway],Table2[GameDate], "&lt;=" &amp; $A104, Table2[AwayTeam], C$1)+SUMIFS(Table2[NewPointsHome],Table2[GameDate], "&lt;=" &amp; $A104, Table2[HomeTeam], C$1)</f>
        <v>10</v>
      </c>
      <c r="D104" s="145">
        <f>SUMIFS(Table2[NewPointsAway],Table2[GameDate], "&lt;=" &amp; $A104, Table2[AwayTeam], D$1)+SUMIFS(Table2[NewPointsHome],Table2[GameDate], "&lt;=" &amp; $A104, Table2[HomeTeam], D$1)</f>
        <v>10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12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12</v>
      </c>
      <c r="I104" s="145">
        <f>SUMIFS(Table2[NewPointsAway],Table2[GameDate], "&lt;=" &amp; $A104, Table2[AwayTeam], I$1)+SUMIFS(Table2[NewPointsHome],Table2[GameDate], "&lt;=" &amp; $A104, Table2[HomeTeam], I$1)</f>
        <v>16</v>
      </c>
      <c r="J104" s="145">
        <f>SUMIFS(Table2[NewPointsAway],Table2[GameDate], "&lt;=" &amp; $A104, Table2[AwayTeam], J$1)+SUMIFS(Table2[NewPointsHome],Table2[GameDate], "&lt;=" &amp; $A104, Table2[HomeTeam], J$1)</f>
        <v>13</v>
      </c>
      <c r="K104" s="145">
        <f>SUMIFS(Table2[NewPointsAway],Table2[GameDate], "&lt;=" &amp; $A104, Table2[AwayTeam], K$1)+SUMIFS(Table2[NewPointsHome],Table2[GameDate], "&lt;=" &amp; $A104, Table2[HomeTeam], K$1)</f>
        <v>14</v>
      </c>
      <c r="L104" s="145">
        <f>SUMIFS(Table2[NewPointsAway],Table2[GameDate], "&lt;=" &amp; $A104, Table2[AwayTeam], L$1)+SUMIFS(Table2[NewPointsHome],Table2[GameDate], "&lt;=" &amp; $A104, Table2[HomeTeam], L$1)</f>
        <v>12</v>
      </c>
      <c r="M104" s="145">
        <f>SUMIFS(Table2[NewPointsAway],Table2[GameDate], "&lt;=" &amp; $A104, Table2[AwayTeam], M$1)+SUMIFS(Table2[NewPointsHome],Table2[GameDate], "&lt;=" &amp; $A104, Table2[HomeTeam], M$1)</f>
        <v>11</v>
      </c>
      <c r="N104" s="145">
        <f>SUMIFS(Table2[NewPointsAway],Table2[GameDate], "&lt;=" &amp; $A104, Table2[AwayTeam], N$1)+SUMIFS(Table2[NewPointsHome],Table2[GameDate], "&lt;=" &amp; $A104, Table2[HomeTeam], N$1)</f>
        <v>13</v>
      </c>
      <c r="O104" s="145">
        <f>SUMIFS(Table2[NewPointsAway],Table2[GameDate], "&lt;=" &amp; $A104, Table2[AwayTeam], O$1)+SUMIFS(Table2[NewPointsHome],Table2[GameDate], "&lt;=" &amp; $A104, Table2[HomeTeam], O$1)</f>
        <v>9</v>
      </c>
      <c r="P104" s="145">
        <f>SUMIFS(Table2[NewPointsAway],Table2[GameDate], "&lt;=" &amp; $A104, Table2[AwayTeam], P$1)+SUMIFS(Table2[NewPointsHome],Table2[GameDate], "&lt;=" &amp; $A104, Table2[HomeTeam], P$1)</f>
        <v>16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10</v>
      </c>
      <c r="U104" s="145">
        <f>SUMIFS(Table2[NewPointsAway],Table2[GameDate], "&lt;=" &amp; $A104, Table2[AwayTeam], U$1)+SUMIFS(Table2[NewPointsHome],Table2[GameDate], "&lt;=" &amp; $A104, Table2[HomeTeam], U$1)</f>
        <v>11</v>
      </c>
      <c r="V104" s="145">
        <f>SUMIFS(Table2[NewPointsAway],Table2[GameDate], "&lt;=" &amp; $A104, Table2[AwayTeam], V$1)+SUMIFS(Table2[NewPointsHome],Table2[GameDate], "&lt;=" &amp; $A104, Table2[HomeTeam], V$1)</f>
        <v>11</v>
      </c>
      <c r="W104" s="145">
        <f>SUMIFS(Table2[NewPointsAway],Table2[GameDate], "&lt;=" &amp; $A104, Table2[AwayTeam], W$1)+SUMIFS(Table2[NewPointsHome],Table2[GameDate], "&lt;=" &amp; $A104, Table2[HomeTeam], W$1)</f>
        <v>16</v>
      </c>
      <c r="X104" s="145">
        <f>SUMIFS(Table2[NewPointsAway],Table2[GameDate], "&lt;=" &amp; $A104, Table2[AwayTeam], X$1)+SUMIFS(Table2[NewPointsHome],Table2[GameDate], "&lt;=" &amp; $A104, Table2[HomeTeam], X$1)</f>
        <v>13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10</v>
      </c>
      <c r="AB104" s="145">
        <f>SUMIFS(Table2[NewPointsAway],Table2[GameDate], "&lt;=" &amp; $A104, Table2[AwayTeam], AB$1)+SUMIFS(Table2[NewPointsHome],Table2[GameDate], "&lt;=" &amp; $A104, Table2[HomeTeam], AB$1)</f>
        <v>11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15</v>
      </c>
      <c r="AF104" s="145">
        <f>SUMIFS(Table2[NewPointsAway],Table2[GameDate], "&lt;=" &amp; $A104, Table2[AwayTeam], AF$1)+SUMIFS(Table2[NewPointsHome],Table2[GameDate], "&lt;=" &amp; $A104, Table2[HomeTeam], AF$1)</f>
        <v>14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11</v>
      </c>
      <c r="C105" s="145">
        <f>SUMIFS(Table2[NewPointsAway],Table2[GameDate], "&lt;=" &amp; $A105, Table2[AwayTeam], C$1)+SUMIFS(Table2[NewPointsHome],Table2[GameDate], "&lt;=" &amp; $A105, Table2[HomeTeam], C$1)</f>
        <v>10</v>
      </c>
      <c r="D105" s="145">
        <f>SUMIFS(Table2[NewPointsAway],Table2[GameDate], "&lt;=" &amp; $A105, Table2[AwayTeam], D$1)+SUMIFS(Table2[NewPointsHome],Table2[GameDate], "&lt;=" &amp; $A105, Table2[HomeTeam], D$1)</f>
        <v>10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12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12</v>
      </c>
      <c r="I105" s="145">
        <f>SUMIFS(Table2[NewPointsAway],Table2[GameDate], "&lt;=" &amp; $A105, Table2[AwayTeam], I$1)+SUMIFS(Table2[NewPointsHome],Table2[GameDate], "&lt;=" &amp; $A105, Table2[HomeTeam], I$1)</f>
        <v>16</v>
      </c>
      <c r="J105" s="145">
        <f>SUMIFS(Table2[NewPointsAway],Table2[GameDate], "&lt;=" &amp; $A105, Table2[AwayTeam], J$1)+SUMIFS(Table2[NewPointsHome],Table2[GameDate], "&lt;=" &amp; $A105, Table2[HomeTeam], J$1)</f>
        <v>13</v>
      </c>
      <c r="K105" s="145">
        <f>SUMIFS(Table2[NewPointsAway],Table2[GameDate], "&lt;=" &amp; $A105, Table2[AwayTeam], K$1)+SUMIFS(Table2[NewPointsHome],Table2[GameDate], "&lt;=" &amp; $A105, Table2[HomeTeam], K$1)</f>
        <v>14</v>
      </c>
      <c r="L105" s="145">
        <f>SUMIFS(Table2[NewPointsAway],Table2[GameDate], "&lt;=" &amp; $A105, Table2[AwayTeam], L$1)+SUMIFS(Table2[NewPointsHome],Table2[GameDate], "&lt;=" &amp; $A105, Table2[HomeTeam], L$1)</f>
        <v>12</v>
      </c>
      <c r="M105" s="145">
        <f>SUMIFS(Table2[NewPointsAway],Table2[GameDate], "&lt;=" &amp; $A105, Table2[AwayTeam], M$1)+SUMIFS(Table2[NewPointsHome],Table2[GameDate], "&lt;=" &amp; $A105, Table2[HomeTeam], M$1)</f>
        <v>11</v>
      </c>
      <c r="N105" s="145">
        <f>SUMIFS(Table2[NewPointsAway],Table2[GameDate], "&lt;=" &amp; $A105, Table2[AwayTeam], N$1)+SUMIFS(Table2[NewPointsHome],Table2[GameDate], "&lt;=" &amp; $A105, Table2[HomeTeam], N$1)</f>
        <v>13</v>
      </c>
      <c r="O105" s="145">
        <f>SUMIFS(Table2[NewPointsAway],Table2[GameDate], "&lt;=" &amp; $A105, Table2[AwayTeam], O$1)+SUMIFS(Table2[NewPointsHome],Table2[GameDate], "&lt;=" &amp; $A105, Table2[HomeTeam], O$1)</f>
        <v>9</v>
      </c>
      <c r="P105" s="145">
        <f>SUMIFS(Table2[NewPointsAway],Table2[GameDate], "&lt;=" &amp; $A105, Table2[AwayTeam], P$1)+SUMIFS(Table2[NewPointsHome],Table2[GameDate], "&lt;=" &amp; $A105, Table2[HomeTeam], P$1)</f>
        <v>16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10</v>
      </c>
      <c r="U105" s="145">
        <f>SUMIFS(Table2[NewPointsAway],Table2[GameDate], "&lt;=" &amp; $A105, Table2[AwayTeam], U$1)+SUMIFS(Table2[NewPointsHome],Table2[GameDate], "&lt;=" &amp; $A105, Table2[HomeTeam], U$1)</f>
        <v>11</v>
      </c>
      <c r="V105" s="145">
        <f>SUMIFS(Table2[NewPointsAway],Table2[GameDate], "&lt;=" &amp; $A105, Table2[AwayTeam], V$1)+SUMIFS(Table2[NewPointsHome],Table2[GameDate], "&lt;=" &amp; $A105, Table2[HomeTeam], V$1)</f>
        <v>11</v>
      </c>
      <c r="W105" s="145">
        <f>SUMIFS(Table2[NewPointsAway],Table2[GameDate], "&lt;=" &amp; $A105, Table2[AwayTeam], W$1)+SUMIFS(Table2[NewPointsHome],Table2[GameDate], "&lt;=" &amp; $A105, Table2[HomeTeam], W$1)</f>
        <v>16</v>
      </c>
      <c r="X105" s="145">
        <f>SUMIFS(Table2[NewPointsAway],Table2[GameDate], "&lt;=" &amp; $A105, Table2[AwayTeam], X$1)+SUMIFS(Table2[NewPointsHome],Table2[GameDate], "&lt;=" &amp; $A105, Table2[HomeTeam], X$1)</f>
        <v>13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10</v>
      </c>
      <c r="AB105" s="145">
        <f>SUMIFS(Table2[NewPointsAway],Table2[GameDate], "&lt;=" &amp; $A105, Table2[AwayTeam], AB$1)+SUMIFS(Table2[NewPointsHome],Table2[GameDate], "&lt;=" &amp; $A105, Table2[HomeTeam], AB$1)</f>
        <v>11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15</v>
      </c>
      <c r="AF105" s="145">
        <f>SUMIFS(Table2[NewPointsAway],Table2[GameDate], "&lt;=" &amp; $A105, Table2[AwayTeam], AF$1)+SUMIFS(Table2[NewPointsHome],Table2[GameDate], "&lt;=" &amp; $A105, Table2[HomeTeam], AF$1)</f>
        <v>14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11</v>
      </c>
      <c r="C106" s="145">
        <f>SUMIFS(Table2[NewPointsAway],Table2[GameDate], "&lt;=" &amp; $A106, Table2[AwayTeam], C$1)+SUMIFS(Table2[NewPointsHome],Table2[GameDate], "&lt;=" &amp; $A106, Table2[HomeTeam], C$1)</f>
        <v>10</v>
      </c>
      <c r="D106" s="145">
        <f>SUMIFS(Table2[NewPointsAway],Table2[GameDate], "&lt;=" &amp; $A106, Table2[AwayTeam], D$1)+SUMIFS(Table2[NewPointsHome],Table2[GameDate], "&lt;=" &amp; $A106, Table2[HomeTeam], D$1)</f>
        <v>10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12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12</v>
      </c>
      <c r="I106" s="145">
        <f>SUMIFS(Table2[NewPointsAway],Table2[GameDate], "&lt;=" &amp; $A106, Table2[AwayTeam], I$1)+SUMIFS(Table2[NewPointsHome],Table2[GameDate], "&lt;=" &amp; $A106, Table2[HomeTeam], I$1)</f>
        <v>16</v>
      </c>
      <c r="J106" s="145">
        <f>SUMIFS(Table2[NewPointsAway],Table2[GameDate], "&lt;=" &amp; $A106, Table2[AwayTeam], J$1)+SUMIFS(Table2[NewPointsHome],Table2[GameDate], "&lt;=" &amp; $A106, Table2[HomeTeam], J$1)</f>
        <v>13</v>
      </c>
      <c r="K106" s="145">
        <f>SUMIFS(Table2[NewPointsAway],Table2[GameDate], "&lt;=" &amp; $A106, Table2[AwayTeam], K$1)+SUMIFS(Table2[NewPointsHome],Table2[GameDate], "&lt;=" &amp; $A106, Table2[HomeTeam], K$1)</f>
        <v>14</v>
      </c>
      <c r="L106" s="145">
        <f>SUMIFS(Table2[NewPointsAway],Table2[GameDate], "&lt;=" &amp; $A106, Table2[AwayTeam], L$1)+SUMIFS(Table2[NewPointsHome],Table2[GameDate], "&lt;=" &amp; $A106, Table2[HomeTeam], L$1)</f>
        <v>12</v>
      </c>
      <c r="M106" s="145">
        <f>SUMIFS(Table2[NewPointsAway],Table2[GameDate], "&lt;=" &amp; $A106, Table2[AwayTeam], M$1)+SUMIFS(Table2[NewPointsHome],Table2[GameDate], "&lt;=" &amp; $A106, Table2[HomeTeam], M$1)</f>
        <v>11</v>
      </c>
      <c r="N106" s="145">
        <f>SUMIFS(Table2[NewPointsAway],Table2[GameDate], "&lt;=" &amp; $A106, Table2[AwayTeam], N$1)+SUMIFS(Table2[NewPointsHome],Table2[GameDate], "&lt;=" &amp; $A106, Table2[HomeTeam], N$1)</f>
        <v>13</v>
      </c>
      <c r="O106" s="145">
        <f>SUMIFS(Table2[NewPointsAway],Table2[GameDate], "&lt;=" &amp; $A106, Table2[AwayTeam], O$1)+SUMIFS(Table2[NewPointsHome],Table2[GameDate], "&lt;=" &amp; $A106, Table2[HomeTeam], O$1)</f>
        <v>9</v>
      </c>
      <c r="P106" s="145">
        <f>SUMIFS(Table2[NewPointsAway],Table2[GameDate], "&lt;=" &amp; $A106, Table2[AwayTeam], P$1)+SUMIFS(Table2[NewPointsHome],Table2[GameDate], "&lt;=" &amp; $A106, Table2[HomeTeam], P$1)</f>
        <v>16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10</v>
      </c>
      <c r="U106" s="145">
        <f>SUMIFS(Table2[NewPointsAway],Table2[GameDate], "&lt;=" &amp; $A106, Table2[AwayTeam], U$1)+SUMIFS(Table2[NewPointsHome],Table2[GameDate], "&lt;=" &amp; $A106, Table2[HomeTeam], U$1)</f>
        <v>11</v>
      </c>
      <c r="V106" s="145">
        <f>SUMIFS(Table2[NewPointsAway],Table2[GameDate], "&lt;=" &amp; $A106, Table2[AwayTeam], V$1)+SUMIFS(Table2[NewPointsHome],Table2[GameDate], "&lt;=" &amp; $A106, Table2[HomeTeam], V$1)</f>
        <v>11</v>
      </c>
      <c r="W106" s="145">
        <f>SUMIFS(Table2[NewPointsAway],Table2[GameDate], "&lt;=" &amp; $A106, Table2[AwayTeam], W$1)+SUMIFS(Table2[NewPointsHome],Table2[GameDate], "&lt;=" &amp; $A106, Table2[HomeTeam], W$1)</f>
        <v>16</v>
      </c>
      <c r="X106" s="145">
        <f>SUMIFS(Table2[NewPointsAway],Table2[GameDate], "&lt;=" &amp; $A106, Table2[AwayTeam], X$1)+SUMIFS(Table2[NewPointsHome],Table2[GameDate], "&lt;=" &amp; $A106, Table2[HomeTeam], X$1)</f>
        <v>13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10</v>
      </c>
      <c r="AB106" s="145">
        <f>SUMIFS(Table2[NewPointsAway],Table2[GameDate], "&lt;=" &amp; $A106, Table2[AwayTeam], AB$1)+SUMIFS(Table2[NewPointsHome],Table2[GameDate], "&lt;=" &amp; $A106, Table2[HomeTeam], AB$1)</f>
        <v>11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15</v>
      </c>
      <c r="AF106" s="145">
        <f>SUMIFS(Table2[NewPointsAway],Table2[GameDate], "&lt;=" &amp; $A106, Table2[AwayTeam], AF$1)+SUMIFS(Table2[NewPointsHome],Table2[GameDate], "&lt;=" &amp; $A106, Table2[HomeTeam], AF$1)</f>
        <v>14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11</v>
      </c>
      <c r="C107" s="145">
        <f>SUMIFS(Table2[NewPointsAway],Table2[GameDate], "&lt;=" &amp; $A107, Table2[AwayTeam], C$1)+SUMIFS(Table2[NewPointsHome],Table2[GameDate], "&lt;=" &amp; $A107, Table2[HomeTeam], C$1)</f>
        <v>10</v>
      </c>
      <c r="D107" s="145">
        <f>SUMIFS(Table2[NewPointsAway],Table2[GameDate], "&lt;=" &amp; $A107, Table2[AwayTeam], D$1)+SUMIFS(Table2[NewPointsHome],Table2[GameDate], "&lt;=" &amp; $A107, Table2[HomeTeam], D$1)</f>
        <v>10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12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12</v>
      </c>
      <c r="I107" s="145">
        <f>SUMIFS(Table2[NewPointsAway],Table2[GameDate], "&lt;=" &amp; $A107, Table2[AwayTeam], I$1)+SUMIFS(Table2[NewPointsHome],Table2[GameDate], "&lt;=" &amp; $A107, Table2[HomeTeam], I$1)</f>
        <v>16</v>
      </c>
      <c r="J107" s="145">
        <f>SUMIFS(Table2[NewPointsAway],Table2[GameDate], "&lt;=" &amp; $A107, Table2[AwayTeam], J$1)+SUMIFS(Table2[NewPointsHome],Table2[GameDate], "&lt;=" &amp; $A107, Table2[HomeTeam], J$1)</f>
        <v>13</v>
      </c>
      <c r="K107" s="145">
        <f>SUMIFS(Table2[NewPointsAway],Table2[GameDate], "&lt;=" &amp; $A107, Table2[AwayTeam], K$1)+SUMIFS(Table2[NewPointsHome],Table2[GameDate], "&lt;=" &amp; $A107, Table2[HomeTeam], K$1)</f>
        <v>14</v>
      </c>
      <c r="L107" s="145">
        <f>SUMIFS(Table2[NewPointsAway],Table2[GameDate], "&lt;=" &amp; $A107, Table2[AwayTeam], L$1)+SUMIFS(Table2[NewPointsHome],Table2[GameDate], "&lt;=" &amp; $A107, Table2[HomeTeam], L$1)</f>
        <v>12</v>
      </c>
      <c r="M107" s="145">
        <f>SUMIFS(Table2[NewPointsAway],Table2[GameDate], "&lt;=" &amp; $A107, Table2[AwayTeam], M$1)+SUMIFS(Table2[NewPointsHome],Table2[GameDate], "&lt;=" &amp; $A107, Table2[HomeTeam], M$1)</f>
        <v>11</v>
      </c>
      <c r="N107" s="145">
        <f>SUMIFS(Table2[NewPointsAway],Table2[GameDate], "&lt;=" &amp; $A107, Table2[AwayTeam], N$1)+SUMIFS(Table2[NewPointsHome],Table2[GameDate], "&lt;=" &amp; $A107, Table2[HomeTeam], N$1)</f>
        <v>13</v>
      </c>
      <c r="O107" s="145">
        <f>SUMIFS(Table2[NewPointsAway],Table2[GameDate], "&lt;=" &amp; $A107, Table2[AwayTeam], O$1)+SUMIFS(Table2[NewPointsHome],Table2[GameDate], "&lt;=" &amp; $A107, Table2[HomeTeam], O$1)</f>
        <v>9</v>
      </c>
      <c r="P107" s="145">
        <f>SUMIFS(Table2[NewPointsAway],Table2[GameDate], "&lt;=" &amp; $A107, Table2[AwayTeam], P$1)+SUMIFS(Table2[NewPointsHome],Table2[GameDate], "&lt;=" &amp; $A107, Table2[HomeTeam], P$1)</f>
        <v>16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10</v>
      </c>
      <c r="U107" s="145">
        <f>SUMIFS(Table2[NewPointsAway],Table2[GameDate], "&lt;=" &amp; $A107, Table2[AwayTeam], U$1)+SUMIFS(Table2[NewPointsHome],Table2[GameDate], "&lt;=" &amp; $A107, Table2[HomeTeam], U$1)</f>
        <v>11</v>
      </c>
      <c r="V107" s="145">
        <f>SUMIFS(Table2[NewPointsAway],Table2[GameDate], "&lt;=" &amp; $A107, Table2[AwayTeam], V$1)+SUMIFS(Table2[NewPointsHome],Table2[GameDate], "&lt;=" &amp; $A107, Table2[HomeTeam], V$1)</f>
        <v>11</v>
      </c>
      <c r="W107" s="145">
        <f>SUMIFS(Table2[NewPointsAway],Table2[GameDate], "&lt;=" &amp; $A107, Table2[AwayTeam], W$1)+SUMIFS(Table2[NewPointsHome],Table2[GameDate], "&lt;=" &amp; $A107, Table2[HomeTeam], W$1)</f>
        <v>16</v>
      </c>
      <c r="X107" s="145">
        <f>SUMIFS(Table2[NewPointsAway],Table2[GameDate], "&lt;=" &amp; $A107, Table2[AwayTeam], X$1)+SUMIFS(Table2[NewPointsHome],Table2[GameDate], "&lt;=" &amp; $A107, Table2[HomeTeam], X$1)</f>
        <v>13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10</v>
      </c>
      <c r="AB107" s="145">
        <f>SUMIFS(Table2[NewPointsAway],Table2[GameDate], "&lt;=" &amp; $A107, Table2[AwayTeam], AB$1)+SUMIFS(Table2[NewPointsHome],Table2[GameDate], "&lt;=" &amp; $A107, Table2[HomeTeam], AB$1)</f>
        <v>11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15</v>
      </c>
      <c r="AF107" s="145">
        <f>SUMIFS(Table2[NewPointsAway],Table2[GameDate], "&lt;=" &amp; $A107, Table2[AwayTeam], AF$1)+SUMIFS(Table2[NewPointsHome],Table2[GameDate], "&lt;=" &amp; $A107, Table2[HomeTeam], AF$1)</f>
        <v>14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11</v>
      </c>
      <c r="C108" s="145">
        <f>SUMIFS(Table2[NewPointsAway],Table2[GameDate], "&lt;=" &amp; $A108, Table2[AwayTeam], C$1)+SUMIFS(Table2[NewPointsHome],Table2[GameDate], "&lt;=" &amp; $A108, Table2[HomeTeam], C$1)</f>
        <v>10</v>
      </c>
      <c r="D108" s="145">
        <f>SUMIFS(Table2[NewPointsAway],Table2[GameDate], "&lt;=" &amp; $A108, Table2[AwayTeam], D$1)+SUMIFS(Table2[NewPointsHome],Table2[GameDate], "&lt;=" &amp; $A108, Table2[HomeTeam], D$1)</f>
        <v>10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12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12</v>
      </c>
      <c r="I108" s="145">
        <f>SUMIFS(Table2[NewPointsAway],Table2[GameDate], "&lt;=" &amp; $A108, Table2[AwayTeam], I$1)+SUMIFS(Table2[NewPointsHome],Table2[GameDate], "&lt;=" &amp; $A108, Table2[HomeTeam], I$1)</f>
        <v>16</v>
      </c>
      <c r="J108" s="145">
        <f>SUMIFS(Table2[NewPointsAway],Table2[GameDate], "&lt;=" &amp; $A108, Table2[AwayTeam], J$1)+SUMIFS(Table2[NewPointsHome],Table2[GameDate], "&lt;=" &amp; $A108, Table2[HomeTeam], J$1)</f>
        <v>13</v>
      </c>
      <c r="K108" s="145">
        <f>SUMIFS(Table2[NewPointsAway],Table2[GameDate], "&lt;=" &amp; $A108, Table2[AwayTeam], K$1)+SUMIFS(Table2[NewPointsHome],Table2[GameDate], "&lt;=" &amp; $A108, Table2[HomeTeam], K$1)</f>
        <v>14</v>
      </c>
      <c r="L108" s="145">
        <f>SUMIFS(Table2[NewPointsAway],Table2[GameDate], "&lt;=" &amp; $A108, Table2[AwayTeam], L$1)+SUMIFS(Table2[NewPointsHome],Table2[GameDate], "&lt;=" &amp; $A108, Table2[HomeTeam], L$1)</f>
        <v>12</v>
      </c>
      <c r="M108" s="145">
        <f>SUMIFS(Table2[NewPointsAway],Table2[GameDate], "&lt;=" &amp; $A108, Table2[AwayTeam], M$1)+SUMIFS(Table2[NewPointsHome],Table2[GameDate], "&lt;=" &amp; $A108, Table2[HomeTeam], M$1)</f>
        <v>11</v>
      </c>
      <c r="N108" s="145">
        <f>SUMIFS(Table2[NewPointsAway],Table2[GameDate], "&lt;=" &amp; $A108, Table2[AwayTeam], N$1)+SUMIFS(Table2[NewPointsHome],Table2[GameDate], "&lt;=" &amp; $A108, Table2[HomeTeam], N$1)</f>
        <v>13</v>
      </c>
      <c r="O108" s="145">
        <f>SUMIFS(Table2[NewPointsAway],Table2[GameDate], "&lt;=" &amp; $A108, Table2[AwayTeam], O$1)+SUMIFS(Table2[NewPointsHome],Table2[GameDate], "&lt;=" &amp; $A108, Table2[HomeTeam], O$1)</f>
        <v>9</v>
      </c>
      <c r="P108" s="145">
        <f>SUMIFS(Table2[NewPointsAway],Table2[GameDate], "&lt;=" &amp; $A108, Table2[AwayTeam], P$1)+SUMIFS(Table2[NewPointsHome],Table2[GameDate], "&lt;=" &amp; $A108, Table2[HomeTeam], P$1)</f>
        <v>16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10</v>
      </c>
      <c r="U108" s="145">
        <f>SUMIFS(Table2[NewPointsAway],Table2[GameDate], "&lt;=" &amp; $A108, Table2[AwayTeam], U$1)+SUMIFS(Table2[NewPointsHome],Table2[GameDate], "&lt;=" &amp; $A108, Table2[HomeTeam], U$1)</f>
        <v>11</v>
      </c>
      <c r="V108" s="145">
        <f>SUMIFS(Table2[NewPointsAway],Table2[GameDate], "&lt;=" &amp; $A108, Table2[AwayTeam], V$1)+SUMIFS(Table2[NewPointsHome],Table2[GameDate], "&lt;=" &amp; $A108, Table2[HomeTeam], V$1)</f>
        <v>11</v>
      </c>
      <c r="W108" s="145">
        <f>SUMIFS(Table2[NewPointsAway],Table2[GameDate], "&lt;=" &amp; $A108, Table2[AwayTeam], W$1)+SUMIFS(Table2[NewPointsHome],Table2[GameDate], "&lt;=" &amp; $A108, Table2[HomeTeam], W$1)</f>
        <v>16</v>
      </c>
      <c r="X108" s="145">
        <f>SUMIFS(Table2[NewPointsAway],Table2[GameDate], "&lt;=" &amp; $A108, Table2[AwayTeam], X$1)+SUMIFS(Table2[NewPointsHome],Table2[GameDate], "&lt;=" &amp; $A108, Table2[HomeTeam], X$1)</f>
        <v>13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10</v>
      </c>
      <c r="AB108" s="145">
        <f>SUMIFS(Table2[NewPointsAway],Table2[GameDate], "&lt;=" &amp; $A108, Table2[AwayTeam], AB$1)+SUMIFS(Table2[NewPointsHome],Table2[GameDate], "&lt;=" &amp; $A108, Table2[HomeTeam], AB$1)</f>
        <v>11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15</v>
      </c>
      <c r="AF108" s="145">
        <f>SUMIFS(Table2[NewPointsAway],Table2[GameDate], "&lt;=" &amp; $A108, Table2[AwayTeam], AF$1)+SUMIFS(Table2[NewPointsHome],Table2[GameDate], "&lt;=" &amp; $A108, Table2[HomeTeam], AF$1)</f>
        <v>14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11</v>
      </c>
      <c r="C109" s="145">
        <f>SUMIFS(Table2[NewPointsAway],Table2[GameDate], "&lt;=" &amp; $A109, Table2[AwayTeam], C$1)+SUMIFS(Table2[NewPointsHome],Table2[GameDate], "&lt;=" &amp; $A109, Table2[HomeTeam], C$1)</f>
        <v>10</v>
      </c>
      <c r="D109" s="145">
        <f>SUMIFS(Table2[NewPointsAway],Table2[GameDate], "&lt;=" &amp; $A109, Table2[AwayTeam], D$1)+SUMIFS(Table2[NewPointsHome],Table2[GameDate], "&lt;=" &amp; $A109, Table2[HomeTeam], D$1)</f>
        <v>10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12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12</v>
      </c>
      <c r="I109" s="145">
        <f>SUMIFS(Table2[NewPointsAway],Table2[GameDate], "&lt;=" &amp; $A109, Table2[AwayTeam], I$1)+SUMIFS(Table2[NewPointsHome],Table2[GameDate], "&lt;=" &amp; $A109, Table2[HomeTeam], I$1)</f>
        <v>16</v>
      </c>
      <c r="J109" s="145">
        <f>SUMIFS(Table2[NewPointsAway],Table2[GameDate], "&lt;=" &amp; $A109, Table2[AwayTeam], J$1)+SUMIFS(Table2[NewPointsHome],Table2[GameDate], "&lt;=" &amp; $A109, Table2[HomeTeam], J$1)</f>
        <v>13</v>
      </c>
      <c r="K109" s="145">
        <f>SUMIFS(Table2[NewPointsAway],Table2[GameDate], "&lt;=" &amp; $A109, Table2[AwayTeam], K$1)+SUMIFS(Table2[NewPointsHome],Table2[GameDate], "&lt;=" &amp; $A109, Table2[HomeTeam], K$1)</f>
        <v>14</v>
      </c>
      <c r="L109" s="145">
        <f>SUMIFS(Table2[NewPointsAway],Table2[GameDate], "&lt;=" &amp; $A109, Table2[AwayTeam], L$1)+SUMIFS(Table2[NewPointsHome],Table2[GameDate], "&lt;=" &amp; $A109, Table2[HomeTeam], L$1)</f>
        <v>12</v>
      </c>
      <c r="M109" s="145">
        <f>SUMIFS(Table2[NewPointsAway],Table2[GameDate], "&lt;=" &amp; $A109, Table2[AwayTeam], M$1)+SUMIFS(Table2[NewPointsHome],Table2[GameDate], "&lt;=" &amp; $A109, Table2[HomeTeam], M$1)</f>
        <v>11</v>
      </c>
      <c r="N109" s="145">
        <f>SUMIFS(Table2[NewPointsAway],Table2[GameDate], "&lt;=" &amp; $A109, Table2[AwayTeam], N$1)+SUMIFS(Table2[NewPointsHome],Table2[GameDate], "&lt;=" &amp; $A109, Table2[HomeTeam], N$1)</f>
        <v>13</v>
      </c>
      <c r="O109" s="145">
        <f>SUMIFS(Table2[NewPointsAway],Table2[GameDate], "&lt;=" &amp; $A109, Table2[AwayTeam], O$1)+SUMIFS(Table2[NewPointsHome],Table2[GameDate], "&lt;=" &amp; $A109, Table2[HomeTeam], O$1)</f>
        <v>9</v>
      </c>
      <c r="P109" s="145">
        <f>SUMIFS(Table2[NewPointsAway],Table2[GameDate], "&lt;=" &amp; $A109, Table2[AwayTeam], P$1)+SUMIFS(Table2[NewPointsHome],Table2[GameDate], "&lt;=" &amp; $A109, Table2[HomeTeam], P$1)</f>
        <v>16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10</v>
      </c>
      <c r="U109" s="145">
        <f>SUMIFS(Table2[NewPointsAway],Table2[GameDate], "&lt;=" &amp; $A109, Table2[AwayTeam], U$1)+SUMIFS(Table2[NewPointsHome],Table2[GameDate], "&lt;=" &amp; $A109, Table2[HomeTeam], U$1)</f>
        <v>11</v>
      </c>
      <c r="V109" s="145">
        <f>SUMIFS(Table2[NewPointsAway],Table2[GameDate], "&lt;=" &amp; $A109, Table2[AwayTeam], V$1)+SUMIFS(Table2[NewPointsHome],Table2[GameDate], "&lt;=" &amp; $A109, Table2[HomeTeam], V$1)</f>
        <v>11</v>
      </c>
      <c r="W109" s="145">
        <f>SUMIFS(Table2[NewPointsAway],Table2[GameDate], "&lt;=" &amp; $A109, Table2[AwayTeam], W$1)+SUMIFS(Table2[NewPointsHome],Table2[GameDate], "&lt;=" &amp; $A109, Table2[HomeTeam], W$1)</f>
        <v>16</v>
      </c>
      <c r="X109" s="145">
        <f>SUMIFS(Table2[NewPointsAway],Table2[GameDate], "&lt;=" &amp; $A109, Table2[AwayTeam], X$1)+SUMIFS(Table2[NewPointsHome],Table2[GameDate], "&lt;=" &amp; $A109, Table2[HomeTeam], X$1)</f>
        <v>13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10</v>
      </c>
      <c r="AB109" s="145">
        <f>SUMIFS(Table2[NewPointsAway],Table2[GameDate], "&lt;=" &amp; $A109, Table2[AwayTeam], AB$1)+SUMIFS(Table2[NewPointsHome],Table2[GameDate], "&lt;=" &amp; $A109, Table2[HomeTeam], AB$1)</f>
        <v>11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15</v>
      </c>
      <c r="AF109" s="145">
        <f>SUMIFS(Table2[NewPointsAway],Table2[GameDate], "&lt;=" &amp; $A109, Table2[AwayTeam], AF$1)+SUMIFS(Table2[NewPointsHome],Table2[GameDate], "&lt;=" &amp; $A109, Table2[HomeTeam], AF$1)</f>
        <v>14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11</v>
      </c>
      <c r="C110" s="145">
        <f>SUMIFS(Table2[NewPointsAway],Table2[GameDate], "&lt;=" &amp; $A110, Table2[AwayTeam], C$1)+SUMIFS(Table2[NewPointsHome],Table2[GameDate], "&lt;=" &amp; $A110, Table2[HomeTeam], C$1)</f>
        <v>10</v>
      </c>
      <c r="D110" s="145">
        <f>SUMIFS(Table2[NewPointsAway],Table2[GameDate], "&lt;=" &amp; $A110, Table2[AwayTeam], D$1)+SUMIFS(Table2[NewPointsHome],Table2[GameDate], "&lt;=" &amp; $A110, Table2[HomeTeam], D$1)</f>
        <v>10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12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12</v>
      </c>
      <c r="I110" s="145">
        <f>SUMIFS(Table2[NewPointsAway],Table2[GameDate], "&lt;=" &amp; $A110, Table2[AwayTeam], I$1)+SUMIFS(Table2[NewPointsHome],Table2[GameDate], "&lt;=" &amp; $A110, Table2[HomeTeam], I$1)</f>
        <v>16</v>
      </c>
      <c r="J110" s="145">
        <f>SUMIFS(Table2[NewPointsAway],Table2[GameDate], "&lt;=" &amp; $A110, Table2[AwayTeam], J$1)+SUMIFS(Table2[NewPointsHome],Table2[GameDate], "&lt;=" &amp; $A110, Table2[HomeTeam], J$1)</f>
        <v>13</v>
      </c>
      <c r="K110" s="145">
        <f>SUMIFS(Table2[NewPointsAway],Table2[GameDate], "&lt;=" &amp; $A110, Table2[AwayTeam], K$1)+SUMIFS(Table2[NewPointsHome],Table2[GameDate], "&lt;=" &amp; $A110, Table2[HomeTeam], K$1)</f>
        <v>14</v>
      </c>
      <c r="L110" s="145">
        <f>SUMIFS(Table2[NewPointsAway],Table2[GameDate], "&lt;=" &amp; $A110, Table2[AwayTeam], L$1)+SUMIFS(Table2[NewPointsHome],Table2[GameDate], "&lt;=" &amp; $A110, Table2[HomeTeam], L$1)</f>
        <v>12</v>
      </c>
      <c r="M110" s="145">
        <f>SUMIFS(Table2[NewPointsAway],Table2[GameDate], "&lt;=" &amp; $A110, Table2[AwayTeam], M$1)+SUMIFS(Table2[NewPointsHome],Table2[GameDate], "&lt;=" &amp; $A110, Table2[HomeTeam], M$1)</f>
        <v>11</v>
      </c>
      <c r="N110" s="145">
        <f>SUMIFS(Table2[NewPointsAway],Table2[GameDate], "&lt;=" &amp; $A110, Table2[AwayTeam], N$1)+SUMIFS(Table2[NewPointsHome],Table2[GameDate], "&lt;=" &amp; $A110, Table2[HomeTeam], N$1)</f>
        <v>13</v>
      </c>
      <c r="O110" s="145">
        <f>SUMIFS(Table2[NewPointsAway],Table2[GameDate], "&lt;=" &amp; $A110, Table2[AwayTeam], O$1)+SUMIFS(Table2[NewPointsHome],Table2[GameDate], "&lt;=" &amp; $A110, Table2[HomeTeam], O$1)</f>
        <v>9</v>
      </c>
      <c r="P110" s="145">
        <f>SUMIFS(Table2[NewPointsAway],Table2[GameDate], "&lt;=" &amp; $A110, Table2[AwayTeam], P$1)+SUMIFS(Table2[NewPointsHome],Table2[GameDate], "&lt;=" &amp; $A110, Table2[HomeTeam], P$1)</f>
        <v>16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10</v>
      </c>
      <c r="U110" s="145">
        <f>SUMIFS(Table2[NewPointsAway],Table2[GameDate], "&lt;=" &amp; $A110, Table2[AwayTeam], U$1)+SUMIFS(Table2[NewPointsHome],Table2[GameDate], "&lt;=" &amp; $A110, Table2[HomeTeam], U$1)</f>
        <v>11</v>
      </c>
      <c r="V110" s="145">
        <f>SUMIFS(Table2[NewPointsAway],Table2[GameDate], "&lt;=" &amp; $A110, Table2[AwayTeam], V$1)+SUMIFS(Table2[NewPointsHome],Table2[GameDate], "&lt;=" &amp; $A110, Table2[HomeTeam], V$1)</f>
        <v>11</v>
      </c>
      <c r="W110" s="145">
        <f>SUMIFS(Table2[NewPointsAway],Table2[GameDate], "&lt;=" &amp; $A110, Table2[AwayTeam], W$1)+SUMIFS(Table2[NewPointsHome],Table2[GameDate], "&lt;=" &amp; $A110, Table2[HomeTeam], W$1)</f>
        <v>16</v>
      </c>
      <c r="X110" s="145">
        <f>SUMIFS(Table2[NewPointsAway],Table2[GameDate], "&lt;=" &amp; $A110, Table2[AwayTeam], X$1)+SUMIFS(Table2[NewPointsHome],Table2[GameDate], "&lt;=" &amp; $A110, Table2[HomeTeam], X$1)</f>
        <v>13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10</v>
      </c>
      <c r="AB110" s="145">
        <f>SUMIFS(Table2[NewPointsAway],Table2[GameDate], "&lt;=" &amp; $A110, Table2[AwayTeam], AB$1)+SUMIFS(Table2[NewPointsHome],Table2[GameDate], "&lt;=" &amp; $A110, Table2[HomeTeam], AB$1)</f>
        <v>11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15</v>
      </c>
      <c r="AF110" s="145">
        <f>SUMIFS(Table2[NewPointsAway],Table2[GameDate], "&lt;=" &amp; $A110, Table2[AwayTeam], AF$1)+SUMIFS(Table2[NewPointsHome],Table2[GameDate], "&lt;=" &amp; $A110, Table2[HomeTeam], AF$1)</f>
        <v>14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11</v>
      </c>
      <c r="C111" s="145">
        <f>SUMIFS(Table2[NewPointsAway],Table2[GameDate], "&lt;=" &amp; $A111, Table2[AwayTeam], C$1)+SUMIFS(Table2[NewPointsHome],Table2[GameDate], "&lt;=" &amp; $A111, Table2[HomeTeam], C$1)</f>
        <v>10</v>
      </c>
      <c r="D111" s="145">
        <f>SUMIFS(Table2[NewPointsAway],Table2[GameDate], "&lt;=" &amp; $A111, Table2[AwayTeam], D$1)+SUMIFS(Table2[NewPointsHome],Table2[GameDate], "&lt;=" &amp; $A111, Table2[HomeTeam], D$1)</f>
        <v>10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12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12</v>
      </c>
      <c r="I111" s="145">
        <f>SUMIFS(Table2[NewPointsAway],Table2[GameDate], "&lt;=" &amp; $A111, Table2[AwayTeam], I$1)+SUMIFS(Table2[NewPointsHome],Table2[GameDate], "&lt;=" &amp; $A111, Table2[HomeTeam], I$1)</f>
        <v>16</v>
      </c>
      <c r="J111" s="145">
        <f>SUMIFS(Table2[NewPointsAway],Table2[GameDate], "&lt;=" &amp; $A111, Table2[AwayTeam], J$1)+SUMIFS(Table2[NewPointsHome],Table2[GameDate], "&lt;=" &amp; $A111, Table2[HomeTeam], J$1)</f>
        <v>13</v>
      </c>
      <c r="K111" s="145">
        <f>SUMIFS(Table2[NewPointsAway],Table2[GameDate], "&lt;=" &amp; $A111, Table2[AwayTeam], K$1)+SUMIFS(Table2[NewPointsHome],Table2[GameDate], "&lt;=" &amp; $A111, Table2[HomeTeam], K$1)</f>
        <v>14</v>
      </c>
      <c r="L111" s="145">
        <f>SUMIFS(Table2[NewPointsAway],Table2[GameDate], "&lt;=" &amp; $A111, Table2[AwayTeam], L$1)+SUMIFS(Table2[NewPointsHome],Table2[GameDate], "&lt;=" &amp; $A111, Table2[HomeTeam], L$1)</f>
        <v>12</v>
      </c>
      <c r="M111" s="145">
        <f>SUMIFS(Table2[NewPointsAway],Table2[GameDate], "&lt;=" &amp; $A111, Table2[AwayTeam], M$1)+SUMIFS(Table2[NewPointsHome],Table2[GameDate], "&lt;=" &amp; $A111, Table2[HomeTeam], M$1)</f>
        <v>11</v>
      </c>
      <c r="N111" s="145">
        <f>SUMIFS(Table2[NewPointsAway],Table2[GameDate], "&lt;=" &amp; $A111, Table2[AwayTeam], N$1)+SUMIFS(Table2[NewPointsHome],Table2[GameDate], "&lt;=" &amp; $A111, Table2[HomeTeam], N$1)</f>
        <v>13</v>
      </c>
      <c r="O111" s="145">
        <f>SUMIFS(Table2[NewPointsAway],Table2[GameDate], "&lt;=" &amp; $A111, Table2[AwayTeam], O$1)+SUMIFS(Table2[NewPointsHome],Table2[GameDate], "&lt;=" &amp; $A111, Table2[HomeTeam], O$1)</f>
        <v>9</v>
      </c>
      <c r="P111" s="145">
        <f>SUMIFS(Table2[NewPointsAway],Table2[GameDate], "&lt;=" &amp; $A111, Table2[AwayTeam], P$1)+SUMIFS(Table2[NewPointsHome],Table2[GameDate], "&lt;=" &amp; $A111, Table2[HomeTeam], P$1)</f>
        <v>16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10</v>
      </c>
      <c r="U111" s="145">
        <f>SUMIFS(Table2[NewPointsAway],Table2[GameDate], "&lt;=" &amp; $A111, Table2[AwayTeam], U$1)+SUMIFS(Table2[NewPointsHome],Table2[GameDate], "&lt;=" &amp; $A111, Table2[HomeTeam], U$1)</f>
        <v>11</v>
      </c>
      <c r="V111" s="145">
        <f>SUMIFS(Table2[NewPointsAway],Table2[GameDate], "&lt;=" &amp; $A111, Table2[AwayTeam], V$1)+SUMIFS(Table2[NewPointsHome],Table2[GameDate], "&lt;=" &amp; $A111, Table2[HomeTeam], V$1)</f>
        <v>11</v>
      </c>
      <c r="W111" s="145">
        <f>SUMIFS(Table2[NewPointsAway],Table2[GameDate], "&lt;=" &amp; $A111, Table2[AwayTeam], W$1)+SUMIFS(Table2[NewPointsHome],Table2[GameDate], "&lt;=" &amp; $A111, Table2[HomeTeam], W$1)</f>
        <v>16</v>
      </c>
      <c r="X111" s="145">
        <f>SUMIFS(Table2[NewPointsAway],Table2[GameDate], "&lt;=" &amp; $A111, Table2[AwayTeam], X$1)+SUMIFS(Table2[NewPointsHome],Table2[GameDate], "&lt;=" &amp; $A111, Table2[HomeTeam], X$1)</f>
        <v>13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10</v>
      </c>
      <c r="AB111" s="145">
        <f>SUMIFS(Table2[NewPointsAway],Table2[GameDate], "&lt;=" &amp; $A111, Table2[AwayTeam], AB$1)+SUMIFS(Table2[NewPointsHome],Table2[GameDate], "&lt;=" &amp; $A111, Table2[HomeTeam], AB$1)</f>
        <v>11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15</v>
      </c>
      <c r="AF111" s="145">
        <f>SUMIFS(Table2[NewPointsAway],Table2[GameDate], "&lt;=" &amp; $A111, Table2[AwayTeam], AF$1)+SUMIFS(Table2[NewPointsHome],Table2[GameDate], "&lt;=" &amp; $A111, Table2[HomeTeam], AF$1)</f>
        <v>14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11</v>
      </c>
      <c r="C112" s="145">
        <f>SUMIFS(Table2[NewPointsAway],Table2[GameDate], "&lt;=" &amp; $A112, Table2[AwayTeam], C$1)+SUMIFS(Table2[NewPointsHome],Table2[GameDate], "&lt;=" &amp; $A112, Table2[HomeTeam], C$1)</f>
        <v>10</v>
      </c>
      <c r="D112" s="145">
        <f>SUMIFS(Table2[NewPointsAway],Table2[GameDate], "&lt;=" &amp; $A112, Table2[AwayTeam], D$1)+SUMIFS(Table2[NewPointsHome],Table2[GameDate], "&lt;=" &amp; $A112, Table2[HomeTeam], D$1)</f>
        <v>10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12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12</v>
      </c>
      <c r="I112" s="145">
        <f>SUMIFS(Table2[NewPointsAway],Table2[GameDate], "&lt;=" &amp; $A112, Table2[AwayTeam], I$1)+SUMIFS(Table2[NewPointsHome],Table2[GameDate], "&lt;=" &amp; $A112, Table2[HomeTeam], I$1)</f>
        <v>16</v>
      </c>
      <c r="J112" s="145">
        <f>SUMIFS(Table2[NewPointsAway],Table2[GameDate], "&lt;=" &amp; $A112, Table2[AwayTeam], J$1)+SUMIFS(Table2[NewPointsHome],Table2[GameDate], "&lt;=" &amp; $A112, Table2[HomeTeam], J$1)</f>
        <v>13</v>
      </c>
      <c r="K112" s="145">
        <f>SUMIFS(Table2[NewPointsAway],Table2[GameDate], "&lt;=" &amp; $A112, Table2[AwayTeam], K$1)+SUMIFS(Table2[NewPointsHome],Table2[GameDate], "&lt;=" &amp; $A112, Table2[HomeTeam], K$1)</f>
        <v>14</v>
      </c>
      <c r="L112" s="145">
        <f>SUMIFS(Table2[NewPointsAway],Table2[GameDate], "&lt;=" &amp; $A112, Table2[AwayTeam], L$1)+SUMIFS(Table2[NewPointsHome],Table2[GameDate], "&lt;=" &amp; $A112, Table2[HomeTeam], L$1)</f>
        <v>12</v>
      </c>
      <c r="M112" s="145">
        <f>SUMIFS(Table2[NewPointsAway],Table2[GameDate], "&lt;=" &amp; $A112, Table2[AwayTeam], M$1)+SUMIFS(Table2[NewPointsHome],Table2[GameDate], "&lt;=" &amp; $A112, Table2[HomeTeam], M$1)</f>
        <v>11</v>
      </c>
      <c r="N112" s="145">
        <f>SUMIFS(Table2[NewPointsAway],Table2[GameDate], "&lt;=" &amp; $A112, Table2[AwayTeam], N$1)+SUMIFS(Table2[NewPointsHome],Table2[GameDate], "&lt;=" &amp; $A112, Table2[HomeTeam], N$1)</f>
        <v>13</v>
      </c>
      <c r="O112" s="145">
        <f>SUMIFS(Table2[NewPointsAway],Table2[GameDate], "&lt;=" &amp; $A112, Table2[AwayTeam], O$1)+SUMIFS(Table2[NewPointsHome],Table2[GameDate], "&lt;=" &amp; $A112, Table2[HomeTeam], O$1)</f>
        <v>9</v>
      </c>
      <c r="P112" s="145">
        <f>SUMIFS(Table2[NewPointsAway],Table2[GameDate], "&lt;=" &amp; $A112, Table2[AwayTeam], P$1)+SUMIFS(Table2[NewPointsHome],Table2[GameDate], "&lt;=" &amp; $A112, Table2[HomeTeam], P$1)</f>
        <v>16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10</v>
      </c>
      <c r="U112" s="145">
        <f>SUMIFS(Table2[NewPointsAway],Table2[GameDate], "&lt;=" &amp; $A112, Table2[AwayTeam], U$1)+SUMIFS(Table2[NewPointsHome],Table2[GameDate], "&lt;=" &amp; $A112, Table2[HomeTeam], U$1)</f>
        <v>11</v>
      </c>
      <c r="V112" s="145">
        <f>SUMIFS(Table2[NewPointsAway],Table2[GameDate], "&lt;=" &amp; $A112, Table2[AwayTeam], V$1)+SUMIFS(Table2[NewPointsHome],Table2[GameDate], "&lt;=" &amp; $A112, Table2[HomeTeam], V$1)</f>
        <v>11</v>
      </c>
      <c r="W112" s="145">
        <f>SUMIFS(Table2[NewPointsAway],Table2[GameDate], "&lt;=" &amp; $A112, Table2[AwayTeam], W$1)+SUMIFS(Table2[NewPointsHome],Table2[GameDate], "&lt;=" &amp; $A112, Table2[HomeTeam], W$1)</f>
        <v>16</v>
      </c>
      <c r="X112" s="145">
        <f>SUMIFS(Table2[NewPointsAway],Table2[GameDate], "&lt;=" &amp; $A112, Table2[AwayTeam], X$1)+SUMIFS(Table2[NewPointsHome],Table2[GameDate], "&lt;=" &amp; $A112, Table2[HomeTeam], X$1)</f>
        <v>13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10</v>
      </c>
      <c r="AB112" s="145">
        <f>SUMIFS(Table2[NewPointsAway],Table2[GameDate], "&lt;=" &amp; $A112, Table2[AwayTeam], AB$1)+SUMIFS(Table2[NewPointsHome],Table2[GameDate], "&lt;=" &amp; $A112, Table2[HomeTeam], AB$1)</f>
        <v>11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15</v>
      </c>
      <c r="AF112" s="145">
        <f>SUMIFS(Table2[NewPointsAway],Table2[GameDate], "&lt;=" &amp; $A112, Table2[AwayTeam], AF$1)+SUMIFS(Table2[NewPointsHome],Table2[GameDate], "&lt;=" &amp; $A112, Table2[HomeTeam], AF$1)</f>
        <v>14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11</v>
      </c>
      <c r="C113" s="145">
        <f>SUMIFS(Table2[NewPointsAway],Table2[GameDate], "&lt;=" &amp; $A113, Table2[AwayTeam], C$1)+SUMIFS(Table2[NewPointsHome],Table2[GameDate], "&lt;=" &amp; $A113, Table2[HomeTeam], C$1)</f>
        <v>10</v>
      </c>
      <c r="D113" s="145">
        <f>SUMIFS(Table2[NewPointsAway],Table2[GameDate], "&lt;=" &amp; $A113, Table2[AwayTeam], D$1)+SUMIFS(Table2[NewPointsHome],Table2[GameDate], "&lt;=" &amp; $A113, Table2[HomeTeam], D$1)</f>
        <v>10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12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12</v>
      </c>
      <c r="I113" s="145">
        <f>SUMIFS(Table2[NewPointsAway],Table2[GameDate], "&lt;=" &amp; $A113, Table2[AwayTeam], I$1)+SUMIFS(Table2[NewPointsHome],Table2[GameDate], "&lt;=" &amp; $A113, Table2[HomeTeam], I$1)</f>
        <v>16</v>
      </c>
      <c r="J113" s="145">
        <f>SUMIFS(Table2[NewPointsAway],Table2[GameDate], "&lt;=" &amp; $A113, Table2[AwayTeam], J$1)+SUMIFS(Table2[NewPointsHome],Table2[GameDate], "&lt;=" &amp; $A113, Table2[HomeTeam], J$1)</f>
        <v>13</v>
      </c>
      <c r="K113" s="145">
        <f>SUMIFS(Table2[NewPointsAway],Table2[GameDate], "&lt;=" &amp; $A113, Table2[AwayTeam], K$1)+SUMIFS(Table2[NewPointsHome],Table2[GameDate], "&lt;=" &amp; $A113, Table2[HomeTeam], K$1)</f>
        <v>14</v>
      </c>
      <c r="L113" s="145">
        <f>SUMIFS(Table2[NewPointsAway],Table2[GameDate], "&lt;=" &amp; $A113, Table2[AwayTeam], L$1)+SUMIFS(Table2[NewPointsHome],Table2[GameDate], "&lt;=" &amp; $A113, Table2[HomeTeam], L$1)</f>
        <v>12</v>
      </c>
      <c r="M113" s="145">
        <f>SUMIFS(Table2[NewPointsAway],Table2[GameDate], "&lt;=" &amp; $A113, Table2[AwayTeam], M$1)+SUMIFS(Table2[NewPointsHome],Table2[GameDate], "&lt;=" &amp; $A113, Table2[HomeTeam], M$1)</f>
        <v>11</v>
      </c>
      <c r="N113" s="145">
        <f>SUMIFS(Table2[NewPointsAway],Table2[GameDate], "&lt;=" &amp; $A113, Table2[AwayTeam], N$1)+SUMIFS(Table2[NewPointsHome],Table2[GameDate], "&lt;=" &amp; $A113, Table2[HomeTeam], N$1)</f>
        <v>13</v>
      </c>
      <c r="O113" s="145">
        <f>SUMIFS(Table2[NewPointsAway],Table2[GameDate], "&lt;=" &amp; $A113, Table2[AwayTeam], O$1)+SUMIFS(Table2[NewPointsHome],Table2[GameDate], "&lt;=" &amp; $A113, Table2[HomeTeam], O$1)</f>
        <v>9</v>
      </c>
      <c r="P113" s="145">
        <f>SUMIFS(Table2[NewPointsAway],Table2[GameDate], "&lt;=" &amp; $A113, Table2[AwayTeam], P$1)+SUMIFS(Table2[NewPointsHome],Table2[GameDate], "&lt;=" &amp; $A113, Table2[HomeTeam], P$1)</f>
        <v>16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10</v>
      </c>
      <c r="U113" s="145">
        <f>SUMIFS(Table2[NewPointsAway],Table2[GameDate], "&lt;=" &amp; $A113, Table2[AwayTeam], U$1)+SUMIFS(Table2[NewPointsHome],Table2[GameDate], "&lt;=" &amp; $A113, Table2[HomeTeam], U$1)</f>
        <v>11</v>
      </c>
      <c r="V113" s="145">
        <f>SUMIFS(Table2[NewPointsAway],Table2[GameDate], "&lt;=" &amp; $A113, Table2[AwayTeam], V$1)+SUMIFS(Table2[NewPointsHome],Table2[GameDate], "&lt;=" &amp; $A113, Table2[HomeTeam], V$1)</f>
        <v>11</v>
      </c>
      <c r="W113" s="145">
        <f>SUMIFS(Table2[NewPointsAway],Table2[GameDate], "&lt;=" &amp; $A113, Table2[AwayTeam], W$1)+SUMIFS(Table2[NewPointsHome],Table2[GameDate], "&lt;=" &amp; $A113, Table2[HomeTeam], W$1)</f>
        <v>16</v>
      </c>
      <c r="X113" s="145">
        <f>SUMIFS(Table2[NewPointsAway],Table2[GameDate], "&lt;=" &amp; $A113, Table2[AwayTeam], X$1)+SUMIFS(Table2[NewPointsHome],Table2[GameDate], "&lt;=" &amp; $A113, Table2[HomeTeam], X$1)</f>
        <v>13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10</v>
      </c>
      <c r="AB113" s="145">
        <f>SUMIFS(Table2[NewPointsAway],Table2[GameDate], "&lt;=" &amp; $A113, Table2[AwayTeam], AB$1)+SUMIFS(Table2[NewPointsHome],Table2[GameDate], "&lt;=" &amp; $A113, Table2[HomeTeam], AB$1)</f>
        <v>11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15</v>
      </c>
      <c r="AF113" s="145">
        <f>SUMIFS(Table2[NewPointsAway],Table2[GameDate], "&lt;=" &amp; $A113, Table2[AwayTeam], AF$1)+SUMIFS(Table2[NewPointsHome],Table2[GameDate], "&lt;=" &amp; $A113, Table2[HomeTeam], AF$1)</f>
        <v>14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11</v>
      </c>
      <c r="C114" s="145">
        <f>SUMIFS(Table2[NewPointsAway],Table2[GameDate], "&lt;=" &amp; $A114, Table2[AwayTeam], C$1)+SUMIFS(Table2[NewPointsHome],Table2[GameDate], "&lt;=" &amp; $A114, Table2[HomeTeam], C$1)</f>
        <v>10</v>
      </c>
      <c r="D114" s="145">
        <f>SUMIFS(Table2[NewPointsAway],Table2[GameDate], "&lt;=" &amp; $A114, Table2[AwayTeam], D$1)+SUMIFS(Table2[NewPointsHome],Table2[GameDate], "&lt;=" &amp; $A114, Table2[HomeTeam], D$1)</f>
        <v>10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12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12</v>
      </c>
      <c r="I114" s="145">
        <f>SUMIFS(Table2[NewPointsAway],Table2[GameDate], "&lt;=" &amp; $A114, Table2[AwayTeam], I$1)+SUMIFS(Table2[NewPointsHome],Table2[GameDate], "&lt;=" &amp; $A114, Table2[HomeTeam], I$1)</f>
        <v>16</v>
      </c>
      <c r="J114" s="145">
        <f>SUMIFS(Table2[NewPointsAway],Table2[GameDate], "&lt;=" &amp; $A114, Table2[AwayTeam], J$1)+SUMIFS(Table2[NewPointsHome],Table2[GameDate], "&lt;=" &amp; $A114, Table2[HomeTeam], J$1)</f>
        <v>13</v>
      </c>
      <c r="K114" s="145">
        <f>SUMIFS(Table2[NewPointsAway],Table2[GameDate], "&lt;=" &amp; $A114, Table2[AwayTeam], K$1)+SUMIFS(Table2[NewPointsHome],Table2[GameDate], "&lt;=" &amp; $A114, Table2[HomeTeam], K$1)</f>
        <v>14</v>
      </c>
      <c r="L114" s="145">
        <f>SUMIFS(Table2[NewPointsAway],Table2[GameDate], "&lt;=" &amp; $A114, Table2[AwayTeam], L$1)+SUMIFS(Table2[NewPointsHome],Table2[GameDate], "&lt;=" &amp; $A114, Table2[HomeTeam], L$1)</f>
        <v>12</v>
      </c>
      <c r="M114" s="145">
        <f>SUMIFS(Table2[NewPointsAway],Table2[GameDate], "&lt;=" &amp; $A114, Table2[AwayTeam], M$1)+SUMIFS(Table2[NewPointsHome],Table2[GameDate], "&lt;=" &amp; $A114, Table2[HomeTeam], M$1)</f>
        <v>11</v>
      </c>
      <c r="N114" s="145">
        <f>SUMIFS(Table2[NewPointsAway],Table2[GameDate], "&lt;=" &amp; $A114, Table2[AwayTeam], N$1)+SUMIFS(Table2[NewPointsHome],Table2[GameDate], "&lt;=" &amp; $A114, Table2[HomeTeam], N$1)</f>
        <v>13</v>
      </c>
      <c r="O114" s="145">
        <f>SUMIFS(Table2[NewPointsAway],Table2[GameDate], "&lt;=" &amp; $A114, Table2[AwayTeam], O$1)+SUMIFS(Table2[NewPointsHome],Table2[GameDate], "&lt;=" &amp; $A114, Table2[HomeTeam], O$1)</f>
        <v>9</v>
      </c>
      <c r="P114" s="145">
        <f>SUMIFS(Table2[NewPointsAway],Table2[GameDate], "&lt;=" &amp; $A114, Table2[AwayTeam], P$1)+SUMIFS(Table2[NewPointsHome],Table2[GameDate], "&lt;=" &amp; $A114, Table2[HomeTeam], P$1)</f>
        <v>16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10</v>
      </c>
      <c r="U114" s="145">
        <f>SUMIFS(Table2[NewPointsAway],Table2[GameDate], "&lt;=" &amp; $A114, Table2[AwayTeam], U$1)+SUMIFS(Table2[NewPointsHome],Table2[GameDate], "&lt;=" &amp; $A114, Table2[HomeTeam], U$1)</f>
        <v>11</v>
      </c>
      <c r="V114" s="145">
        <f>SUMIFS(Table2[NewPointsAway],Table2[GameDate], "&lt;=" &amp; $A114, Table2[AwayTeam], V$1)+SUMIFS(Table2[NewPointsHome],Table2[GameDate], "&lt;=" &amp; $A114, Table2[HomeTeam], V$1)</f>
        <v>11</v>
      </c>
      <c r="W114" s="145">
        <f>SUMIFS(Table2[NewPointsAway],Table2[GameDate], "&lt;=" &amp; $A114, Table2[AwayTeam], W$1)+SUMIFS(Table2[NewPointsHome],Table2[GameDate], "&lt;=" &amp; $A114, Table2[HomeTeam], W$1)</f>
        <v>16</v>
      </c>
      <c r="X114" s="145">
        <f>SUMIFS(Table2[NewPointsAway],Table2[GameDate], "&lt;=" &amp; $A114, Table2[AwayTeam], X$1)+SUMIFS(Table2[NewPointsHome],Table2[GameDate], "&lt;=" &amp; $A114, Table2[HomeTeam], X$1)</f>
        <v>13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10</v>
      </c>
      <c r="AB114" s="145">
        <f>SUMIFS(Table2[NewPointsAway],Table2[GameDate], "&lt;=" &amp; $A114, Table2[AwayTeam], AB$1)+SUMIFS(Table2[NewPointsHome],Table2[GameDate], "&lt;=" &amp; $A114, Table2[HomeTeam], AB$1)</f>
        <v>11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15</v>
      </c>
      <c r="AF114" s="145">
        <f>SUMIFS(Table2[NewPointsAway],Table2[GameDate], "&lt;=" &amp; $A114, Table2[AwayTeam], AF$1)+SUMIFS(Table2[NewPointsHome],Table2[GameDate], "&lt;=" &amp; $A114, Table2[HomeTeam], AF$1)</f>
        <v>14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11</v>
      </c>
      <c r="C115" s="145">
        <f>SUMIFS(Table2[NewPointsAway],Table2[GameDate], "&lt;=" &amp; $A115, Table2[AwayTeam], C$1)+SUMIFS(Table2[NewPointsHome],Table2[GameDate], "&lt;=" &amp; $A115, Table2[HomeTeam], C$1)</f>
        <v>10</v>
      </c>
      <c r="D115" s="145">
        <f>SUMIFS(Table2[NewPointsAway],Table2[GameDate], "&lt;=" &amp; $A115, Table2[AwayTeam], D$1)+SUMIFS(Table2[NewPointsHome],Table2[GameDate], "&lt;=" &amp; $A115, Table2[HomeTeam], D$1)</f>
        <v>10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12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12</v>
      </c>
      <c r="I115" s="145">
        <f>SUMIFS(Table2[NewPointsAway],Table2[GameDate], "&lt;=" &amp; $A115, Table2[AwayTeam], I$1)+SUMIFS(Table2[NewPointsHome],Table2[GameDate], "&lt;=" &amp; $A115, Table2[HomeTeam], I$1)</f>
        <v>16</v>
      </c>
      <c r="J115" s="145">
        <f>SUMIFS(Table2[NewPointsAway],Table2[GameDate], "&lt;=" &amp; $A115, Table2[AwayTeam], J$1)+SUMIFS(Table2[NewPointsHome],Table2[GameDate], "&lt;=" &amp; $A115, Table2[HomeTeam], J$1)</f>
        <v>13</v>
      </c>
      <c r="K115" s="145">
        <f>SUMIFS(Table2[NewPointsAway],Table2[GameDate], "&lt;=" &amp; $A115, Table2[AwayTeam], K$1)+SUMIFS(Table2[NewPointsHome],Table2[GameDate], "&lt;=" &amp; $A115, Table2[HomeTeam], K$1)</f>
        <v>14</v>
      </c>
      <c r="L115" s="145">
        <f>SUMIFS(Table2[NewPointsAway],Table2[GameDate], "&lt;=" &amp; $A115, Table2[AwayTeam], L$1)+SUMIFS(Table2[NewPointsHome],Table2[GameDate], "&lt;=" &amp; $A115, Table2[HomeTeam], L$1)</f>
        <v>12</v>
      </c>
      <c r="M115" s="145">
        <f>SUMIFS(Table2[NewPointsAway],Table2[GameDate], "&lt;=" &amp; $A115, Table2[AwayTeam], M$1)+SUMIFS(Table2[NewPointsHome],Table2[GameDate], "&lt;=" &amp; $A115, Table2[HomeTeam], M$1)</f>
        <v>11</v>
      </c>
      <c r="N115" s="145">
        <f>SUMIFS(Table2[NewPointsAway],Table2[GameDate], "&lt;=" &amp; $A115, Table2[AwayTeam], N$1)+SUMIFS(Table2[NewPointsHome],Table2[GameDate], "&lt;=" &amp; $A115, Table2[HomeTeam], N$1)</f>
        <v>13</v>
      </c>
      <c r="O115" s="145">
        <f>SUMIFS(Table2[NewPointsAway],Table2[GameDate], "&lt;=" &amp; $A115, Table2[AwayTeam], O$1)+SUMIFS(Table2[NewPointsHome],Table2[GameDate], "&lt;=" &amp; $A115, Table2[HomeTeam], O$1)</f>
        <v>9</v>
      </c>
      <c r="P115" s="145">
        <f>SUMIFS(Table2[NewPointsAway],Table2[GameDate], "&lt;=" &amp; $A115, Table2[AwayTeam], P$1)+SUMIFS(Table2[NewPointsHome],Table2[GameDate], "&lt;=" &amp; $A115, Table2[HomeTeam], P$1)</f>
        <v>16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10</v>
      </c>
      <c r="U115" s="145">
        <f>SUMIFS(Table2[NewPointsAway],Table2[GameDate], "&lt;=" &amp; $A115, Table2[AwayTeam], U$1)+SUMIFS(Table2[NewPointsHome],Table2[GameDate], "&lt;=" &amp; $A115, Table2[HomeTeam], U$1)</f>
        <v>11</v>
      </c>
      <c r="V115" s="145">
        <f>SUMIFS(Table2[NewPointsAway],Table2[GameDate], "&lt;=" &amp; $A115, Table2[AwayTeam], V$1)+SUMIFS(Table2[NewPointsHome],Table2[GameDate], "&lt;=" &amp; $A115, Table2[HomeTeam], V$1)</f>
        <v>11</v>
      </c>
      <c r="W115" s="145">
        <f>SUMIFS(Table2[NewPointsAway],Table2[GameDate], "&lt;=" &amp; $A115, Table2[AwayTeam], W$1)+SUMIFS(Table2[NewPointsHome],Table2[GameDate], "&lt;=" &amp; $A115, Table2[HomeTeam], W$1)</f>
        <v>16</v>
      </c>
      <c r="X115" s="145">
        <f>SUMIFS(Table2[NewPointsAway],Table2[GameDate], "&lt;=" &amp; $A115, Table2[AwayTeam], X$1)+SUMIFS(Table2[NewPointsHome],Table2[GameDate], "&lt;=" &amp; $A115, Table2[HomeTeam], X$1)</f>
        <v>13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10</v>
      </c>
      <c r="AB115" s="145">
        <f>SUMIFS(Table2[NewPointsAway],Table2[GameDate], "&lt;=" &amp; $A115, Table2[AwayTeam], AB$1)+SUMIFS(Table2[NewPointsHome],Table2[GameDate], "&lt;=" &amp; $A115, Table2[HomeTeam], AB$1)</f>
        <v>11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15</v>
      </c>
      <c r="AF115" s="145">
        <f>SUMIFS(Table2[NewPointsAway],Table2[GameDate], "&lt;=" &amp; $A115, Table2[AwayTeam], AF$1)+SUMIFS(Table2[NewPointsHome],Table2[GameDate], "&lt;=" &amp; $A115, Table2[HomeTeam], AF$1)</f>
        <v>14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11</v>
      </c>
      <c r="C116" s="145">
        <f>SUMIFS(Table2[NewPointsAway],Table2[GameDate], "&lt;=" &amp; $A116, Table2[AwayTeam], C$1)+SUMIFS(Table2[NewPointsHome],Table2[GameDate], "&lt;=" &amp; $A116, Table2[HomeTeam], C$1)</f>
        <v>10</v>
      </c>
      <c r="D116" s="145">
        <f>SUMIFS(Table2[NewPointsAway],Table2[GameDate], "&lt;=" &amp; $A116, Table2[AwayTeam], D$1)+SUMIFS(Table2[NewPointsHome],Table2[GameDate], "&lt;=" &amp; $A116, Table2[HomeTeam], D$1)</f>
        <v>10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12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12</v>
      </c>
      <c r="I116" s="145">
        <f>SUMIFS(Table2[NewPointsAway],Table2[GameDate], "&lt;=" &amp; $A116, Table2[AwayTeam], I$1)+SUMIFS(Table2[NewPointsHome],Table2[GameDate], "&lt;=" &amp; $A116, Table2[HomeTeam], I$1)</f>
        <v>16</v>
      </c>
      <c r="J116" s="145">
        <f>SUMIFS(Table2[NewPointsAway],Table2[GameDate], "&lt;=" &amp; $A116, Table2[AwayTeam], J$1)+SUMIFS(Table2[NewPointsHome],Table2[GameDate], "&lt;=" &amp; $A116, Table2[HomeTeam], J$1)</f>
        <v>13</v>
      </c>
      <c r="K116" s="145">
        <f>SUMIFS(Table2[NewPointsAway],Table2[GameDate], "&lt;=" &amp; $A116, Table2[AwayTeam], K$1)+SUMIFS(Table2[NewPointsHome],Table2[GameDate], "&lt;=" &amp; $A116, Table2[HomeTeam], K$1)</f>
        <v>14</v>
      </c>
      <c r="L116" s="145">
        <f>SUMIFS(Table2[NewPointsAway],Table2[GameDate], "&lt;=" &amp; $A116, Table2[AwayTeam], L$1)+SUMIFS(Table2[NewPointsHome],Table2[GameDate], "&lt;=" &amp; $A116, Table2[HomeTeam], L$1)</f>
        <v>12</v>
      </c>
      <c r="M116" s="145">
        <f>SUMIFS(Table2[NewPointsAway],Table2[GameDate], "&lt;=" &amp; $A116, Table2[AwayTeam], M$1)+SUMIFS(Table2[NewPointsHome],Table2[GameDate], "&lt;=" &amp; $A116, Table2[HomeTeam], M$1)</f>
        <v>11</v>
      </c>
      <c r="N116" s="145">
        <f>SUMIFS(Table2[NewPointsAway],Table2[GameDate], "&lt;=" &amp; $A116, Table2[AwayTeam], N$1)+SUMIFS(Table2[NewPointsHome],Table2[GameDate], "&lt;=" &amp; $A116, Table2[HomeTeam], N$1)</f>
        <v>13</v>
      </c>
      <c r="O116" s="145">
        <f>SUMIFS(Table2[NewPointsAway],Table2[GameDate], "&lt;=" &amp; $A116, Table2[AwayTeam], O$1)+SUMIFS(Table2[NewPointsHome],Table2[GameDate], "&lt;=" &amp; $A116, Table2[HomeTeam], O$1)</f>
        <v>9</v>
      </c>
      <c r="P116" s="145">
        <f>SUMIFS(Table2[NewPointsAway],Table2[GameDate], "&lt;=" &amp; $A116, Table2[AwayTeam], P$1)+SUMIFS(Table2[NewPointsHome],Table2[GameDate], "&lt;=" &amp; $A116, Table2[HomeTeam], P$1)</f>
        <v>16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10</v>
      </c>
      <c r="U116" s="145">
        <f>SUMIFS(Table2[NewPointsAway],Table2[GameDate], "&lt;=" &amp; $A116, Table2[AwayTeam], U$1)+SUMIFS(Table2[NewPointsHome],Table2[GameDate], "&lt;=" &amp; $A116, Table2[HomeTeam], U$1)</f>
        <v>11</v>
      </c>
      <c r="V116" s="145">
        <f>SUMIFS(Table2[NewPointsAway],Table2[GameDate], "&lt;=" &amp; $A116, Table2[AwayTeam], V$1)+SUMIFS(Table2[NewPointsHome],Table2[GameDate], "&lt;=" &amp; $A116, Table2[HomeTeam], V$1)</f>
        <v>11</v>
      </c>
      <c r="W116" s="145">
        <f>SUMIFS(Table2[NewPointsAway],Table2[GameDate], "&lt;=" &amp; $A116, Table2[AwayTeam], W$1)+SUMIFS(Table2[NewPointsHome],Table2[GameDate], "&lt;=" &amp; $A116, Table2[HomeTeam], W$1)</f>
        <v>16</v>
      </c>
      <c r="X116" s="145">
        <f>SUMIFS(Table2[NewPointsAway],Table2[GameDate], "&lt;=" &amp; $A116, Table2[AwayTeam], X$1)+SUMIFS(Table2[NewPointsHome],Table2[GameDate], "&lt;=" &amp; $A116, Table2[HomeTeam], X$1)</f>
        <v>13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10</v>
      </c>
      <c r="AB116" s="145">
        <f>SUMIFS(Table2[NewPointsAway],Table2[GameDate], "&lt;=" &amp; $A116, Table2[AwayTeam], AB$1)+SUMIFS(Table2[NewPointsHome],Table2[GameDate], "&lt;=" &amp; $A116, Table2[HomeTeam], AB$1)</f>
        <v>11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15</v>
      </c>
      <c r="AF116" s="145">
        <f>SUMIFS(Table2[NewPointsAway],Table2[GameDate], "&lt;=" &amp; $A116, Table2[AwayTeam], AF$1)+SUMIFS(Table2[NewPointsHome],Table2[GameDate], "&lt;=" &amp; $A116, Table2[HomeTeam], AF$1)</f>
        <v>14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11</v>
      </c>
      <c r="C117" s="145">
        <f>SUMIFS(Table2[NewPointsAway],Table2[GameDate], "&lt;=" &amp; $A117, Table2[AwayTeam], C$1)+SUMIFS(Table2[NewPointsHome],Table2[GameDate], "&lt;=" &amp; $A117, Table2[HomeTeam], C$1)</f>
        <v>10</v>
      </c>
      <c r="D117" s="145">
        <f>SUMIFS(Table2[NewPointsAway],Table2[GameDate], "&lt;=" &amp; $A117, Table2[AwayTeam], D$1)+SUMIFS(Table2[NewPointsHome],Table2[GameDate], "&lt;=" &amp; $A117, Table2[HomeTeam], D$1)</f>
        <v>10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12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12</v>
      </c>
      <c r="I117" s="145">
        <f>SUMIFS(Table2[NewPointsAway],Table2[GameDate], "&lt;=" &amp; $A117, Table2[AwayTeam], I$1)+SUMIFS(Table2[NewPointsHome],Table2[GameDate], "&lt;=" &amp; $A117, Table2[HomeTeam], I$1)</f>
        <v>16</v>
      </c>
      <c r="J117" s="145">
        <f>SUMIFS(Table2[NewPointsAway],Table2[GameDate], "&lt;=" &amp; $A117, Table2[AwayTeam], J$1)+SUMIFS(Table2[NewPointsHome],Table2[GameDate], "&lt;=" &amp; $A117, Table2[HomeTeam], J$1)</f>
        <v>13</v>
      </c>
      <c r="K117" s="145">
        <f>SUMIFS(Table2[NewPointsAway],Table2[GameDate], "&lt;=" &amp; $A117, Table2[AwayTeam], K$1)+SUMIFS(Table2[NewPointsHome],Table2[GameDate], "&lt;=" &amp; $A117, Table2[HomeTeam], K$1)</f>
        <v>14</v>
      </c>
      <c r="L117" s="145">
        <f>SUMIFS(Table2[NewPointsAway],Table2[GameDate], "&lt;=" &amp; $A117, Table2[AwayTeam], L$1)+SUMIFS(Table2[NewPointsHome],Table2[GameDate], "&lt;=" &amp; $A117, Table2[HomeTeam], L$1)</f>
        <v>12</v>
      </c>
      <c r="M117" s="145">
        <f>SUMIFS(Table2[NewPointsAway],Table2[GameDate], "&lt;=" &amp; $A117, Table2[AwayTeam], M$1)+SUMIFS(Table2[NewPointsHome],Table2[GameDate], "&lt;=" &amp; $A117, Table2[HomeTeam], M$1)</f>
        <v>11</v>
      </c>
      <c r="N117" s="145">
        <f>SUMIFS(Table2[NewPointsAway],Table2[GameDate], "&lt;=" &amp; $A117, Table2[AwayTeam], N$1)+SUMIFS(Table2[NewPointsHome],Table2[GameDate], "&lt;=" &amp; $A117, Table2[HomeTeam], N$1)</f>
        <v>13</v>
      </c>
      <c r="O117" s="145">
        <f>SUMIFS(Table2[NewPointsAway],Table2[GameDate], "&lt;=" &amp; $A117, Table2[AwayTeam], O$1)+SUMIFS(Table2[NewPointsHome],Table2[GameDate], "&lt;=" &amp; $A117, Table2[HomeTeam], O$1)</f>
        <v>9</v>
      </c>
      <c r="P117" s="145">
        <f>SUMIFS(Table2[NewPointsAway],Table2[GameDate], "&lt;=" &amp; $A117, Table2[AwayTeam], P$1)+SUMIFS(Table2[NewPointsHome],Table2[GameDate], "&lt;=" &amp; $A117, Table2[HomeTeam], P$1)</f>
        <v>16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10</v>
      </c>
      <c r="U117" s="145">
        <f>SUMIFS(Table2[NewPointsAway],Table2[GameDate], "&lt;=" &amp; $A117, Table2[AwayTeam], U$1)+SUMIFS(Table2[NewPointsHome],Table2[GameDate], "&lt;=" &amp; $A117, Table2[HomeTeam], U$1)</f>
        <v>11</v>
      </c>
      <c r="V117" s="145">
        <f>SUMIFS(Table2[NewPointsAway],Table2[GameDate], "&lt;=" &amp; $A117, Table2[AwayTeam], V$1)+SUMIFS(Table2[NewPointsHome],Table2[GameDate], "&lt;=" &amp; $A117, Table2[HomeTeam], V$1)</f>
        <v>11</v>
      </c>
      <c r="W117" s="145">
        <f>SUMIFS(Table2[NewPointsAway],Table2[GameDate], "&lt;=" &amp; $A117, Table2[AwayTeam], W$1)+SUMIFS(Table2[NewPointsHome],Table2[GameDate], "&lt;=" &amp; $A117, Table2[HomeTeam], W$1)</f>
        <v>16</v>
      </c>
      <c r="X117" s="145">
        <f>SUMIFS(Table2[NewPointsAway],Table2[GameDate], "&lt;=" &amp; $A117, Table2[AwayTeam], X$1)+SUMIFS(Table2[NewPointsHome],Table2[GameDate], "&lt;=" &amp; $A117, Table2[HomeTeam], X$1)</f>
        <v>13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10</v>
      </c>
      <c r="AB117" s="145">
        <f>SUMIFS(Table2[NewPointsAway],Table2[GameDate], "&lt;=" &amp; $A117, Table2[AwayTeam], AB$1)+SUMIFS(Table2[NewPointsHome],Table2[GameDate], "&lt;=" &amp; $A117, Table2[HomeTeam], AB$1)</f>
        <v>11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15</v>
      </c>
      <c r="AF117" s="145">
        <f>SUMIFS(Table2[NewPointsAway],Table2[GameDate], "&lt;=" &amp; $A117, Table2[AwayTeam], AF$1)+SUMIFS(Table2[NewPointsHome],Table2[GameDate], "&lt;=" &amp; $A117, Table2[HomeTeam], AF$1)</f>
        <v>14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11</v>
      </c>
      <c r="C118" s="145">
        <f>SUMIFS(Table2[NewPointsAway],Table2[GameDate], "&lt;=" &amp; $A118, Table2[AwayTeam], C$1)+SUMIFS(Table2[NewPointsHome],Table2[GameDate], "&lt;=" &amp; $A118, Table2[HomeTeam], C$1)</f>
        <v>10</v>
      </c>
      <c r="D118" s="145">
        <f>SUMIFS(Table2[NewPointsAway],Table2[GameDate], "&lt;=" &amp; $A118, Table2[AwayTeam], D$1)+SUMIFS(Table2[NewPointsHome],Table2[GameDate], "&lt;=" &amp; $A118, Table2[HomeTeam], D$1)</f>
        <v>10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12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12</v>
      </c>
      <c r="I118" s="145">
        <f>SUMIFS(Table2[NewPointsAway],Table2[GameDate], "&lt;=" &amp; $A118, Table2[AwayTeam], I$1)+SUMIFS(Table2[NewPointsHome],Table2[GameDate], "&lt;=" &amp; $A118, Table2[HomeTeam], I$1)</f>
        <v>16</v>
      </c>
      <c r="J118" s="145">
        <f>SUMIFS(Table2[NewPointsAway],Table2[GameDate], "&lt;=" &amp; $A118, Table2[AwayTeam], J$1)+SUMIFS(Table2[NewPointsHome],Table2[GameDate], "&lt;=" &amp; $A118, Table2[HomeTeam], J$1)</f>
        <v>13</v>
      </c>
      <c r="K118" s="145">
        <f>SUMIFS(Table2[NewPointsAway],Table2[GameDate], "&lt;=" &amp; $A118, Table2[AwayTeam], K$1)+SUMIFS(Table2[NewPointsHome],Table2[GameDate], "&lt;=" &amp; $A118, Table2[HomeTeam], K$1)</f>
        <v>14</v>
      </c>
      <c r="L118" s="145">
        <f>SUMIFS(Table2[NewPointsAway],Table2[GameDate], "&lt;=" &amp; $A118, Table2[AwayTeam], L$1)+SUMIFS(Table2[NewPointsHome],Table2[GameDate], "&lt;=" &amp; $A118, Table2[HomeTeam], L$1)</f>
        <v>12</v>
      </c>
      <c r="M118" s="145">
        <f>SUMIFS(Table2[NewPointsAway],Table2[GameDate], "&lt;=" &amp; $A118, Table2[AwayTeam], M$1)+SUMIFS(Table2[NewPointsHome],Table2[GameDate], "&lt;=" &amp; $A118, Table2[HomeTeam], M$1)</f>
        <v>11</v>
      </c>
      <c r="N118" s="145">
        <f>SUMIFS(Table2[NewPointsAway],Table2[GameDate], "&lt;=" &amp; $A118, Table2[AwayTeam], N$1)+SUMIFS(Table2[NewPointsHome],Table2[GameDate], "&lt;=" &amp; $A118, Table2[HomeTeam], N$1)</f>
        <v>13</v>
      </c>
      <c r="O118" s="145">
        <f>SUMIFS(Table2[NewPointsAway],Table2[GameDate], "&lt;=" &amp; $A118, Table2[AwayTeam], O$1)+SUMIFS(Table2[NewPointsHome],Table2[GameDate], "&lt;=" &amp; $A118, Table2[HomeTeam], O$1)</f>
        <v>9</v>
      </c>
      <c r="P118" s="145">
        <f>SUMIFS(Table2[NewPointsAway],Table2[GameDate], "&lt;=" &amp; $A118, Table2[AwayTeam], P$1)+SUMIFS(Table2[NewPointsHome],Table2[GameDate], "&lt;=" &amp; $A118, Table2[HomeTeam], P$1)</f>
        <v>16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10</v>
      </c>
      <c r="U118" s="145">
        <f>SUMIFS(Table2[NewPointsAway],Table2[GameDate], "&lt;=" &amp; $A118, Table2[AwayTeam], U$1)+SUMIFS(Table2[NewPointsHome],Table2[GameDate], "&lt;=" &amp; $A118, Table2[HomeTeam], U$1)</f>
        <v>11</v>
      </c>
      <c r="V118" s="145">
        <f>SUMIFS(Table2[NewPointsAway],Table2[GameDate], "&lt;=" &amp; $A118, Table2[AwayTeam], V$1)+SUMIFS(Table2[NewPointsHome],Table2[GameDate], "&lt;=" &amp; $A118, Table2[HomeTeam], V$1)</f>
        <v>11</v>
      </c>
      <c r="W118" s="145">
        <f>SUMIFS(Table2[NewPointsAway],Table2[GameDate], "&lt;=" &amp; $A118, Table2[AwayTeam], W$1)+SUMIFS(Table2[NewPointsHome],Table2[GameDate], "&lt;=" &amp; $A118, Table2[HomeTeam], W$1)</f>
        <v>16</v>
      </c>
      <c r="X118" s="145">
        <f>SUMIFS(Table2[NewPointsAway],Table2[GameDate], "&lt;=" &amp; $A118, Table2[AwayTeam], X$1)+SUMIFS(Table2[NewPointsHome],Table2[GameDate], "&lt;=" &amp; $A118, Table2[HomeTeam], X$1)</f>
        <v>13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10</v>
      </c>
      <c r="AB118" s="145">
        <f>SUMIFS(Table2[NewPointsAway],Table2[GameDate], "&lt;=" &amp; $A118, Table2[AwayTeam], AB$1)+SUMIFS(Table2[NewPointsHome],Table2[GameDate], "&lt;=" &amp; $A118, Table2[HomeTeam], AB$1)</f>
        <v>11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15</v>
      </c>
      <c r="AF118" s="145">
        <f>SUMIFS(Table2[NewPointsAway],Table2[GameDate], "&lt;=" &amp; $A118, Table2[AwayTeam], AF$1)+SUMIFS(Table2[NewPointsHome],Table2[GameDate], "&lt;=" &amp; $A118, Table2[HomeTeam], AF$1)</f>
        <v>14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11</v>
      </c>
      <c r="C119" s="145">
        <f>SUMIFS(Table2[NewPointsAway],Table2[GameDate], "&lt;=" &amp; $A119, Table2[AwayTeam], C$1)+SUMIFS(Table2[NewPointsHome],Table2[GameDate], "&lt;=" &amp; $A119, Table2[HomeTeam], C$1)</f>
        <v>10</v>
      </c>
      <c r="D119" s="145">
        <f>SUMIFS(Table2[NewPointsAway],Table2[GameDate], "&lt;=" &amp; $A119, Table2[AwayTeam], D$1)+SUMIFS(Table2[NewPointsHome],Table2[GameDate], "&lt;=" &amp; $A119, Table2[HomeTeam], D$1)</f>
        <v>10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12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12</v>
      </c>
      <c r="I119" s="145">
        <f>SUMIFS(Table2[NewPointsAway],Table2[GameDate], "&lt;=" &amp; $A119, Table2[AwayTeam], I$1)+SUMIFS(Table2[NewPointsHome],Table2[GameDate], "&lt;=" &amp; $A119, Table2[HomeTeam], I$1)</f>
        <v>16</v>
      </c>
      <c r="J119" s="145">
        <f>SUMIFS(Table2[NewPointsAway],Table2[GameDate], "&lt;=" &amp; $A119, Table2[AwayTeam], J$1)+SUMIFS(Table2[NewPointsHome],Table2[GameDate], "&lt;=" &amp; $A119, Table2[HomeTeam], J$1)</f>
        <v>13</v>
      </c>
      <c r="K119" s="145">
        <f>SUMIFS(Table2[NewPointsAway],Table2[GameDate], "&lt;=" &amp; $A119, Table2[AwayTeam], K$1)+SUMIFS(Table2[NewPointsHome],Table2[GameDate], "&lt;=" &amp; $A119, Table2[HomeTeam], K$1)</f>
        <v>14</v>
      </c>
      <c r="L119" s="145">
        <f>SUMIFS(Table2[NewPointsAway],Table2[GameDate], "&lt;=" &amp; $A119, Table2[AwayTeam], L$1)+SUMIFS(Table2[NewPointsHome],Table2[GameDate], "&lt;=" &amp; $A119, Table2[HomeTeam], L$1)</f>
        <v>12</v>
      </c>
      <c r="M119" s="145">
        <f>SUMIFS(Table2[NewPointsAway],Table2[GameDate], "&lt;=" &amp; $A119, Table2[AwayTeam], M$1)+SUMIFS(Table2[NewPointsHome],Table2[GameDate], "&lt;=" &amp; $A119, Table2[HomeTeam], M$1)</f>
        <v>11</v>
      </c>
      <c r="N119" s="145">
        <f>SUMIFS(Table2[NewPointsAway],Table2[GameDate], "&lt;=" &amp; $A119, Table2[AwayTeam], N$1)+SUMIFS(Table2[NewPointsHome],Table2[GameDate], "&lt;=" &amp; $A119, Table2[HomeTeam], N$1)</f>
        <v>13</v>
      </c>
      <c r="O119" s="145">
        <f>SUMIFS(Table2[NewPointsAway],Table2[GameDate], "&lt;=" &amp; $A119, Table2[AwayTeam], O$1)+SUMIFS(Table2[NewPointsHome],Table2[GameDate], "&lt;=" &amp; $A119, Table2[HomeTeam], O$1)</f>
        <v>9</v>
      </c>
      <c r="P119" s="145">
        <f>SUMIFS(Table2[NewPointsAway],Table2[GameDate], "&lt;=" &amp; $A119, Table2[AwayTeam], P$1)+SUMIFS(Table2[NewPointsHome],Table2[GameDate], "&lt;=" &amp; $A119, Table2[HomeTeam], P$1)</f>
        <v>16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10</v>
      </c>
      <c r="U119" s="145">
        <f>SUMIFS(Table2[NewPointsAway],Table2[GameDate], "&lt;=" &amp; $A119, Table2[AwayTeam], U$1)+SUMIFS(Table2[NewPointsHome],Table2[GameDate], "&lt;=" &amp; $A119, Table2[HomeTeam], U$1)</f>
        <v>11</v>
      </c>
      <c r="V119" s="145">
        <f>SUMIFS(Table2[NewPointsAway],Table2[GameDate], "&lt;=" &amp; $A119, Table2[AwayTeam], V$1)+SUMIFS(Table2[NewPointsHome],Table2[GameDate], "&lt;=" &amp; $A119, Table2[HomeTeam], V$1)</f>
        <v>11</v>
      </c>
      <c r="W119" s="145">
        <f>SUMIFS(Table2[NewPointsAway],Table2[GameDate], "&lt;=" &amp; $A119, Table2[AwayTeam], W$1)+SUMIFS(Table2[NewPointsHome],Table2[GameDate], "&lt;=" &amp; $A119, Table2[HomeTeam], W$1)</f>
        <v>16</v>
      </c>
      <c r="X119" s="145">
        <f>SUMIFS(Table2[NewPointsAway],Table2[GameDate], "&lt;=" &amp; $A119, Table2[AwayTeam], X$1)+SUMIFS(Table2[NewPointsHome],Table2[GameDate], "&lt;=" &amp; $A119, Table2[HomeTeam], X$1)</f>
        <v>13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10</v>
      </c>
      <c r="AB119" s="145">
        <f>SUMIFS(Table2[NewPointsAway],Table2[GameDate], "&lt;=" &amp; $A119, Table2[AwayTeam], AB$1)+SUMIFS(Table2[NewPointsHome],Table2[GameDate], "&lt;=" &amp; $A119, Table2[HomeTeam], AB$1)</f>
        <v>11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15</v>
      </c>
      <c r="AF119" s="145">
        <f>SUMIFS(Table2[NewPointsAway],Table2[GameDate], "&lt;=" &amp; $A119, Table2[AwayTeam], AF$1)+SUMIFS(Table2[NewPointsHome],Table2[GameDate], "&lt;=" &amp; $A119, Table2[HomeTeam], AF$1)</f>
        <v>14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11</v>
      </c>
      <c r="C120" s="145">
        <f>SUMIFS(Table2[NewPointsAway],Table2[GameDate], "&lt;=" &amp; $A120, Table2[AwayTeam], C$1)+SUMIFS(Table2[NewPointsHome],Table2[GameDate], "&lt;=" &amp; $A120, Table2[HomeTeam], C$1)</f>
        <v>10</v>
      </c>
      <c r="D120" s="145">
        <f>SUMIFS(Table2[NewPointsAway],Table2[GameDate], "&lt;=" &amp; $A120, Table2[AwayTeam], D$1)+SUMIFS(Table2[NewPointsHome],Table2[GameDate], "&lt;=" &amp; $A120, Table2[HomeTeam], D$1)</f>
        <v>10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12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12</v>
      </c>
      <c r="I120" s="145">
        <f>SUMIFS(Table2[NewPointsAway],Table2[GameDate], "&lt;=" &amp; $A120, Table2[AwayTeam], I$1)+SUMIFS(Table2[NewPointsHome],Table2[GameDate], "&lt;=" &amp; $A120, Table2[HomeTeam], I$1)</f>
        <v>16</v>
      </c>
      <c r="J120" s="145">
        <f>SUMIFS(Table2[NewPointsAway],Table2[GameDate], "&lt;=" &amp; $A120, Table2[AwayTeam], J$1)+SUMIFS(Table2[NewPointsHome],Table2[GameDate], "&lt;=" &amp; $A120, Table2[HomeTeam], J$1)</f>
        <v>13</v>
      </c>
      <c r="K120" s="145">
        <f>SUMIFS(Table2[NewPointsAway],Table2[GameDate], "&lt;=" &amp; $A120, Table2[AwayTeam], K$1)+SUMIFS(Table2[NewPointsHome],Table2[GameDate], "&lt;=" &amp; $A120, Table2[HomeTeam], K$1)</f>
        <v>14</v>
      </c>
      <c r="L120" s="145">
        <f>SUMIFS(Table2[NewPointsAway],Table2[GameDate], "&lt;=" &amp; $A120, Table2[AwayTeam], L$1)+SUMIFS(Table2[NewPointsHome],Table2[GameDate], "&lt;=" &amp; $A120, Table2[HomeTeam], L$1)</f>
        <v>12</v>
      </c>
      <c r="M120" s="145">
        <f>SUMIFS(Table2[NewPointsAway],Table2[GameDate], "&lt;=" &amp; $A120, Table2[AwayTeam], M$1)+SUMIFS(Table2[NewPointsHome],Table2[GameDate], "&lt;=" &amp; $A120, Table2[HomeTeam], M$1)</f>
        <v>11</v>
      </c>
      <c r="N120" s="145">
        <f>SUMIFS(Table2[NewPointsAway],Table2[GameDate], "&lt;=" &amp; $A120, Table2[AwayTeam], N$1)+SUMIFS(Table2[NewPointsHome],Table2[GameDate], "&lt;=" &amp; $A120, Table2[HomeTeam], N$1)</f>
        <v>13</v>
      </c>
      <c r="O120" s="145">
        <f>SUMIFS(Table2[NewPointsAway],Table2[GameDate], "&lt;=" &amp; $A120, Table2[AwayTeam], O$1)+SUMIFS(Table2[NewPointsHome],Table2[GameDate], "&lt;=" &amp; $A120, Table2[HomeTeam], O$1)</f>
        <v>9</v>
      </c>
      <c r="P120" s="145">
        <f>SUMIFS(Table2[NewPointsAway],Table2[GameDate], "&lt;=" &amp; $A120, Table2[AwayTeam], P$1)+SUMIFS(Table2[NewPointsHome],Table2[GameDate], "&lt;=" &amp; $A120, Table2[HomeTeam], P$1)</f>
        <v>16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10</v>
      </c>
      <c r="U120" s="145">
        <f>SUMIFS(Table2[NewPointsAway],Table2[GameDate], "&lt;=" &amp; $A120, Table2[AwayTeam], U$1)+SUMIFS(Table2[NewPointsHome],Table2[GameDate], "&lt;=" &amp; $A120, Table2[HomeTeam], U$1)</f>
        <v>11</v>
      </c>
      <c r="V120" s="145">
        <f>SUMIFS(Table2[NewPointsAway],Table2[GameDate], "&lt;=" &amp; $A120, Table2[AwayTeam], V$1)+SUMIFS(Table2[NewPointsHome],Table2[GameDate], "&lt;=" &amp; $A120, Table2[HomeTeam], V$1)</f>
        <v>11</v>
      </c>
      <c r="W120" s="145">
        <f>SUMIFS(Table2[NewPointsAway],Table2[GameDate], "&lt;=" &amp; $A120, Table2[AwayTeam], W$1)+SUMIFS(Table2[NewPointsHome],Table2[GameDate], "&lt;=" &amp; $A120, Table2[HomeTeam], W$1)</f>
        <v>16</v>
      </c>
      <c r="X120" s="145">
        <f>SUMIFS(Table2[NewPointsAway],Table2[GameDate], "&lt;=" &amp; $A120, Table2[AwayTeam], X$1)+SUMIFS(Table2[NewPointsHome],Table2[GameDate], "&lt;=" &amp; $A120, Table2[HomeTeam], X$1)</f>
        <v>13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10</v>
      </c>
      <c r="AB120" s="145">
        <f>SUMIFS(Table2[NewPointsAway],Table2[GameDate], "&lt;=" &amp; $A120, Table2[AwayTeam], AB$1)+SUMIFS(Table2[NewPointsHome],Table2[GameDate], "&lt;=" &amp; $A120, Table2[HomeTeam], AB$1)</f>
        <v>11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15</v>
      </c>
      <c r="AF120" s="145">
        <f>SUMIFS(Table2[NewPointsAway],Table2[GameDate], "&lt;=" &amp; $A120, Table2[AwayTeam], AF$1)+SUMIFS(Table2[NewPointsHome],Table2[GameDate], "&lt;=" &amp; $A120, Table2[HomeTeam], AF$1)</f>
        <v>14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11</v>
      </c>
      <c r="C121" s="145">
        <f>SUMIFS(Table2[NewPointsAway],Table2[GameDate], "&lt;=" &amp; $A121, Table2[AwayTeam], C$1)+SUMIFS(Table2[NewPointsHome],Table2[GameDate], "&lt;=" &amp; $A121, Table2[HomeTeam], C$1)</f>
        <v>10</v>
      </c>
      <c r="D121" s="145">
        <f>SUMIFS(Table2[NewPointsAway],Table2[GameDate], "&lt;=" &amp; $A121, Table2[AwayTeam], D$1)+SUMIFS(Table2[NewPointsHome],Table2[GameDate], "&lt;=" &amp; $A121, Table2[HomeTeam], D$1)</f>
        <v>10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12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12</v>
      </c>
      <c r="I121" s="145">
        <f>SUMIFS(Table2[NewPointsAway],Table2[GameDate], "&lt;=" &amp; $A121, Table2[AwayTeam], I$1)+SUMIFS(Table2[NewPointsHome],Table2[GameDate], "&lt;=" &amp; $A121, Table2[HomeTeam], I$1)</f>
        <v>16</v>
      </c>
      <c r="J121" s="145">
        <f>SUMIFS(Table2[NewPointsAway],Table2[GameDate], "&lt;=" &amp; $A121, Table2[AwayTeam], J$1)+SUMIFS(Table2[NewPointsHome],Table2[GameDate], "&lt;=" &amp; $A121, Table2[HomeTeam], J$1)</f>
        <v>13</v>
      </c>
      <c r="K121" s="145">
        <f>SUMIFS(Table2[NewPointsAway],Table2[GameDate], "&lt;=" &amp; $A121, Table2[AwayTeam], K$1)+SUMIFS(Table2[NewPointsHome],Table2[GameDate], "&lt;=" &amp; $A121, Table2[HomeTeam], K$1)</f>
        <v>14</v>
      </c>
      <c r="L121" s="145">
        <f>SUMIFS(Table2[NewPointsAway],Table2[GameDate], "&lt;=" &amp; $A121, Table2[AwayTeam], L$1)+SUMIFS(Table2[NewPointsHome],Table2[GameDate], "&lt;=" &amp; $A121, Table2[HomeTeam], L$1)</f>
        <v>12</v>
      </c>
      <c r="M121" s="145">
        <f>SUMIFS(Table2[NewPointsAway],Table2[GameDate], "&lt;=" &amp; $A121, Table2[AwayTeam], M$1)+SUMIFS(Table2[NewPointsHome],Table2[GameDate], "&lt;=" &amp; $A121, Table2[HomeTeam], M$1)</f>
        <v>11</v>
      </c>
      <c r="N121" s="145">
        <f>SUMIFS(Table2[NewPointsAway],Table2[GameDate], "&lt;=" &amp; $A121, Table2[AwayTeam], N$1)+SUMIFS(Table2[NewPointsHome],Table2[GameDate], "&lt;=" &amp; $A121, Table2[HomeTeam], N$1)</f>
        <v>13</v>
      </c>
      <c r="O121" s="145">
        <f>SUMIFS(Table2[NewPointsAway],Table2[GameDate], "&lt;=" &amp; $A121, Table2[AwayTeam], O$1)+SUMIFS(Table2[NewPointsHome],Table2[GameDate], "&lt;=" &amp; $A121, Table2[HomeTeam], O$1)</f>
        <v>9</v>
      </c>
      <c r="P121" s="145">
        <f>SUMIFS(Table2[NewPointsAway],Table2[GameDate], "&lt;=" &amp; $A121, Table2[AwayTeam], P$1)+SUMIFS(Table2[NewPointsHome],Table2[GameDate], "&lt;=" &amp; $A121, Table2[HomeTeam], P$1)</f>
        <v>16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10</v>
      </c>
      <c r="U121" s="145">
        <f>SUMIFS(Table2[NewPointsAway],Table2[GameDate], "&lt;=" &amp; $A121, Table2[AwayTeam], U$1)+SUMIFS(Table2[NewPointsHome],Table2[GameDate], "&lt;=" &amp; $A121, Table2[HomeTeam], U$1)</f>
        <v>11</v>
      </c>
      <c r="V121" s="145">
        <f>SUMIFS(Table2[NewPointsAway],Table2[GameDate], "&lt;=" &amp; $A121, Table2[AwayTeam], V$1)+SUMIFS(Table2[NewPointsHome],Table2[GameDate], "&lt;=" &amp; $A121, Table2[HomeTeam], V$1)</f>
        <v>11</v>
      </c>
      <c r="W121" s="145">
        <f>SUMIFS(Table2[NewPointsAway],Table2[GameDate], "&lt;=" &amp; $A121, Table2[AwayTeam], W$1)+SUMIFS(Table2[NewPointsHome],Table2[GameDate], "&lt;=" &amp; $A121, Table2[HomeTeam], W$1)</f>
        <v>16</v>
      </c>
      <c r="X121" s="145">
        <f>SUMIFS(Table2[NewPointsAway],Table2[GameDate], "&lt;=" &amp; $A121, Table2[AwayTeam], X$1)+SUMIFS(Table2[NewPointsHome],Table2[GameDate], "&lt;=" &amp; $A121, Table2[HomeTeam], X$1)</f>
        <v>13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10</v>
      </c>
      <c r="AB121" s="145">
        <f>SUMIFS(Table2[NewPointsAway],Table2[GameDate], "&lt;=" &amp; $A121, Table2[AwayTeam], AB$1)+SUMIFS(Table2[NewPointsHome],Table2[GameDate], "&lt;=" &amp; $A121, Table2[HomeTeam], AB$1)</f>
        <v>11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15</v>
      </c>
      <c r="AF121" s="145">
        <f>SUMIFS(Table2[NewPointsAway],Table2[GameDate], "&lt;=" &amp; $A121, Table2[AwayTeam], AF$1)+SUMIFS(Table2[NewPointsHome],Table2[GameDate], "&lt;=" &amp; $A121, Table2[HomeTeam], AF$1)</f>
        <v>14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11</v>
      </c>
      <c r="C122" s="145">
        <f>SUMIFS(Table2[NewPointsAway],Table2[GameDate], "&lt;=" &amp; $A122, Table2[AwayTeam], C$1)+SUMIFS(Table2[NewPointsHome],Table2[GameDate], "&lt;=" &amp; $A122, Table2[HomeTeam], C$1)</f>
        <v>10</v>
      </c>
      <c r="D122" s="145">
        <f>SUMIFS(Table2[NewPointsAway],Table2[GameDate], "&lt;=" &amp; $A122, Table2[AwayTeam], D$1)+SUMIFS(Table2[NewPointsHome],Table2[GameDate], "&lt;=" &amp; $A122, Table2[HomeTeam], D$1)</f>
        <v>10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12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12</v>
      </c>
      <c r="I122" s="145">
        <f>SUMIFS(Table2[NewPointsAway],Table2[GameDate], "&lt;=" &amp; $A122, Table2[AwayTeam], I$1)+SUMIFS(Table2[NewPointsHome],Table2[GameDate], "&lt;=" &amp; $A122, Table2[HomeTeam], I$1)</f>
        <v>16</v>
      </c>
      <c r="J122" s="145">
        <f>SUMIFS(Table2[NewPointsAway],Table2[GameDate], "&lt;=" &amp; $A122, Table2[AwayTeam], J$1)+SUMIFS(Table2[NewPointsHome],Table2[GameDate], "&lt;=" &amp; $A122, Table2[HomeTeam], J$1)</f>
        <v>13</v>
      </c>
      <c r="K122" s="145">
        <f>SUMIFS(Table2[NewPointsAway],Table2[GameDate], "&lt;=" &amp; $A122, Table2[AwayTeam], K$1)+SUMIFS(Table2[NewPointsHome],Table2[GameDate], "&lt;=" &amp; $A122, Table2[HomeTeam], K$1)</f>
        <v>14</v>
      </c>
      <c r="L122" s="145">
        <f>SUMIFS(Table2[NewPointsAway],Table2[GameDate], "&lt;=" &amp; $A122, Table2[AwayTeam], L$1)+SUMIFS(Table2[NewPointsHome],Table2[GameDate], "&lt;=" &amp; $A122, Table2[HomeTeam], L$1)</f>
        <v>12</v>
      </c>
      <c r="M122" s="145">
        <f>SUMIFS(Table2[NewPointsAway],Table2[GameDate], "&lt;=" &amp; $A122, Table2[AwayTeam], M$1)+SUMIFS(Table2[NewPointsHome],Table2[GameDate], "&lt;=" &amp; $A122, Table2[HomeTeam], M$1)</f>
        <v>11</v>
      </c>
      <c r="N122" s="145">
        <f>SUMIFS(Table2[NewPointsAway],Table2[GameDate], "&lt;=" &amp; $A122, Table2[AwayTeam], N$1)+SUMIFS(Table2[NewPointsHome],Table2[GameDate], "&lt;=" &amp; $A122, Table2[HomeTeam], N$1)</f>
        <v>13</v>
      </c>
      <c r="O122" s="145">
        <f>SUMIFS(Table2[NewPointsAway],Table2[GameDate], "&lt;=" &amp; $A122, Table2[AwayTeam], O$1)+SUMIFS(Table2[NewPointsHome],Table2[GameDate], "&lt;=" &amp; $A122, Table2[HomeTeam], O$1)</f>
        <v>9</v>
      </c>
      <c r="P122" s="145">
        <f>SUMIFS(Table2[NewPointsAway],Table2[GameDate], "&lt;=" &amp; $A122, Table2[AwayTeam], P$1)+SUMIFS(Table2[NewPointsHome],Table2[GameDate], "&lt;=" &amp; $A122, Table2[HomeTeam], P$1)</f>
        <v>16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10</v>
      </c>
      <c r="U122" s="145">
        <f>SUMIFS(Table2[NewPointsAway],Table2[GameDate], "&lt;=" &amp; $A122, Table2[AwayTeam], U$1)+SUMIFS(Table2[NewPointsHome],Table2[GameDate], "&lt;=" &amp; $A122, Table2[HomeTeam], U$1)</f>
        <v>11</v>
      </c>
      <c r="V122" s="145">
        <f>SUMIFS(Table2[NewPointsAway],Table2[GameDate], "&lt;=" &amp; $A122, Table2[AwayTeam], V$1)+SUMIFS(Table2[NewPointsHome],Table2[GameDate], "&lt;=" &amp; $A122, Table2[HomeTeam], V$1)</f>
        <v>11</v>
      </c>
      <c r="W122" s="145">
        <f>SUMIFS(Table2[NewPointsAway],Table2[GameDate], "&lt;=" &amp; $A122, Table2[AwayTeam], W$1)+SUMIFS(Table2[NewPointsHome],Table2[GameDate], "&lt;=" &amp; $A122, Table2[HomeTeam], W$1)</f>
        <v>16</v>
      </c>
      <c r="X122" s="145">
        <f>SUMIFS(Table2[NewPointsAway],Table2[GameDate], "&lt;=" &amp; $A122, Table2[AwayTeam], X$1)+SUMIFS(Table2[NewPointsHome],Table2[GameDate], "&lt;=" &amp; $A122, Table2[HomeTeam], X$1)</f>
        <v>13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10</v>
      </c>
      <c r="AB122" s="145">
        <f>SUMIFS(Table2[NewPointsAway],Table2[GameDate], "&lt;=" &amp; $A122, Table2[AwayTeam], AB$1)+SUMIFS(Table2[NewPointsHome],Table2[GameDate], "&lt;=" &amp; $A122, Table2[HomeTeam], AB$1)</f>
        <v>11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15</v>
      </c>
      <c r="AF122" s="145">
        <f>SUMIFS(Table2[NewPointsAway],Table2[GameDate], "&lt;=" &amp; $A122, Table2[AwayTeam], AF$1)+SUMIFS(Table2[NewPointsHome],Table2[GameDate], "&lt;=" &amp; $A122, Table2[HomeTeam], AF$1)</f>
        <v>14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11</v>
      </c>
      <c r="C123" s="145">
        <f>SUMIFS(Table2[NewPointsAway],Table2[GameDate], "&lt;=" &amp; $A123, Table2[AwayTeam], C$1)+SUMIFS(Table2[NewPointsHome],Table2[GameDate], "&lt;=" &amp; $A123, Table2[HomeTeam], C$1)</f>
        <v>10</v>
      </c>
      <c r="D123" s="145">
        <f>SUMIFS(Table2[NewPointsAway],Table2[GameDate], "&lt;=" &amp; $A123, Table2[AwayTeam], D$1)+SUMIFS(Table2[NewPointsHome],Table2[GameDate], "&lt;=" &amp; $A123, Table2[HomeTeam], D$1)</f>
        <v>10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12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12</v>
      </c>
      <c r="I123" s="145">
        <f>SUMIFS(Table2[NewPointsAway],Table2[GameDate], "&lt;=" &amp; $A123, Table2[AwayTeam], I$1)+SUMIFS(Table2[NewPointsHome],Table2[GameDate], "&lt;=" &amp; $A123, Table2[HomeTeam], I$1)</f>
        <v>16</v>
      </c>
      <c r="J123" s="145">
        <f>SUMIFS(Table2[NewPointsAway],Table2[GameDate], "&lt;=" &amp; $A123, Table2[AwayTeam], J$1)+SUMIFS(Table2[NewPointsHome],Table2[GameDate], "&lt;=" &amp; $A123, Table2[HomeTeam], J$1)</f>
        <v>13</v>
      </c>
      <c r="K123" s="145">
        <f>SUMIFS(Table2[NewPointsAway],Table2[GameDate], "&lt;=" &amp; $A123, Table2[AwayTeam], K$1)+SUMIFS(Table2[NewPointsHome],Table2[GameDate], "&lt;=" &amp; $A123, Table2[HomeTeam], K$1)</f>
        <v>14</v>
      </c>
      <c r="L123" s="145">
        <f>SUMIFS(Table2[NewPointsAway],Table2[GameDate], "&lt;=" &amp; $A123, Table2[AwayTeam], L$1)+SUMIFS(Table2[NewPointsHome],Table2[GameDate], "&lt;=" &amp; $A123, Table2[HomeTeam], L$1)</f>
        <v>12</v>
      </c>
      <c r="M123" s="145">
        <f>SUMIFS(Table2[NewPointsAway],Table2[GameDate], "&lt;=" &amp; $A123, Table2[AwayTeam], M$1)+SUMIFS(Table2[NewPointsHome],Table2[GameDate], "&lt;=" &amp; $A123, Table2[HomeTeam], M$1)</f>
        <v>11</v>
      </c>
      <c r="N123" s="145">
        <f>SUMIFS(Table2[NewPointsAway],Table2[GameDate], "&lt;=" &amp; $A123, Table2[AwayTeam], N$1)+SUMIFS(Table2[NewPointsHome],Table2[GameDate], "&lt;=" &amp; $A123, Table2[HomeTeam], N$1)</f>
        <v>13</v>
      </c>
      <c r="O123" s="145">
        <f>SUMIFS(Table2[NewPointsAway],Table2[GameDate], "&lt;=" &amp; $A123, Table2[AwayTeam], O$1)+SUMIFS(Table2[NewPointsHome],Table2[GameDate], "&lt;=" &amp; $A123, Table2[HomeTeam], O$1)</f>
        <v>9</v>
      </c>
      <c r="P123" s="145">
        <f>SUMIFS(Table2[NewPointsAway],Table2[GameDate], "&lt;=" &amp; $A123, Table2[AwayTeam], P$1)+SUMIFS(Table2[NewPointsHome],Table2[GameDate], "&lt;=" &amp; $A123, Table2[HomeTeam], P$1)</f>
        <v>16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10</v>
      </c>
      <c r="U123" s="145">
        <f>SUMIFS(Table2[NewPointsAway],Table2[GameDate], "&lt;=" &amp; $A123, Table2[AwayTeam], U$1)+SUMIFS(Table2[NewPointsHome],Table2[GameDate], "&lt;=" &amp; $A123, Table2[HomeTeam], U$1)</f>
        <v>11</v>
      </c>
      <c r="V123" s="145">
        <f>SUMIFS(Table2[NewPointsAway],Table2[GameDate], "&lt;=" &amp; $A123, Table2[AwayTeam], V$1)+SUMIFS(Table2[NewPointsHome],Table2[GameDate], "&lt;=" &amp; $A123, Table2[HomeTeam], V$1)</f>
        <v>11</v>
      </c>
      <c r="W123" s="145">
        <f>SUMIFS(Table2[NewPointsAway],Table2[GameDate], "&lt;=" &amp; $A123, Table2[AwayTeam], W$1)+SUMIFS(Table2[NewPointsHome],Table2[GameDate], "&lt;=" &amp; $A123, Table2[HomeTeam], W$1)</f>
        <v>16</v>
      </c>
      <c r="X123" s="145">
        <f>SUMIFS(Table2[NewPointsAway],Table2[GameDate], "&lt;=" &amp; $A123, Table2[AwayTeam], X$1)+SUMIFS(Table2[NewPointsHome],Table2[GameDate], "&lt;=" &amp; $A123, Table2[HomeTeam], X$1)</f>
        <v>13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10</v>
      </c>
      <c r="AB123" s="145">
        <f>SUMIFS(Table2[NewPointsAway],Table2[GameDate], "&lt;=" &amp; $A123, Table2[AwayTeam], AB$1)+SUMIFS(Table2[NewPointsHome],Table2[GameDate], "&lt;=" &amp; $A123, Table2[HomeTeam], AB$1)</f>
        <v>11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15</v>
      </c>
      <c r="AF123" s="145">
        <f>SUMIFS(Table2[NewPointsAway],Table2[GameDate], "&lt;=" &amp; $A123, Table2[AwayTeam], AF$1)+SUMIFS(Table2[NewPointsHome],Table2[GameDate], "&lt;=" &amp; $A123, Table2[HomeTeam], AF$1)</f>
        <v>14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11</v>
      </c>
      <c r="C124" s="145">
        <f>SUMIFS(Table2[NewPointsAway],Table2[GameDate], "&lt;=" &amp; $A124, Table2[AwayTeam], C$1)+SUMIFS(Table2[NewPointsHome],Table2[GameDate], "&lt;=" &amp; $A124, Table2[HomeTeam], C$1)</f>
        <v>10</v>
      </c>
      <c r="D124" s="145">
        <f>SUMIFS(Table2[NewPointsAway],Table2[GameDate], "&lt;=" &amp; $A124, Table2[AwayTeam], D$1)+SUMIFS(Table2[NewPointsHome],Table2[GameDate], "&lt;=" &amp; $A124, Table2[HomeTeam], D$1)</f>
        <v>10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12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12</v>
      </c>
      <c r="I124" s="145">
        <f>SUMIFS(Table2[NewPointsAway],Table2[GameDate], "&lt;=" &amp; $A124, Table2[AwayTeam], I$1)+SUMIFS(Table2[NewPointsHome],Table2[GameDate], "&lt;=" &amp; $A124, Table2[HomeTeam], I$1)</f>
        <v>16</v>
      </c>
      <c r="J124" s="145">
        <f>SUMIFS(Table2[NewPointsAway],Table2[GameDate], "&lt;=" &amp; $A124, Table2[AwayTeam], J$1)+SUMIFS(Table2[NewPointsHome],Table2[GameDate], "&lt;=" &amp; $A124, Table2[HomeTeam], J$1)</f>
        <v>13</v>
      </c>
      <c r="K124" s="145">
        <f>SUMIFS(Table2[NewPointsAway],Table2[GameDate], "&lt;=" &amp; $A124, Table2[AwayTeam], K$1)+SUMIFS(Table2[NewPointsHome],Table2[GameDate], "&lt;=" &amp; $A124, Table2[HomeTeam], K$1)</f>
        <v>14</v>
      </c>
      <c r="L124" s="145">
        <f>SUMIFS(Table2[NewPointsAway],Table2[GameDate], "&lt;=" &amp; $A124, Table2[AwayTeam], L$1)+SUMIFS(Table2[NewPointsHome],Table2[GameDate], "&lt;=" &amp; $A124, Table2[HomeTeam], L$1)</f>
        <v>12</v>
      </c>
      <c r="M124" s="145">
        <f>SUMIFS(Table2[NewPointsAway],Table2[GameDate], "&lt;=" &amp; $A124, Table2[AwayTeam], M$1)+SUMIFS(Table2[NewPointsHome],Table2[GameDate], "&lt;=" &amp; $A124, Table2[HomeTeam], M$1)</f>
        <v>11</v>
      </c>
      <c r="N124" s="145">
        <f>SUMIFS(Table2[NewPointsAway],Table2[GameDate], "&lt;=" &amp; $A124, Table2[AwayTeam], N$1)+SUMIFS(Table2[NewPointsHome],Table2[GameDate], "&lt;=" &amp; $A124, Table2[HomeTeam], N$1)</f>
        <v>13</v>
      </c>
      <c r="O124" s="145">
        <f>SUMIFS(Table2[NewPointsAway],Table2[GameDate], "&lt;=" &amp; $A124, Table2[AwayTeam], O$1)+SUMIFS(Table2[NewPointsHome],Table2[GameDate], "&lt;=" &amp; $A124, Table2[HomeTeam], O$1)</f>
        <v>9</v>
      </c>
      <c r="P124" s="145">
        <f>SUMIFS(Table2[NewPointsAway],Table2[GameDate], "&lt;=" &amp; $A124, Table2[AwayTeam], P$1)+SUMIFS(Table2[NewPointsHome],Table2[GameDate], "&lt;=" &amp; $A124, Table2[HomeTeam], P$1)</f>
        <v>16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10</v>
      </c>
      <c r="U124" s="145">
        <f>SUMIFS(Table2[NewPointsAway],Table2[GameDate], "&lt;=" &amp; $A124, Table2[AwayTeam], U$1)+SUMIFS(Table2[NewPointsHome],Table2[GameDate], "&lt;=" &amp; $A124, Table2[HomeTeam], U$1)</f>
        <v>11</v>
      </c>
      <c r="V124" s="145">
        <f>SUMIFS(Table2[NewPointsAway],Table2[GameDate], "&lt;=" &amp; $A124, Table2[AwayTeam], V$1)+SUMIFS(Table2[NewPointsHome],Table2[GameDate], "&lt;=" &amp; $A124, Table2[HomeTeam], V$1)</f>
        <v>11</v>
      </c>
      <c r="W124" s="145">
        <f>SUMIFS(Table2[NewPointsAway],Table2[GameDate], "&lt;=" &amp; $A124, Table2[AwayTeam], W$1)+SUMIFS(Table2[NewPointsHome],Table2[GameDate], "&lt;=" &amp; $A124, Table2[HomeTeam], W$1)</f>
        <v>16</v>
      </c>
      <c r="X124" s="145">
        <f>SUMIFS(Table2[NewPointsAway],Table2[GameDate], "&lt;=" &amp; $A124, Table2[AwayTeam], X$1)+SUMIFS(Table2[NewPointsHome],Table2[GameDate], "&lt;=" &amp; $A124, Table2[HomeTeam], X$1)</f>
        <v>13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10</v>
      </c>
      <c r="AB124" s="145">
        <f>SUMIFS(Table2[NewPointsAway],Table2[GameDate], "&lt;=" &amp; $A124, Table2[AwayTeam], AB$1)+SUMIFS(Table2[NewPointsHome],Table2[GameDate], "&lt;=" &amp; $A124, Table2[HomeTeam], AB$1)</f>
        <v>11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15</v>
      </c>
      <c r="AF124" s="145">
        <f>SUMIFS(Table2[NewPointsAway],Table2[GameDate], "&lt;=" &amp; $A124, Table2[AwayTeam], AF$1)+SUMIFS(Table2[NewPointsHome],Table2[GameDate], "&lt;=" &amp; $A124, Table2[HomeTeam], AF$1)</f>
        <v>14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11</v>
      </c>
      <c r="C125" s="145">
        <f>SUMIFS(Table2[NewPointsAway],Table2[GameDate], "&lt;=" &amp; $A125, Table2[AwayTeam], C$1)+SUMIFS(Table2[NewPointsHome],Table2[GameDate], "&lt;=" &amp; $A125, Table2[HomeTeam], C$1)</f>
        <v>10</v>
      </c>
      <c r="D125" s="145">
        <f>SUMIFS(Table2[NewPointsAway],Table2[GameDate], "&lt;=" &amp; $A125, Table2[AwayTeam], D$1)+SUMIFS(Table2[NewPointsHome],Table2[GameDate], "&lt;=" &amp; $A125, Table2[HomeTeam], D$1)</f>
        <v>10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12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12</v>
      </c>
      <c r="I125" s="145">
        <f>SUMIFS(Table2[NewPointsAway],Table2[GameDate], "&lt;=" &amp; $A125, Table2[AwayTeam], I$1)+SUMIFS(Table2[NewPointsHome],Table2[GameDate], "&lt;=" &amp; $A125, Table2[HomeTeam], I$1)</f>
        <v>16</v>
      </c>
      <c r="J125" s="145">
        <f>SUMIFS(Table2[NewPointsAway],Table2[GameDate], "&lt;=" &amp; $A125, Table2[AwayTeam], J$1)+SUMIFS(Table2[NewPointsHome],Table2[GameDate], "&lt;=" &amp; $A125, Table2[HomeTeam], J$1)</f>
        <v>13</v>
      </c>
      <c r="K125" s="145">
        <f>SUMIFS(Table2[NewPointsAway],Table2[GameDate], "&lt;=" &amp; $A125, Table2[AwayTeam], K$1)+SUMIFS(Table2[NewPointsHome],Table2[GameDate], "&lt;=" &amp; $A125, Table2[HomeTeam], K$1)</f>
        <v>14</v>
      </c>
      <c r="L125" s="145">
        <f>SUMIFS(Table2[NewPointsAway],Table2[GameDate], "&lt;=" &amp; $A125, Table2[AwayTeam], L$1)+SUMIFS(Table2[NewPointsHome],Table2[GameDate], "&lt;=" &amp; $A125, Table2[HomeTeam], L$1)</f>
        <v>12</v>
      </c>
      <c r="M125" s="145">
        <f>SUMIFS(Table2[NewPointsAway],Table2[GameDate], "&lt;=" &amp; $A125, Table2[AwayTeam], M$1)+SUMIFS(Table2[NewPointsHome],Table2[GameDate], "&lt;=" &amp; $A125, Table2[HomeTeam], M$1)</f>
        <v>11</v>
      </c>
      <c r="N125" s="145">
        <f>SUMIFS(Table2[NewPointsAway],Table2[GameDate], "&lt;=" &amp; $A125, Table2[AwayTeam], N$1)+SUMIFS(Table2[NewPointsHome],Table2[GameDate], "&lt;=" &amp; $A125, Table2[HomeTeam], N$1)</f>
        <v>13</v>
      </c>
      <c r="O125" s="145">
        <f>SUMIFS(Table2[NewPointsAway],Table2[GameDate], "&lt;=" &amp; $A125, Table2[AwayTeam], O$1)+SUMIFS(Table2[NewPointsHome],Table2[GameDate], "&lt;=" &amp; $A125, Table2[HomeTeam], O$1)</f>
        <v>9</v>
      </c>
      <c r="P125" s="145">
        <f>SUMIFS(Table2[NewPointsAway],Table2[GameDate], "&lt;=" &amp; $A125, Table2[AwayTeam], P$1)+SUMIFS(Table2[NewPointsHome],Table2[GameDate], "&lt;=" &amp; $A125, Table2[HomeTeam], P$1)</f>
        <v>16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10</v>
      </c>
      <c r="U125" s="145">
        <f>SUMIFS(Table2[NewPointsAway],Table2[GameDate], "&lt;=" &amp; $A125, Table2[AwayTeam], U$1)+SUMIFS(Table2[NewPointsHome],Table2[GameDate], "&lt;=" &amp; $A125, Table2[HomeTeam], U$1)</f>
        <v>11</v>
      </c>
      <c r="V125" s="145">
        <f>SUMIFS(Table2[NewPointsAway],Table2[GameDate], "&lt;=" &amp; $A125, Table2[AwayTeam], V$1)+SUMIFS(Table2[NewPointsHome],Table2[GameDate], "&lt;=" &amp; $A125, Table2[HomeTeam], V$1)</f>
        <v>11</v>
      </c>
      <c r="W125" s="145">
        <f>SUMIFS(Table2[NewPointsAway],Table2[GameDate], "&lt;=" &amp; $A125, Table2[AwayTeam], W$1)+SUMIFS(Table2[NewPointsHome],Table2[GameDate], "&lt;=" &amp; $A125, Table2[HomeTeam], W$1)</f>
        <v>16</v>
      </c>
      <c r="X125" s="145">
        <f>SUMIFS(Table2[NewPointsAway],Table2[GameDate], "&lt;=" &amp; $A125, Table2[AwayTeam], X$1)+SUMIFS(Table2[NewPointsHome],Table2[GameDate], "&lt;=" &amp; $A125, Table2[HomeTeam], X$1)</f>
        <v>13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10</v>
      </c>
      <c r="AB125" s="145">
        <f>SUMIFS(Table2[NewPointsAway],Table2[GameDate], "&lt;=" &amp; $A125, Table2[AwayTeam], AB$1)+SUMIFS(Table2[NewPointsHome],Table2[GameDate], "&lt;=" &amp; $A125, Table2[HomeTeam], AB$1)</f>
        <v>11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15</v>
      </c>
      <c r="AF125" s="145">
        <f>SUMIFS(Table2[NewPointsAway],Table2[GameDate], "&lt;=" &amp; $A125, Table2[AwayTeam], AF$1)+SUMIFS(Table2[NewPointsHome],Table2[GameDate], "&lt;=" &amp; $A125, Table2[HomeTeam], AF$1)</f>
        <v>14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11</v>
      </c>
      <c r="C126" s="145">
        <f>SUMIFS(Table2[NewPointsAway],Table2[GameDate], "&lt;=" &amp; $A126, Table2[AwayTeam], C$1)+SUMIFS(Table2[NewPointsHome],Table2[GameDate], "&lt;=" &amp; $A126, Table2[HomeTeam], C$1)</f>
        <v>10</v>
      </c>
      <c r="D126" s="145">
        <f>SUMIFS(Table2[NewPointsAway],Table2[GameDate], "&lt;=" &amp; $A126, Table2[AwayTeam], D$1)+SUMIFS(Table2[NewPointsHome],Table2[GameDate], "&lt;=" &amp; $A126, Table2[HomeTeam], D$1)</f>
        <v>10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12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12</v>
      </c>
      <c r="I126" s="145">
        <f>SUMIFS(Table2[NewPointsAway],Table2[GameDate], "&lt;=" &amp; $A126, Table2[AwayTeam], I$1)+SUMIFS(Table2[NewPointsHome],Table2[GameDate], "&lt;=" &amp; $A126, Table2[HomeTeam], I$1)</f>
        <v>16</v>
      </c>
      <c r="J126" s="145">
        <f>SUMIFS(Table2[NewPointsAway],Table2[GameDate], "&lt;=" &amp; $A126, Table2[AwayTeam], J$1)+SUMIFS(Table2[NewPointsHome],Table2[GameDate], "&lt;=" &amp; $A126, Table2[HomeTeam], J$1)</f>
        <v>13</v>
      </c>
      <c r="K126" s="145">
        <f>SUMIFS(Table2[NewPointsAway],Table2[GameDate], "&lt;=" &amp; $A126, Table2[AwayTeam], K$1)+SUMIFS(Table2[NewPointsHome],Table2[GameDate], "&lt;=" &amp; $A126, Table2[HomeTeam], K$1)</f>
        <v>14</v>
      </c>
      <c r="L126" s="145">
        <f>SUMIFS(Table2[NewPointsAway],Table2[GameDate], "&lt;=" &amp; $A126, Table2[AwayTeam], L$1)+SUMIFS(Table2[NewPointsHome],Table2[GameDate], "&lt;=" &amp; $A126, Table2[HomeTeam], L$1)</f>
        <v>12</v>
      </c>
      <c r="M126" s="145">
        <f>SUMIFS(Table2[NewPointsAway],Table2[GameDate], "&lt;=" &amp; $A126, Table2[AwayTeam], M$1)+SUMIFS(Table2[NewPointsHome],Table2[GameDate], "&lt;=" &amp; $A126, Table2[HomeTeam], M$1)</f>
        <v>11</v>
      </c>
      <c r="N126" s="145">
        <f>SUMIFS(Table2[NewPointsAway],Table2[GameDate], "&lt;=" &amp; $A126, Table2[AwayTeam], N$1)+SUMIFS(Table2[NewPointsHome],Table2[GameDate], "&lt;=" &amp; $A126, Table2[HomeTeam], N$1)</f>
        <v>13</v>
      </c>
      <c r="O126" s="145">
        <f>SUMIFS(Table2[NewPointsAway],Table2[GameDate], "&lt;=" &amp; $A126, Table2[AwayTeam], O$1)+SUMIFS(Table2[NewPointsHome],Table2[GameDate], "&lt;=" &amp; $A126, Table2[HomeTeam], O$1)</f>
        <v>9</v>
      </c>
      <c r="P126" s="145">
        <f>SUMIFS(Table2[NewPointsAway],Table2[GameDate], "&lt;=" &amp; $A126, Table2[AwayTeam], P$1)+SUMIFS(Table2[NewPointsHome],Table2[GameDate], "&lt;=" &amp; $A126, Table2[HomeTeam], P$1)</f>
        <v>16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10</v>
      </c>
      <c r="U126" s="145">
        <f>SUMIFS(Table2[NewPointsAway],Table2[GameDate], "&lt;=" &amp; $A126, Table2[AwayTeam], U$1)+SUMIFS(Table2[NewPointsHome],Table2[GameDate], "&lt;=" &amp; $A126, Table2[HomeTeam], U$1)</f>
        <v>11</v>
      </c>
      <c r="V126" s="145">
        <f>SUMIFS(Table2[NewPointsAway],Table2[GameDate], "&lt;=" &amp; $A126, Table2[AwayTeam], V$1)+SUMIFS(Table2[NewPointsHome],Table2[GameDate], "&lt;=" &amp; $A126, Table2[HomeTeam], V$1)</f>
        <v>11</v>
      </c>
      <c r="W126" s="145">
        <f>SUMIFS(Table2[NewPointsAway],Table2[GameDate], "&lt;=" &amp; $A126, Table2[AwayTeam], W$1)+SUMIFS(Table2[NewPointsHome],Table2[GameDate], "&lt;=" &amp; $A126, Table2[HomeTeam], W$1)</f>
        <v>16</v>
      </c>
      <c r="X126" s="145">
        <f>SUMIFS(Table2[NewPointsAway],Table2[GameDate], "&lt;=" &amp; $A126, Table2[AwayTeam], X$1)+SUMIFS(Table2[NewPointsHome],Table2[GameDate], "&lt;=" &amp; $A126, Table2[HomeTeam], X$1)</f>
        <v>13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10</v>
      </c>
      <c r="AB126" s="145">
        <f>SUMIFS(Table2[NewPointsAway],Table2[GameDate], "&lt;=" &amp; $A126, Table2[AwayTeam], AB$1)+SUMIFS(Table2[NewPointsHome],Table2[GameDate], "&lt;=" &amp; $A126, Table2[HomeTeam], AB$1)</f>
        <v>11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15</v>
      </c>
      <c r="AF126" s="145">
        <f>SUMIFS(Table2[NewPointsAway],Table2[GameDate], "&lt;=" &amp; $A126, Table2[AwayTeam], AF$1)+SUMIFS(Table2[NewPointsHome],Table2[GameDate], "&lt;=" &amp; $A126, Table2[HomeTeam], AF$1)</f>
        <v>14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11</v>
      </c>
      <c r="C127" s="145">
        <f>SUMIFS(Table2[NewPointsAway],Table2[GameDate], "&lt;=" &amp; $A127, Table2[AwayTeam], C$1)+SUMIFS(Table2[NewPointsHome],Table2[GameDate], "&lt;=" &amp; $A127, Table2[HomeTeam], C$1)</f>
        <v>10</v>
      </c>
      <c r="D127" s="145">
        <f>SUMIFS(Table2[NewPointsAway],Table2[GameDate], "&lt;=" &amp; $A127, Table2[AwayTeam], D$1)+SUMIFS(Table2[NewPointsHome],Table2[GameDate], "&lt;=" &amp; $A127, Table2[HomeTeam], D$1)</f>
        <v>10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12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12</v>
      </c>
      <c r="I127" s="145">
        <f>SUMIFS(Table2[NewPointsAway],Table2[GameDate], "&lt;=" &amp; $A127, Table2[AwayTeam], I$1)+SUMIFS(Table2[NewPointsHome],Table2[GameDate], "&lt;=" &amp; $A127, Table2[HomeTeam], I$1)</f>
        <v>16</v>
      </c>
      <c r="J127" s="145">
        <f>SUMIFS(Table2[NewPointsAway],Table2[GameDate], "&lt;=" &amp; $A127, Table2[AwayTeam], J$1)+SUMIFS(Table2[NewPointsHome],Table2[GameDate], "&lt;=" &amp; $A127, Table2[HomeTeam], J$1)</f>
        <v>13</v>
      </c>
      <c r="K127" s="145">
        <f>SUMIFS(Table2[NewPointsAway],Table2[GameDate], "&lt;=" &amp; $A127, Table2[AwayTeam], K$1)+SUMIFS(Table2[NewPointsHome],Table2[GameDate], "&lt;=" &amp; $A127, Table2[HomeTeam], K$1)</f>
        <v>14</v>
      </c>
      <c r="L127" s="145">
        <f>SUMIFS(Table2[NewPointsAway],Table2[GameDate], "&lt;=" &amp; $A127, Table2[AwayTeam], L$1)+SUMIFS(Table2[NewPointsHome],Table2[GameDate], "&lt;=" &amp; $A127, Table2[HomeTeam], L$1)</f>
        <v>12</v>
      </c>
      <c r="M127" s="145">
        <f>SUMIFS(Table2[NewPointsAway],Table2[GameDate], "&lt;=" &amp; $A127, Table2[AwayTeam], M$1)+SUMIFS(Table2[NewPointsHome],Table2[GameDate], "&lt;=" &amp; $A127, Table2[HomeTeam], M$1)</f>
        <v>11</v>
      </c>
      <c r="N127" s="145">
        <f>SUMIFS(Table2[NewPointsAway],Table2[GameDate], "&lt;=" &amp; $A127, Table2[AwayTeam], N$1)+SUMIFS(Table2[NewPointsHome],Table2[GameDate], "&lt;=" &amp; $A127, Table2[HomeTeam], N$1)</f>
        <v>13</v>
      </c>
      <c r="O127" s="145">
        <f>SUMIFS(Table2[NewPointsAway],Table2[GameDate], "&lt;=" &amp; $A127, Table2[AwayTeam], O$1)+SUMIFS(Table2[NewPointsHome],Table2[GameDate], "&lt;=" &amp; $A127, Table2[HomeTeam], O$1)</f>
        <v>9</v>
      </c>
      <c r="P127" s="145">
        <f>SUMIFS(Table2[NewPointsAway],Table2[GameDate], "&lt;=" &amp; $A127, Table2[AwayTeam], P$1)+SUMIFS(Table2[NewPointsHome],Table2[GameDate], "&lt;=" &amp; $A127, Table2[HomeTeam], P$1)</f>
        <v>16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10</v>
      </c>
      <c r="U127" s="145">
        <f>SUMIFS(Table2[NewPointsAway],Table2[GameDate], "&lt;=" &amp; $A127, Table2[AwayTeam], U$1)+SUMIFS(Table2[NewPointsHome],Table2[GameDate], "&lt;=" &amp; $A127, Table2[HomeTeam], U$1)</f>
        <v>11</v>
      </c>
      <c r="V127" s="145">
        <f>SUMIFS(Table2[NewPointsAway],Table2[GameDate], "&lt;=" &amp; $A127, Table2[AwayTeam], V$1)+SUMIFS(Table2[NewPointsHome],Table2[GameDate], "&lt;=" &amp; $A127, Table2[HomeTeam], V$1)</f>
        <v>11</v>
      </c>
      <c r="W127" s="145">
        <f>SUMIFS(Table2[NewPointsAway],Table2[GameDate], "&lt;=" &amp; $A127, Table2[AwayTeam], W$1)+SUMIFS(Table2[NewPointsHome],Table2[GameDate], "&lt;=" &amp; $A127, Table2[HomeTeam], W$1)</f>
        <v>16</v>
      </c>
      <c r="X127" s="145">
        <f>SUMIFS(Table2[NewPointsAway],Table2[GameDate], "&lt;=" &amp; $A127, Table2[AwayTeam], X$1)+SUMIFS(Table2[NewPointsHome],Table2[GameDate], "&lt;=" &amp; $A127, Table2[HomeTeam], X$1)</f>
        <v>13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10</v>
      </c>
      <c r="AB127" s="145">
        <f>SUMIFS(Table2[NewPointsAway],Table2[GameDate], "&lt;=" &amp; $A127, Table2[AwayTeam], AB$1)+SUMIFS(Table2[NewPointsHome],Table2[GameDate], "&lt;=" &amp; $A127, Table2[HomeTeam], AB$1)</f>
        <v>11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15</v>
      </c>
      <c r="AF127" s="145">
        <f>SUMIFS(Table2[NewPointsAway],Table2[GameDate], "&lt;=" &amp; $A127, Table2[AwayTeam], AF$1)+SUMIFS(Table2[NewPointsHome],Table2[GameDate], "&lt;=" &amp; $A127, Table2[HomeTeam], AF$1)</f>
        <v>14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11</v>
      </c>
      <c r="C128" s="145">
        <f>SUMIFS(Table2[NewPointsAway],Table2[GameDate], "&lt;=" &amp; $A128, Table2[AwayTeam], C$1)+SUMIFS(Table2[NewPointsHome],Table2[GameDate], "&lt;=" &amp; $A128, Table2[HomeTeam], C$1)</f>
        <v>10</v>
      </c>
      <c r="D128" s="145">
        <f>SUMIFS(Table2[NewPointsAway],Table2[GameDate], "&lt;=" &amp; $A128, Table2[AwayTeam], D$1)+SUMIFS(Table2[NewPointsHome],Table2[GameDate], "&lt;=" &amp; $A128, Table2[HomeTeam], D$1)</f>
        <v>10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12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12</v>
      </c>
      <c r="I128" s="145">
        <f>SUMIFS(Table2[NewPointsAway],Table2[GameDate], "&lt;=" &amp; $A128, Table2[AwayTeam], I$1)+SUMIFS(Table2[NewPointsHome],Table2[GameDate], "&lt;=" &amp; $A128, Table2[HomeTeam], I$1)</f>
        <v>16</v>
      </c>
      <c r="J128" s="145">
        <f>SUMIFS(Table2[NewPointsAway],Table2[GameDate], "&lt;=" &amp; $A128, Table2[AwayTeam], J$1)+SUMIFS(Table2[NewPointsHome],Table2[GameDate], "&lt;=" &amp; $A128, Table2[HomeTeam], J$1)</f>
        <v>13</v>
      </c>
      <c r="K128" s="145">
        <f>SUMIFS(Table2[NewPointsAway],Table2[GameDate], "&lt;=" &amp; $A128, Table2[AwayTeam], K$1)+SUMIFS(Table2[NewPointsHome],Table2[GameDate], "&lt;=" &amp; $A128, Table2[HomeTeam], K$1)</f>
        <v>14</v>
      </c>
      <c r="L128" s="145">
        <f>SUMIFS(Table2[NewPointsAway],Table2[GameDate], "&lt;=" &amp; $A128, Table2[AwayTeam], L$1)+SUMIFS(Table2[NewPointsHome],Table2[GameDate], "&lt;=" &amp; $A128, Table2[HomeTeam], L$1)</f>
        <v>12</v>
      </c>
      <c r="M128" s="145">
        <f>SUMIFS(Table2[NewPointsAway],Table2[GameDate], "&lt;=" &amp; $A128, Table2[AwayTeam], M$1)+SUMIFS(Table2[NewPointsHome],Table2[GameDate], "&lt;=" &amp; $A128, Table2[HomeTeam], M$1)</f>
        <v>11</v>
      </c>
      <c r="N128" s="145">
        <f>SUMIFS(Table2[NewPointsAway],Table2[GameDate], "&lt;=" &amp; $A128, Table2[AwayTeam], N$1)+SUMIFS(Table2[NewPointsHome],Table2[GameDate], "&lt;=" &amp; $A128, Table2[HomeTeam], N$1)</f>
        <v>13</v>
      </c>
      <c r="O128" s="145">
        <f>SUMIFS(Table2[NewPointsAway],Table2[GameDate], "&lt;=" &amp; $A128, Table2[AwayTeam], O$1)+SUMIFS(Table2[NewPointsHome],Table2[GameDate], "&lt;=" &amp; $A128, Table2[HomeTeam], O$1)</f>
        <v>9</v>
      </c>
      <c r="P128" s="145">
        <f>SUMIFS(Table2[NewPointsAway],Table2[GameDate], "&lt;=" &amp; $A128, Table2[AwayTeam], P$1)+SUMIFS(Table2[NewPointsHome],Table2[GameDate], "&lt;=" &amp; $A128, Table2[HomeTeam], P$1)</f>
        <v>16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10</v>
      </c>
      <c r="U128" s="145">
        <f>SUMIFS(Table2[NewPointsAway],Table2[GameDate], "&lt;=" &amp; $A128, Table2[AwayTeam], U$1)+SUMIFS(Table2[NewPointsHome],Table2[GameDate], "&lt;=" &amp; $A128, Table2[HomeTeam], U$1)</f>
        <v>11</v>
      </c>
      <c r="V128" s="145">
        <f>SUMIFS(Table2[NewPointsAway],Table2[GameDate], "&lt;=" &amp; $A128, Table2[AwayTeam], V$1)+SUMIFS(Table2[NewPointsHome],Table2[GameDate], "&lt;=" &amp; $A128, Table2[HomeTeam], V$1)</f>
        <v>11</v>
      </c>
      <c r="W128" s="145">
        <f>SUMIFS(Table2[NewPointsAway],Table2[GameDate], "&lt;=" &amp; $A128, Table2[AwayTeam], W$1)+SUMIFS(Table2[NewPointsHome],Table2[GameDate], "&lt;=" &amp; $A128, Table2[HomeTeam], W$1)</f>
        <v>16</v>
      </c>
      <c r="X128" s="145">
        <f>SUMIFS(Table2[NewPointsAway],Table2[GameDate], "&lt;=" &amp; $A128, Table2[AwayTeam], X$1)+SUMIFS(Table2[NewPointsHome],Table2[GameDate], "&lt;=" &amp; $A128, Table2[HomeTeam], X$1)</f>
        <v>13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10</v>
      </c>
      <c r="AB128" s="145">
        <f>SUMIFS(Table2[NewPointsAway],Table2[GameDate], "&lt;=" &amp; $A128, Table2[AwayTeam], AB$1)+SUMIFS(Table2[NewPointsHome],Table2[GameDate], "&lt;=" &amp; $A128, Table2[HomeTeam], AB$1)</f>
        <v>11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15</v>
      </c>
      <c r="AF128" s="145">
        <f>SUMIFS(Table2[NewPointsAway],Table2[GameDate], "&lt;=" &amp; $A128, Table2[AwayTeam], AF$1)+SUMIFS(Table2[NewPointsHome],Table2[GameDate], "&lt;=" &amp; $A128, Table2[HomeTeam], AF$1)</f>
        <v>14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11</v>
      </c>
      <c r="C129" s="145">
        <f>SUMIFS(Table2[NewPointsAway],Table2[GameDate], "&lt;=" &amp; $A129, Table2[AwayTeam], C$1)+SUMIFS(Table2[NewPointsHome],Table2[GameDate], "&lt;=" &amp; $A129, Table2[HomeTeam], C$1)</f>
        <v>10</v>
      </c>
      <c r="D129" s="145">
        <f>SUMIFS(Table2[NewPointsAway],Table2[GameDate], "&lt;=" &amp; $A129, Table2[AwayTeam], D$1)+SUMIFS(Table2[NewPointsHome],Table2[GameDate], "&lt;=" &amp; $A129, Table2[HomeTeam], D$1)</f>
        <v>10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12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12</v>
      </c>
      <c r="I129" s="145">
        <f>SUMIFS(Table2[NewPointsAway],Table2[GameDate], "&lt;=" &amp; $A129, Table2[AwayTeam], I$1)+SUMIFS(Table2[NewPointsHome],Table2[GameDate], "&lt;=" &amp; $A129, Table2[HomeTeam], I$1)</f>
        <v>16</v>
      </c>
      <c r="J129" s="145">
        <f>SUMIFS(Table2[NewPointsAway],Table2[GameDate], "&lt;=" &amp; $A129, Table2[AwayTeam], J$1)+SUMIFS(Table2[NewPointsHome],Table2[GameDate], "&lt;=" &amp; $A129, Table2[HomeTeam], J$1)</f>
        <v>13</v>
      </c>
      <c r="K129" s="145">
        <f>SUMIFS(Table2[NewPointsAway],Table2[GameDate], "&lt;=" &amp; $A129, Table2[AwayTeam], K$1)+SUMIFS(Table2[NewPointsHome],Table2[GameDate], "&lt;=" &amp; $A129, Table2[HomeTeam], K$1)</f>
        <v>14</v>
      </c>
      <c r="L129" s="145">
        <f>SUMIFS(Table2[NewPointsAway],Table2[GameDate], "&lt;=" &amp; $A129, Table2[AwayTeam], L$1)+SUMIFS(Table2[NewPointsHome],Table2[GameDate], "&lt;=" &amp; $A129, Table2[HomeTeam], L$1)</f>
        <v>12</v>
      </c>
      <c r="M129" s="145">
        <f>SUMIFS(Table2[NewPointsAway],Table2[GameDate], "&lt;=" &amp; $A129, Table2[AwayTeam], M$1)+SUMIFS(Table2[NewPointsHome],Table2[GameDate], "&lt;=" &amp; $A129, Table2[HomeTeam], M$1)</f>
        <v>11</v>
      </c>
      <c r="N129" s="145">
        <f>SUMIFS(Table2[NewPointsAway],Table2[GameDate], "&lt;=" &amp; $A129, Table2[AwayTeam], N$1)+SUMIFS(Table2[NewPointsHome],Table2[GameDate], "&lt;=" &amp; $A129, Table2[HomeTeam], N$1)</f>
        <v>13</v>
      </c>
      <c r="O129" s="145">
        <f>SUMIFS(Table2[NewPointsAway],Table2[GameDate], "&lt;=" &amp; $A129, Table2[AwayTeam], O$1)+SUMIFS(Table2[NewPointsHome],Table2[GameDate], "&lt;=" &amp; $A129, Table2[HomeTeam], O$1)</f>
        <v>9</v>
      </c>
      <c r="P129" s="145">
        <f>SUMIFS(Table2[NewPointsAway],Table2[GameDate], "&lt;=" &amp; $A129, Table2[AwayTeam], P$1)+SUMIFS(Table2[NewPointsHome],Table2[GameDate], "&lt;=" &amp; $A129, Table2[HomeTeam], P$1)</f>
        <v>16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10</v>
      </c>
      <c r="U129" s="145">
        <f>SUMIFS(Table2[NewPointsAway],Table2[GameDate], "&lt;=" &amp; $A129, Table2[AwayTeam], U$1)+SUMIFS(Table2[NewPointsHome],Table2[GameDate], "&lt;=" &amp; $A129, Table2[HomeTeam], U$1)</f>
        <v>11</v>
      </c>
      <c r="V129" s="145">
        <f>SUMIFS(Table2[NewPointsAway],Table2[GameDate], "&lt;=" &amp; $A129, Table2[AwayTeam], V$1)+SUMIFS(Table2[NewPointsHome],Table2[GameDate], "&lt;=" &amp; $A129, Table2[HomeTeam], V$1)</f>
        <v>11</v>
      </c>
      <c r="W129" s="145">
        <f>SUMIFS(Table2[NewPointsAway],Table2[GameDate], "&lt;=" &amp; $A129, Table2[AwayTeam], W$1)+SUMIFS(Table2[NewPointsHome],Table2[GameDate], "&lt;=" &amp; $A129, Table2[HomeTeam], W$1)</f>
        <v>16</v>
      </c>
      <c r="X129" s="145">
        <f>SUMIFS(Table2[NewPointsAway],Table2[GameDate], "&lt;=" &amp; $A129, Table2[AwayTeam], X$1)+SUMIFS(Table2[NewPointsHome],Table2[GameDate], "&lt;=" &amp; $A129, Table2[HomeTeam], X$1)</f>
        <v>13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10</v>
      </c>
      <c r="AB129" s="145">
        <f>SUMIFS(Table2[NewPointsAway],Table2[GameDate], "&lt;=" &amp; $A129, Table2[AwayTeam], AB$1)+SUMIFS(Table2[NewPointsHome],Table2[GameDate], "&lt;=" &amp; $A129, Table2[HomeTeam], AB$1)</f>
        <v>11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15</v>
      </c>
      <c r="AF129" s="145">
        <f>SUMIFS(Table2[NewPointsAway],Table2[GameDate], "&lt;=" &amp; $A129, Table2[AwayTeam], AF$1)+SUMIFS(Table2[NewPointsHome],Table2[GameDate], "&lt;=" &amp; $A129, Table2[HomeTeam], AF$1)</f>
        <v>14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11</v>
      </c>
      <c r="C130" s="145">
        <f>SUMIFS(Table2[NewPointsAway],Table2[GameDate], "&lt;=" &amp; $A130, Table2[AwayTeam], C$1)+SUMIFS(Table2[NewPointsHome],Table2[GameDate], "&lt;=" &amp; $A130, Table2[HomeTeam], C$1)</f>
        <v>10</v>
      </c>
      <c r="D130" s="145">
        <f>SUMIFS(Table2[NewPointsAway],Table2[GameDate], "&lt;=" &amp; $A130, Table2[AwayTeam], D$1)+SUMIFS(Table2[NewPointsHome],Table2[GameDate], "&lt;=" &amp; $A130, Table2[HomeTeam], D$1)</f>
        <v>10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12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12</v>
      </c>
      <c r="I130" s="145">
        <f>SUMIFS(Table2[NewPointsAway],Table2[GameDate], "&lt;=" &amp; $A130, Table2[AwayTeam], I$1)+SUMIFS(Table2[NewPointsHome],Table2[GameDate], "&lt;=" &amp; $A130, Table2[HomeTeam], I$1)</f>
        <v>16</v>
      </c>
      <c r="J130" s="145">
        <f>SUMIFS(Table2[NewPointsAway],Table2[GameDate], "&lt;=" &amp; $A130, Table2[AwayTeam], J$1)+SUMIFS(Table2[NewPointsHome],Table2[GameDate], "&lt;=" &amp; $A130, Table2[HomeTeam], J$1)</f>
        <v>13</v>
      </c>
      <c r="K130" s="145">
        <f>SUMIFS(Table2[NewPointsAway],Table2[GameDate], "&lt;=" &amp; $A130, Table2[AwayTeam], K$1)+SUMIFS(Table2[NewPointsHome],Table2[GameDate], "&lt;=" &amp; $A130, Table2[HomeTeam], K$1)</f>
        <v>14</v>
      </c>
      <c r="L130" s="145">
        <f>SUMIFS(Table2[NewPointsAway],Table2[GameDate], "&lt;=" &amp; $A130, Table2[AwayTeam], L$1)+SUMIFS(Table2[NewPointsHome],Table2[GameDate], "&lt;=" &amp; $A130, Table2[HomeTeam], L$1)</f>
        <v>12</v>
      </c>
      <c r="M130" s="145">
        <f>SUMIFS(Table2[NewPointsAway],Table2[GameDate], "&lt;=" &amp; $A130, Table2[AwayTeam], M$1)+SUMIFS(Table2[NewPointsHome],Table2[GameDate], "&lt;=" &amp; $A130, Table2[HomeTeam], M$1)</f>
        <v>11</v>
      </c>
      <c r="N130" s="145">
        <f>SUMIFS(Table2[NewPointsAway],Table2[GameDate], "&lt;=" &amp; $A130, Table2[AwayTeam], N$1)+SUMIFS(Table2[NewPointsHome],Table2[GameDate], "&lt;=" &amp; $A130, Table2[HomeTeam], N$1)</f>
        <v>13</v>
      </c>
      <c r="O130" s="145">
        <f>SUMIFS(Table2[NewPointsAway],Table2[GameDate], "&lt;=" &amp; $A130, Table2[AwayTeam], O$1)+SUMIFS(Table2[NewPointsHome],Table2[GameDate], "&lt;=" &amp; $A130, Table2[HomeTeam], O$1)</f>
        <v>9</v>
      </c>
      <c r="P130" s="145">
        <f>SUMIFS(Table2[NewPointsAway],Table2[GameDate], "&lt;=" &amp; $A130, Table2[AwayTeam], P$1)+SUMIFS(Table2[NewPointsHome],Table2[GameDate], "&lt;=" &amp; $A130, Table2[HomeTeam], P$1)</f>
        <v>16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10</v>
      </c>
      <c r="U130" s="145">
        <f>SUMIFS(Table2[NewPointsAway],Table2[GameDate], "&lt;=" &amp; $A130, Table2[AwayTeam], U$1)+SUMIFS(Table2[NewPointsHome],Table2[GameDate], "&lt;=" &amp; $A130, Table2[HomeTeam], U$1)</f>
        <v>11</v>
      </c>
      <c r="V130" s="145">
        <f>SUMIFS(Table2[NewPointsAway],Table2[GameDate], "&lt;=" &amp; $A130, Table2[AwayTeam], V$1)+SUMIFS(Table2[NewPointsHome],Table2[GameDate], "&lt;=" &amp; $A130, Table2[HomeTeam], V$1)</f>
        <v>11</v>
      </c>
      <c r="W130" s="145">
        <f>SUMIFS(Table2[NewPointsAway],Table2[GameDate], "&lt;=" &amp; $A130, Table2[AwayTeam], W$1)+SUMIFS(Table2[NewPointsHome],Table2[GameDate], "&lt;=" &amp; $A130, Table2[HomeTeam], W$1)</f>
        <v>16</v>
      </c>
      <c r="X130" s="145">
        <f>SUMIFS(Table2[NewPointsAway],Table2[GameDate], "&lt;=" &amp; $A130, Table2[AwayTeam], X$1)+SUMIFS(Table2[NewPointsHome],Table2[GameDate], "&lt;=" &amp; $A130, Table2[HomeTeam], X$1)</f>
        <v>13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10</v>
      </c>
      <c r="AB130" s="145">
        <f>SUMIFS(Table2[NewPointsAway],Table2[GameDate], "&lt;=" &amp; $A130, Table2[AwayTeam], AB$1)+SUMIFS(Table2[NewPointsHome],Table2[GameDate], "&lt;=" &amp; $A130, Table2[HomeTeam], AB$1)</f>
        <v>11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15</v>
      </c>
      <c r="AF130" s="145">
        <f>SUMIFS(Table2[NewPointsAway],Table2[GameDate], "&lt;=" &amp; $A130, Table2[AwayTeam], AF$1)+SUMIFS(Table2[NewPointsHome],Table2[GameDate], "&lt;=" &amp; $A130, Table2[HomeTeam], AF$1)</f>
        <v>14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11</v>
      </c>
      <c r="C131" s="145">
        <f>SUMIFS(Table2[NewPointsAway],Table2[GameDate], "&lt;=" &amp; $A131, Table2[AwayTeam], C$1)+SUMIFS(Table2[NewPointsHome],Table2[GameDate], "&lt;=" &amp; $A131, Table2[HomeTeam], C$1)</f>
        <v>10</v>
      </c>
      <c r="D131" s="145">
        <f>SUMIFS(Table2[NewPointsAway],Table2[GameDate], "&lt;=" &amp; $A131, Table2[AwayTeam], D$1)+SUMIFS(Table2[NewPointsHome],Table2[GameDate], "&lt;=" &amp; $A131, Table2[HomeTeam], D$1)</f>
        <v>10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12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12</v>
      </c>
      <c r="I131" s="145">
        <f>SUMIFS(Table2[NewPointsAway],Table2[GameDate], "&lt;=" &amp; $A131, Table2[AwayTeam], I$1)+SUMIFS(Table2[NewPointsHome],Table2[GameDate], "&lt;=" &amp; $A131, Table2[HomeTeam], I$1)</f>
        <v>16</v>
      </c>
      <c r="J131" s="145">
        <f>SUMIFS(Table2[NewPointsAway],Table2[GameDate], "&lt;=" &amp; $A131, Table2[AwayTeam], J$1)+SUMIFS(Table2[NewPointsHome],Table2[GameDate], "&lt;=" &amp; $A131, Table2[HomeTeam], J$1)</f>
        <v>13</v>
      </c>
      <c r="K131" s="145">
        <f>SUMIFS(Table2[NewPointsAway],Table2[GameDate], "&lt;=" &amp; $A131, Table2[AwayTeam], K$1)+SUMIFS(Table2[NewPointsHome],Table2[GameDate], "&lt;=" &amp; $A131, Table2[HomeTeam], K$1)</f>
        <v>14</v>
      </c>
      <c r="L131" s="145">
        <f>SUMIFS(Table2[NewPointsAway],Table2[GameDate], "&lt;=" &amp; $A131, Table2[AwayTeam], L$1)+SUMIFS(Table2[NewPointsHome],Table2[GameDate], "&lt;=" &amp; $A131, Table2[HomeTeam], L$1)</f>
        <v>12</v>
      </c>
      <c r="M131" s="145">
        <f>SUMIFS(Table2[NewPointsAway],Table2[GameDate], "&lt;=" &amp; $A131, Table2[AwayTeam], M$1)+SUMIFS(Table2[NewPointsHome],Table2[GameDate], "&lt;=" &amp; $A131, Table2[HomeTeam], M$1)</f>
        <v>11</v>
      </c>
      <c r="N131" s="145">
        <f>SUMIFS(Table2[NewPointsAway],Table2[GameDate], "&lt;=" &amp; $A131, Table2[AwayTeam], N$1)+SUMIFS(Table2[NewPointsHome],Table2[GameDate], "&lt;=" &amp; $A131, Table2[HomeTeam], N$1)</f>
        <v>13</v>
      </c>
      <c r="O131" s="145">
        <f>SUMIFS(Table2[NewPointsAway],Table2[GameDate], "&lt;=" &amp; $A131, Table2[AwayTeam], O$1)+SUMIFS(Table2[NewPointsHome],Table2[GameDate], "&lt;=" &amp; $A131, Table2[HomeTeam], O$1)</f>
        <v>9</v>
      </c>
      <c r="P131" s="145">
        <f>SUMIFS(Table2[NewPointsAway],Table2[GameDate], "&lt;=" &amp; $A131, Table2[AwayTeam], P$1)+SUMIFS(Table2[NewPointsHome],Table2[GameDate], "&lt;=" &amp; $A131, Table2[HomeTeam], P$1)</f>
        <v>16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10</v>
      </c>
      <c r="U131" s="145">
        <f>SUMIFS(Table2[NewPointsAway],Table2[GameDate], "&lt;=" &amp; $A131, Table2[AwayTeam], U$1)+SUMIFS(Table2[NewPointsHome],Table2[GameDate], "&lt;=" &amp; $A131, Table2[HomeTeam], U$1)</f>
        <v>11</v>
      </c>
      <c r="V131" s="145">
        <f>SUMIFS(Table2[NewPointsAway],Table2[GameDate], "&lt;=" &amp; $A131, Table2[AwayTeam], V$1)+SUMIFS(Table2[NewPointsHome],Table2[GameDate], "&lt;=" &amp; $A131, Table2[HomeTeam], V$1)</f>
        <v>11</v>
      </c>
      <c r="W131" s="145">
        <f>SUMIFS(Table2[NewPointsAway],Table2[GameDate], "&lt;=" &amp; $A131, Table2[AwayTeam], W$1)+SUMIFS(Table2[NewPointsHome],Table2[GameDate], "&lt;=" &amp; $A131, Table2[HomeTeam], W$1)</f>
        <v>16</v>
      </c>
      <c r="X131" s="145">
        <f>SUMIFS(Table2[NewPointsAway],Table2[GameDate], "&lt;=" &amp; $A131, Table2[AwayTeam], X$1)+SUMIFS(Table2[NewPointsHome],Table2[GameDate], "&lt;=" &amp; $A131, Table2[HomeTeam], X$1)</f>
        <v>13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10</v>
      </c>
      <c r="AB131" s="145">
        <f>SUMIFS(Table2[NewPointsAway],Table2[GameDate], "&lt;=" &amp; $A131, Table2[AwayTeam], AB$1)+SUMIFS(Table2[NewPointsHome],Table2[GameDate], "&lt;=" &amp; $A131, Table2[HomeTeam], AB$1)</f>
        <v>11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15</v>
      </c>
      <c r="AF131" s="145">
        <f>SUMIFS(Table2[NewPointsAway],Table2[GameDate], "&lt;=" &amp; $A131, Table2[AwayTeam], AF$1)+SUMIFS(Table2[NewPointsHome],Table2[GameDate], "&lt;=" &amp; $A131, Table2[HomeTeam], AF$1)</f>
        <v>14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11</v>
      </c>
      <c r="C132" s="145">
        <f>SUMIFS(Table2[NewPointsAway],Table2[GameDate], "&lt;=" &amp; $A132, Table2[AwayTeam], C$1)+SUMIFS(Table2[NewPointsHome],Table2[GameDate], "&lt;=" &amp; $A132, Table2[HomeTeam], C$1)</f>
        <v>10</v>
      </c>
      <c r="D132" s="145">
        <f>SUMIFS(Table2[NewPointsAway],Table2[GameDate], "&lt;=" &amp; $A132, Table2[AwayTeam], D$1)+SUMIFS(Table2[NewPointsHome],Table2[GameDate], "&lt;=" &amp; $A132, Table2[HomeTeam], D$1)</f>
        <v>10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12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12</v>
      </c>
      <c r="I132" s="145">
        <f>SUMIFS(Table2[NewPointsAway],Table2[GameDate], "&lt;=" &amp; $A132, Table2[AwayTeam], I$1)+SUMIFS(Table2[NewPointsHome],Table2[GameDate], "&lt;=" &amp; $A132, Table2[HomeTeam], I$1)</f>
        <v>16</v>
      </c>
      <c r="J132" s="145">
        <f>SUMIFS(Table2[NewPointsAway],Table2[GameDate], "&lt;=" &amp; $A132, Table2[AwayTeam], J$1)+SUMIFS(Table2[NewPointsHome],Table2[GameDate], "&lt;=" &amp; $A132, Table2[HomeTeam], J$1)</f>
        <v>13</v>
      </c>
      <c r="K132" s="145">
        <f>SUMIFS(Table2[NewPointsAway],Table2[GameDate], "&lt;=" &amp; $A132, Table2[AwayTeam], K$1)+SUMIFS(Table2[NewPointsHome],Table2[GameDate], "&lt;=" &amp; $A132, Table2[HomeTeam], K$1)</f>
        <v>14</v>
      </c>
      <c r="L132" s="145">
        <f>SUMIFS(Table2[NewPointsAway],Table2[GameDate], "&lt;=" &amp; $A132, Table2[AwayTeam], L$1)+SUMIFS(Table2[NewPointsHome],Table2[GameDate], "&lt;=" &amp; $A132, Table2[HomeTeam], L$1)</f>
        <v>12</v>
      </c>
      <c r="M132" s="145">
        <f>SUMIFS(Table2[NewPointsAway],Table2[GameDate], "&lt;=" &amp; $A132, Table2[AwayTeam], M$1)+SUMIFS(Table2[NewPointsHome],Table2[GameDate], "&lt;=" &amp; $A132, Table2[HomeTeam], M$1)</f>
        <v>11</v>
      </c>
      <c r="N132" s="145">
        <f>SUMIFS(Table2[NewPointsAway],Table2[GameDate], "&lt;=" &amp; $A132, Table2[AwayTeam], N$1)+SUMIFS(Table2[NewPointsHome],Table2[GameDate], "&lt;=" &amp; $A132, Table2[HomeTeam], N$1)</f>
        <v>13</v>
      </c>
      <c r="O132" s="145">
        <f>SUMIFS(Table2[NewPointsAway],Table2[GameDate], "&lt;=" &amp; $A132, Table2[AwayTeam], O$1)+SUMIFS(Table2[NewPointsHome],Table2[GameDate], "&lt;=" &amp; $A132, Table2[HomeTeam], O$1)</f>
        <v>9</v>
      </c>
      <c r="P132" s="145">
        <f>SUMIFS(Table2[NewPointsAway],Table2[GameDate], "&lt;=" &amp; $A132, Table2[AwayTeam], P$1)+SUMIFS(Table2[NewPointsHome],Table2[GameDate], "&lt;=" &amp; $A132, Table2[HomeTeam], P$1)</f>
        <v>16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10</v>
      </c>
      <c r="U132" s="145">
        <f>SUMIFS(Table2[NewPointsAway],Table2[GameDate], "&lt;=" &amp; $A132, Table2[AwayTeam], U$1)+SUMIFS(Table2[NewPointsHome],Table2[GameDate], "&lt;=" &amp; $A132, Table2[HomeTeam], U$1)</f>
        <v>11</v>
      </c>
      <c r="V132" s="145">
        <f>SUMIFS(Table2[NewPointsAway],Table2[GameDate], "&lt;=" &amp; $A132, Table2[AwayTeam], V$1)+SUMIFS(Table2[NewPointsHome],Table2[GameDate], "&lt;=" &amp; $A132, Table2[HomeTeam], V$1)</f>
        <v>11</v>
      </c>
      <c r="W132" s="145">
        <f>SUMIFS(Table2[NewPointsAway],Table2[GameDate], "&lt;=" &amp; $A132, Table2[AwayTeam], W$1)+SUMIFS(Table2[NewPointsHome],Table2[GameDate], "&lt;=" &amp; $A132, Table2[HomeTeam], W$1)</f>
        <v>16</v>
      </c>
      <c r="X132" s="145">
        <f>SUMIFS(Table2[NewPointsAway],Table2[GameDate], "&lt;=" &amp; $A132, Table2[AwayTeam], X$1)+SUMIFS(Table2[NewPointsHome],Table2[GameDate], "&lt;=" &amp; $A132, Table2[HomeTeam], X$1)</f>
        <v>13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10</v>
      </c>
      <c r="AB132" s="145">
        <f>SUMIFS(Table2[NewPointsAway],Table2[GameDate], "&lt;=" &amp; $A132, Table2[AwayTeam], AB$1)+SUMIFS(Table2[NewPointsHome],Table2[GameDate], "&lt;=" &amp; $A132, Table2[HomeTeam], AB$1)</f>
        <v>11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15</v>
      </c>
      <c r="AF132" s="145">
        <f>SUMIFS(Table2[NewPointsAway],Table2[GameDate], "&lt;=" &amp; $A132, Table2[AwayTeam], AF$1)+SUMIFS(Table2[NewPointsHome],Table2[GameDate], "&lt;=" &amp; $A132, Table2[HomeTeam], AF$1)</f>
        <v>14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11</v>
      </c>
      <c r="C133" s="145">
        <f>SUMIFS(Table2[NewPointsAway],Table2[GameDate], "&lt;=" &amp; $A133, Table2[AwayTeam], C$1)+SUMIFS(Table2[NewPointsHome],Table2[GameDate], "&lt;=" &amp; $A133, Table2[HomeTeam], C$1)</f>
        <v>10</v>
      </c>
      <c r="D133" s="145">
        <f>SUMIFS(Table2[NewPointsAway],Table2[GameDate], "&lt;=" &amp; $A133, Table2[AwayTeam], D$1)+SUMIFS(Table2[NewPointsHome],Table2[GameDate], "&lt;=" &amp; $A133, Table2[HomeTeam], D$1)</f>
        <v>10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12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12</v>
      </c>
      <c r="I133" s="145">
        <f>SUMIFS(Table2[NewPointsAway],Table2[GameDate], "&lt;=" &amp; $A133, Table2[AwayTeam], I$1)+SUMIFS(Table2[NewPointsHome],Table2[GameDate], "&lt;=" &amp; $A133, Table2[HomeTeam], I$1)</f>
        <v>16</v>
      </c>
      <c r="J133" s="145">
        <f>SUMIFS(Table2[NewPointsAway],Table2[GameDate], "&lt;=" &amp; $A133, Table2[AwayTeam], J$1)+SUMIFS(Table2[NewPointsHome],Table2[GameDate], "&lt;=" &amp; $A133, Table2[HomeTeam], J$1)</f>
        <v>13</v>
      </c>
      <c r="K133" s="145">
        <f>SUMIFS(Table2[NewPointsAway],Table2[GameDate], "&lt;=" &amp; $A133, Table2[AwayTeam], K$1)+SUMIFS(Table2[NewPointsHome],Table2[GameDate], "&lt;=" &amp; $A133, Table2[HomeTeam], K$1)</f>
        <v>14</v>
      </c>
      <c r="L133" s="145">
        <f>SUMIFS(Table2[NewPointsAway],Table2[GameDate], "&lt;=" &amp; $A133, Table2[AwayTeam], L$1)+SUMIFS(Table2[NewPointsHome],Table2[GameDate], "&lt;=" &amp; $A133, Table2[HomeTeam], L$1)</f>
        <v>12</v>
      </c>
      <c r="M133" s="145">
        <f>SUMIFS(Table2[NewPointsAway],Table2[GameDate], "&lt;=" &amp; $A133, Table2[AwayTeam], M$1)+SUMIFS(Table2[NewPointsHome],Table2[GameDate], "&lt;=" &amp; $A133, Table2[HomeTeam], M$1)</f>
        <v>11</v>
      </c>
      <c r="N133" s="145">
        <f>SUMIFS(Table2[NewPointsAway],Table2[GameDate], "&lt;=" &amp; $A133, Table2[AwayTeam], N$1)+SUMIFS(Table2[NewPointsHome],Table2[GameDate], "&lt;=" &amp; $A133, Table2[HomeTeam], N$1)</f>
        <v>13</v>
      </c>
      <c r="O133" s="145">
        <f>SUMIFS(Table2[NewPointsAway],Table2[GameDate], "&lt;=" &amp; $A133, Table2[AwayTeam], O$1)+SUMIFS(Table2[NewPointsHome],Table2[GameDate], "&lt;=" &amp; $A133, Table2[HomeTeam], O$1)</f>
        <v>9</v>
      </c>
      <c r="P133" s="145">
        <f>SUMIFS(Table2[NewPointsAway],Table2[GameDate], "&lt;=" &amp; $A133, Table2[AwayTeam], P$1)+SUMIFS(Table2[NewPointsHome],Table2[GameDate], "&lt;=" &amp; $A133, Table2[HomeTeam], P$1)</f>
        <v>16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10</v>
      </c>
      <c r="U133" s="145">
        <f>SUMIFS(Table2[NewPointsAway],Table2[GameDate], "&lt;=" &amp; $A133, Table2[AwayTeam], U$1)+SUMIFS(Table2[NewPointsHome],Table2[GameDate], "&lt;=" &amp; $A133, Table2[HomeTeam], U$1)</f>
        <v>11</v>
      </c>
      <c r="V133" s="145">
        <f>SUMIFS(Table2[NewPointsAway],Table2[GameDate], "&lt;=" &amp; $A133, Table2[AwayTeam], V$1)+SUMIFS(Table2[NewPointsHome],Table2[GameDate], "&lt;=" &amp; $A133, Table2[HomeTeam], V$1)</f>
        <v>11</v>
      </c>
      <c r="W133" s="145">
        <f>SUMIFS(Table2[NewPointsAway],Table2[GameDate], "&lt;=" &amp; $A133, Table2[AwayTeam], W$1)+SUMIFS(Table2[NewPointsHome],Table2[GameDate], "&lt;=" &amp; $A133, Table2[HomeTeam], W$1)</f>
        <v>16</v>
      </c>
      <c r="X133" s="145">
        <f>SUMIFS(Table2[NewPointsAway],Table2[GameDate], "&lt;=" &amp; $A133, Table2[AwayTeam], X$1)+SUMIFS(Table2[NewPointsHome],Table2[GameDate], "&lt;=" &amp; $A133, Table2[HomeTeam], X$1)</f>
        <v>13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10</v>
      </c>
      <c r="AB133" s="145">
        <f>SUMIFS(Table2[NewPointsAway],Table2[GameDate], "&lt;=" &amp; $A133, Table2[AwayTeam], AB$1)+SUMIFS(Table2[NewPointsHome],Table2[GameDate], "&lt;=" &amp; $A133, Table2[HomeTeam], AB$1)</f>
        <v>11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15</v>
      </c>
      <c r="AF133" s="145">
        <f>SUMIFS(Table2[NewPointsAway],Table2[GameDate], "&lt;=" &amp; $A133, Table2[AwayTeam], AF$1)+SUMIFS(Table2[NewPointsHome],Table2[GameDate], "&lt;=" &amp; $A133, Table2[HomeTeam], AF$1)</f>
        <v>14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11</v>
      </c>
      <c r="C134" s="145">
        <f>SUMIFS(Table2[NewPointsAway],Table2[GameDate], "&lt;=" &amp; $A134, Table2[AwayTeam], C$1)+SUMIFS(Table2[NewPointsHome],Table2[GameDate], "&lt;=" &amp; $A134, Table2[HomeTeam], C$1)</f>
        <v>10</v>
      </c>
      <c r="D134" s="145">
        <f>SUMIFS(Table2[NewPointsAway],Table2[GameDate], "&lt;=" &amp; $A134, Table2[AwayTeam], D$1)+SUMIFS(Table2[NewPointsHome],Table2[GameDate], "&lt;=" &amp; $A134, Table2[HomeTeam], D$1)</f>
        <v>10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12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12</v>
      </c>
      <c r="I134" s="145">
        <f>SUMIFS(Table2[NewPointsAway],Table2[GameDate], "&lt;=" &amp; $A134, Table2[AwayTeam], I$1)+SUMIFS(Table2[NewPointsHome],Table2[GameDate], "&lt;=" &amp; $A134, Table2[HomeTeam], I$1)</f>
        <v>16</v>
      </c>
      <c r="J134" s="145">
        <f>SUMIFS(Table2[NewPointsAway],Table2[GameDate], "&lt;=" &amp; $A134, Table2[AwayTeam], J$1)+SUMIFS(Table2[NewPointsHome],Table2[GameDate], "&lt;=" &amp; $A134, Table2[HomeTeam], J$1)</f>
        <v>13</v>
      </c>
      <c r="K134" s="145">
        <f>SUMIFS(Table2[NewPointsAway],Table2[GameDate], "&lt;=" &amp; $A134, Table2[AwayTeam], K$1)+SUMIFS(Table2[NewPointsHome],Table2[GameDate], "&lt;=" &amp; $A134, Table2[HomeTeam], K$1)</f>
        <v>14</v>
      </c>
      <c r="L134" s="145">
        <f>SUMIFS(Table2[NewPointsAway],Table2[GameDate], "&lt;=" &amp; $A134, Table2[AwayTeam], L$1)+SUMIFS(Table2[NewPointsHome],Table2[GameDate], "&lt;=" &amp; $A134, Table2[HomeTeam], L$1)</f>
        <v>12</v>
      </c>
      <c r="M134" s="145">
        <f>SUMIFS(Table2[NewPointsAway],Table2[GameDate], "&lt;=" &amp; $A134, Table2[AwayTeam], M$1)+SUMIFS(Table2[NewPointsHome],Table2[GameDate], "&lt;=" &amp; $A134, Table2[HomeTeam], M$1)</f>
        <v>11</v>
      </c>
      <c r="N134" s="145">
        <f>SUMIFS(Table2[NewPointsAway],Table2[GameDate], "&lt;=" &amp; $A134, Table2[AwayTeam], N$1)+SUMIFS(Table2[NewPointsHome],Table2[GameDate], "&lt;=" &amp; $A134, Table2[HomeTeam], N$1)</f>
        <v>13</v>
      </c>
      <c r="O134" s="145">
        <f>SUMIFS(Table2[NewPointsAway],Table2[GameDate], "&lt;=" &amp; $A134, Table2[AwayTeam], O$1)+SUMIFS(Table2[NewPointsHome],Table2[GameDate], "&lt;=" &amp; $A134, Table2[HomeTeam], O$1)</f>
        <v>9</v>
      </c>
      <c r="P134" s="145">
        <f>SUMIFS(Table2[NewPointsAway],Table2[GameDate], "&lt;=" &amp; $A134, Table2[AwayTeam], P$1)+SUMIFS(Table2[NewPointsHome],Table2[GameDate], "&lt;=" &amp; $A134, Table2[HomeTeam], P$1)</f>
        <v>16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10</v>
      </c>
      <c r="U134" s="145">
        <f>SUMIFS(Table2[NewPointsAway],Table2[GameDate], "&lt;=" &amp; $A134, Table2[AwayTeam], U$1)+SUMIFS(Table2[NewPointsHome],Table2[GameDate], "&lt;=" &amp; $A134, Table2[HomeTeam], U$1)</f>
        <v>11</v>
      </c>
      <c r="V134" s="145">
        <f>SUMIFS(Table2[NewPointsAway],Table2[GameDate], "&lt;=" &amp; $A134, Table2[AwayTeam], V$1)+SUMIFS(Table2[NewPointsHome],Table2[GameDate], "&lt;=" &amp; $A134, Table2[HomeTeam], V$1)</f>
        <v>11</v>
      </c>
      <c r="W134" s="145">
        <f>SUMIFS(Table2[NewPointsAway],Table2[GameDate], "&lt;=" &amp; $A134, Table2[AwayTeam], W$1)+SUMIFS(Table2[NewPointsHome],Table2[GameDate], "&lt;=" &amp; $A134, Table2[HomeTeam], W$1)</f>
        <v>16</v>
      </c>
      <c r="X134" s="145">
        <f>SUMIFS(Table2[NewPointsAway],Table2[GameDate], "&lt;=" &amp; $A134, Table2[AwayTeam], X$1)+SUMIFS(Table2[NewPointsHome],Table2[GameDate], "&lt;=" &amp; $A134, Table2[HomeTeam], X$1)</f>
        <v>13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10</v>
      </c>
      <c r="AB134" s="145">
        <f>SUMIFS(Table2[NewPointsAway],Table2[GameDate], "&lt;=" &amp; $A134, Table2[AwayTeam], AB$1)+SUMIFS(Table2[NewPointsHome],Table2[GameDate], "&lt;=" &amp; $A134, Table2[HomeTeam], AB$1)</f>
        <v>11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15</v>
      </c>
      <c r="AF134" s="145">
        <f>SUMIFS(Table2[NewPointsAway],Table2[GameDate], "&lt;=" &amp; $A134, Table2[AwayTeam], AF$1)+SUMIFS(Table2[NewPointsHome],Table2[GameDate], "&lt;=" &amp; $A134, Table2[HomeTeam], AF$1)</f>
        <v>14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11</v>
      </c>
      <c r="C135" s="145">
        <f>SUMIFS(Table2[NewPointsAway],Table2[GameDate], "&lt;=" &amp; $A135, Table2[AwayTeam], C$1)+SUMIFS(Table2[NewPointsHome],Table2[GameDate], "&lt;=" &amp; $A135, Table2[HomeTeam], C$1)</f>
        <v>10</v>
      </c>
      <c r="D135" s="145">
        <f>SUMIFS(Table2[NewPointsAway],Table2[GameDate], "&lt;=" &amp; $A135, Table2[AwayTeam], D$1)+SUMIFS(Table2[NewPointsHome],Table2[GameDate], "&lt;=" &amp; $A135, Table2[HomeTeam], D$1)</f>
        <v>10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12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12</v>
      </c>
      <c r="I135" s="145">
        <f>SUMIFS(Table2[NewPointsAway],Table2[GameDate], "&lt;=" &amp; $A135, Table2[AwayTeam], I$1)+SUMIFS(Table2[NewPointsHome],Table2[GameDate], "&lt;=" &amp; $A135, Table2[HomeTeam], I$1)</f>
        <v>16</v>
      </c>
      <c r="J135" s="145">
        <f>SUMIFS(Table2[NewPointsAway],Table2[GameDate], "&lt;=" &amp; $A135, Table2[AwayTeam], J$1)+SUMIFS(Table2[NewPointsHome],Table2[GameDate], "&lt;=" &amp; $A135, Table2[HomeTeam], J$1)</f>
        <v>13</v>
      </c>
      <c r="K135" s="145">
        <f>SUMIFS(Table2[NewPointsAway],Table2[GameDate], "&lt;=" &amp; $A135, Table2[AwayTeam], K$1)+SUMIFS(Table2[NewPointsHome],Table2[GameDate], "&lt;=" &amp; $A135, Table2[HomeTeam], K$1)</f>
        <v>14</v>
      </c>
      <c r="L135" s="145">
        <f>SUMIFS(Table2[NewPointsAway],Table2[GameDate], "&lt;=" &amp; $A135, Table2[AwayTeam], L$1)+SUMIFS(Table2[NewPointsHome],Table2[GameDate], "&lt;=" &amp; $A135, Table2[HomeTeam], L$1)</f>
        <v>12</v>
      </c>
      <c r="M135" s="145">
        <f>SUMIFS(Table2[NewPointsAway],Table2[GameDate], "&lt;=" &amp; $A135, Table2[AwayTeam], M$1)+SUMIFS(Table2[NewPointsHome],Table2[GameDate], "&lt;=" &amp; $A135, Table2[HomeTeam], M$1)</f>
        <v>11</v>
      </c>
      <c r="N135" s="145">
        <f>SUMIFS(Table2[NewPointsAway],Table2[GameDate], "&lt;=" &amp; $A135, Table2[AwayTeam], N$1)+SUMIFS(Table2[NewPointsHome],Table2[GameDate], "&lt;=" &amp; $A135, Table2[HomeTeam], N$1)</f>
        <v>13</v>
      </c>
      <c r="O135" s="145">
        <f>SUMIFS(Table2[NewPointsAway],Table2[GameDate], "&lt;=" &amp; $A135, Table2[AwayTeam], O$1)+SUMIFS(Table2[NewPointsHome],Table2[GameDate], "&lt;=" &amp; $A135, Table2[HomeTeam], O$1)</f>
        <v>9</v>
      </c>
      <c r="P135" s="145">
        <f>SUMIFS(Table2[NewPointsAway],Table2[GameDate], "&lt;=" &amp; $A135, Table2[AwayTeam], P$1)+SUMIFS(Table2[NewPointsHome],Table2[GameDate], "&lt;=" &amp; $A135, Table2[HomeTeam], P$1)</f>
        <v>16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10</v>
      </c>
      <c r="U135" s="145">
        <f>SUMIFS(Table2[NewPointsAway],Table2[GameDate], "&lt;=" &amp; $A135, Table2[AwayTeam], U$1)+SUMIFS(Table2[NewPointsHome],Table2[GameDate], "&lt;=" &amp; $A135, Table2[HomeTeam], U$1)</f>
        <v>11</v>
      </c>
      <c r="V135" s="145">
        <f>SUMIFS(Table2[NewPointsAway],Table2[GameDate], "&lt;=" &amp; $A135, Table2[AwayTeam], V$1)+SUMIFS(Table2[NewPointsHome],Table2[GameDate], "&lt;=" &amp; $A135, Table2[HomeTeam], V$1)</f>
        <v>11</v>
      </c>
      <c r="W135" s="145">
        <f>SUMIFS(Table2[NewPointsAway],Table2[GameDate], "&lt;=" &amp; $A135, Table2[AwayTeam], W$1)+SUMIFS(Table2[NewPointsHome],Table2[GameDate], "&lt;=" &amp; $A135, Table2[HomeTeam], W$1)</f>
        <v>16</v>
      </c>
      <c r="X135" s="145">
        <f>SUMIFS(Table2[NewPointsAway],Table2[GameDate], "&lt;=" &amp; $A135, Table2[AwayTeam], X$1)+SUMIFS(Table2[NewPointsHome],Table2[GameDate], "&lt;=" &amp; $A135, Table2[HomeTeam], X$1)</f>
        <v>13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10</v>
      </c>
      <c r="AB135" s="145">
        <f>SUMIFS(Table2[NewPointsAway],Table2[GameDate], "&lt;=" &amp; $A135, Table2[AwayTeam], AB$1)+SUMIFS(Table2[NewPointsHome],Table2[GameDate], "&lt;=" &amp; $A135, Table2[HomeTeam], AB$1)</f>
        <v>11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15</v>
      </c>
      <c r="AF135" s="145">
        <f>SUMIFS(Table2[NewPointsAway],Table2[GameDate], "&lt;=" &amp; $A135, Table2[AwayTeam], AF$1)+SUMIFS(Table2[NewPointsHome],Table2[GameDate], "&lt;=" &amp; $A135, Table2[HomeTeam], AF$1)</f>
        <v>14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11</v>
      </c>
      <c r="C136" s="145">
        <f>SUMIFS(Table2[NewPointsAway],Table2[GameDate], "&lt;=" &amp; $A136, Table2[AwayTeam], C$1)+SUMIFS(Table2[NewPointsHome],Table2[GameDate], "&lt;=" &amp; $A136, Table2[HomeTeam], C$1)</f>
        <v>10</v>
      </c>
      <c r="D136" s="145">
        <f>SUMIFS(Table2[NewPointsAway],Table2[GameDate], "&lt;=" &amp; $A136, Table2[AwayTeam], D$1)+SUMIFS(Table2[NewPointsHome],Table2[GameDate], "&lt;=" &amp; $A136, Table2[HomeTeam], D$1)</f>
        <v>10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12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12</v>
      </c>
      <c r="I136" s="145">
        <f>SUMIFS(Table2[NewPointsAway],Table2[GameDate], "&lt;=" &amp; $A136, Table2[AwayTeam], I$1)+SUMIFS(Table2[NewPointsHome],Table2[GameDate], "&lt;=" &amp; $A136, Table2[HomeTeam], I$1)</f>
        <v>16</v>
      </c>
      <c r="J136" s="145">
        <f>SUMIFS(Table2[NewPointsAway],Table2[GameDate], "&lt;=" &amp; $A136, Table2[AwayTeam], J$1)+SUMIFS(Table2[NewPointsHome],Table2[GameDate], "&lt;=" &amp; $A136, Table2[HomeTeam], J$1)</f>
        <v>13</v>
      </c>
      <c r="K136" s="145">
        <f>SUMIFS(Table2[NewPointsAway],Table2[GameDate], "&lt;=" &amp; $A136, Table2[AwayTeam], K$1)+SUMIFS(Table2[NewPointsHome],Table2[GameDate], "&lt;=" &amp; $A136, Table2[HomeTeam], K$1)</f>
        <v>14</v>
      </c>
      <c r="L136" s="145">
        <f>SUMIFS(Table2[NewPointsAway],Table2[GameDate], "&lt;=" &amp; $A136, Table2[AwayTeam], L$1)+SUMIFS(Table2[NewPointsHome],Table2[GameDate], "&lt;=" &amp; $A136, Table2[HomeTeam], L$1)</f>
        <v>12</v>
      </c>
      <c r="M136" s="145">
        <f>SUMIFS(Table2[NewPointsAway],Table2[GameDate], "&lt;=" &amp; $A136, Table2[AwayTeam], M$1)+SUMIFS(Table2[NewPointsHome],Table2[GameDate], "&lt;=" &amp; $A136, Table2[HomeTeam], M$1)</f>
        <v>11</v>
      </c>
      <c r="N136" s="145">
        <f>SUMIFS(Table2[NewPointsAway],Table2[GameDate], "&lt;=" &amp; $A136, Table2[AwayTeam], N$1)+SUMIFS(Table2[NewPointsHome],Table2[GameDate], "&lt;=" &amp; $A136, Table2[HomeTeam], N$1)</f>
        <v>13</v>
      </c>
      <c r="O136" s="145">
        <f>SUMIFS(Table2[NewPointsAway],Table2[GameDate], "&lt;=" &amp; $A136, Table2[AwayTeam], O$1)+SUMIFS(Table2[NewPointsHome],Table2[GameDate], "&lt;=" &amp; $A136, Table2[HomeTeam], O$1)</f>
        <v>9</v>
      </c>
      <c r="P136" s="145">
        <f>SUMIFS(Table2[NewPointsAway],Table2[GameDate], "&lt;=" &amp; $A136, Table2[AwayTeam], P$1)+SUMIFS(Table2[NewPointsHome],Table2[GameDate], "&lt;=" &amp; $A136, Table2[HomeTeam], P$1)</f>
        <v>16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10</v>
      </c>
      <c r="U136" s="145">
        <f>SUMIFS(Table2[NewPointsAway],Table2[GameDate], "&lt;=" &amp; $A136, Table2[AwayTeam], U$1)+SUMIFS(Table2[NewPointsHome],Table2[GameDate], "&lt;=" &amp; $A136, Table2[HomeTeam], U$1)</f>
        <v>11</v>
      </c>
      <c r="V136" s="145">
        <f>SUMIFS(Table2[NewPointsAway],Table2[GameDate], "&lt;=" &amp; $A136, Table2[AwayTeam], V$1)+SUMIFS(Table2[NewPointsHome],Table2[GameDate], "&lt;=" &amp; $A136, Table2[HomeTeam], V$1)</f>
        <v>11</v>
      </c>
      <c r="W136" s="145">
        <f>SUMIFS(Table2[NewPointsAway],Table2[GameDate], "&lt;=" &amp; $A136, Table2[AwayTeam], W$1)+SUMIFS(Table2[NewPointsHome],Table2[GameDate], "&lt;=" &amp; $A136, Table2[HomeTeam], W$1)</f>
        <v>16</v>
      </c>
      <c r="X136" s="145">
        <f>SUMIFS(Table2[NewPointsAway],Table2[GameDate], "&lt;=" &amp; $A136, Table2[AwayTeam], X$1)+SUMIFS(Table2[NewPointsHome],Table2[GameDate], "&lt;=" &amp; $A136, Table2[HomeTeam], X$1)</f>
        <v>13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10</v>
      </c>
      <c r="AB136" s="145">
        <f>SUMIFS(Table2[NewPointsAway],Table2[GameDate], "&lt;=" &amp; $A136, Table2[AwayTeam], AB$1)+SUMIFS(Table2[NewPointsHome],Table2[GameDate], "&lt;=" &amp; $A136, Table2[HomeTeam], AB$1)</f>
        <v>11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15</v>
      </c>
      <c r="AF136" s="145">
        <f>SUMIFS(Table2[NewPointsAway],Table2[GameDate], "&lt;=" &amp; $A136, Table2[AwayTeam], AF$1)+SUMIFS(Table2[NewPointsHome],Table2[GameDate], "&lt;=" &amp; $A136, Table2[HomeTeam], AF$1)</f>
        <v>14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11</v>
      </c>
      <c r="C137" s="145">
        <f>SUMIFS(Table2[NewPointsAway],Table2[GameDate], "&lt;=" &amp; $A137, Table2[AwayTeam], C$1)+SUMIFS(Table2[NewPointsHome],Table2[GameDate], "&lt;=" &amp; $A137, Table2[HomeTeam], C$1)</f>
        <v>10</v>
      </c>
      <c r="D137" s="145">
        <f>SUMIFS(Table2[NewPointsAway],Table2[GameDate], "&lt;=" &amp; $A137, Table2[AwayTeam], D$1)+SUMIFS(Table2[NewPointsHome],Table2[GameDate], "&lt;=" &amp; $A137, Table2[HomeTeam], D$1)</f>
        <v>10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12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12</v>
      </c>
      <c r="I137" s="145">
        <f>SUMIFS(Table2[NewPointsAway],Table2[GameDate], "&lt;=" &amp; $A137, Table2[AwayTeam], I$1)+SUMIFS(Table2[NewPointsHome],Table2[GameDate], "&lt;=" &amp; $A137, Table2[HomeTeam], I$1)</f>
        <v>16</v>
      </c>
      <c r="J137" s="145">
        <f>SUMIFS(Table2[NewPointsAway],Table2[GameDate], "&lt;=" &amp; $A137, Table2[AwayTeam], J$1)+SUMIFS(Table2[NewPointsHome],Table2[GameDate], "&lt;=" &amp; $A137, Table2[HomeTeam], J$1)</f>
        <v>13</v>
      </c>
      <c r="K137" s="145">
        <f>SUMIFS(Table2[NewPointsAway],Table2[GameDate], "&lt;=" &amp; $A137, Table2[AwayTeam], K$1)+SUMIFS(Table2[NewPointsHome],Table2[GameDate], "&lt;=" &amp; $A137, Table2[HomeTeam], K$1)</f>
        <v>14</v>
      </c>
      <c r="L137" s="145">
        <f>SUMIFS(Table2[NewPointsAway],Table2[GameDate], "&lt;=" &amp; $A137, Table2[AwayTeam], L$1)+SUMIFS(Table2[NewPointsHome],Table2[GameDate], "&lt;=" &amp; $A137, Table2[HomeTeam], L$1)</f>
        <v>12</v>
      </c>
      <c r="M137" s="145">
        <f>SUMIFS(Table2[NewPointsAway],Table2[GameDate], "&lt;=" &amp; $A137, Table2[AwayTeam], M$1)+SUMIFS(Table2[NewPointsHome],Table2[GameDate], "&lt;=" &amp; $A137, Table2[HomeTeam], M$1)</f>
        <v>11</v>
      </c>
      <c r="N137" s="145">
        <f>SUMIFS(Table2[NewPointsAway],Table2[GameDate], "&lt;=" &amp; $A137, Table2[AwayTeam], N$1)+SUMIFS(Table2[NewPointsHome],Table2[GameDate], "&lt;=" &amp; $A137, Table2[HomeTeam], N$1)</f>
        <v>13</v>
      </c>
      <c r="O137" s="145">
        <f>SUMIFS(Table2[NewPointsAway],Table2[GameDate], "&lt;=" &amp; $A137, Table2[AwayTeam], O$1)+SUMIFS(Table2[NewPointsHome],Table2[GameDate], "&lt;=" &amp; $A137, Table2[HomeTeam], O$1)</f>
        <v>9</v>
      </c>
      <c r="P137" s="145">
        <f>SUMIFS(Table2[NewPointsAway],Table2[GameDate], "&lt;=" &amp; $A137, Table2[AwayTeam], P$1)+SUMIFS(Table2[NewPointsHome],Table2[GameDate], "&lt;=" &amp; $A137, Table2[HomeTeam], P$1)</f>
        <v>16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10</v>
      </c>
      <c r="U137" s="145">
        <f>SUMIFS(Table2[NewPointsAway],Table2[GameDate], "&lt;=" &amp; $A137, Table2[AwayTeam], U$1)+SUMIFS(Table2[NewPointsHome],Table2[GameDate], "&lt;=" &amp; $A137, Table2[HomeTeam], U$1)</f>
        <v>11</v>
      </c>
      <c r="V137" s="145">
        <f>SUMIFS(Table2[NewPointsAway],Table2[GameDate], "&lt;=" &amp; $A137, Table2[AwayTeam], V$1)+SUMIFS(Table2[NewPointsHome],Table2[GameDate], "&lt;=" &amp; $A137, Table2[HomeTeam], V$1)</f>
        <v>11</v>
      </c>
      <c r="W137" s="145">
        <f>SUMIFS(Table2[NewPointsAway],Table2[GameDate], "&lt;=" &amp; $A137, Table2[AwayTeam], W$1)+SUMIFS(Table2[NewPointsHome],Table2[GameDate], "&lt;=" &amp; $A137, Table2[HomeTeam], W$1)</f>
        <v>16</v>
      </c>
      <c r="X137" s="145">
        <f>SUMIFS(Table2[NewPointsAway],Table2[GameDate], "&lt;=" &amp; $A137, Table2[AwayTeam], X$1)+SUMIFS(Table2[NewPointsHome],Table2[GameDate], "&lt;=" &amp; $A137, Table2[HomeTeam], X$1)</f>
        <v>13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10</v>
      </c>
      <c r="AB137" s="145">
        <f>SUMIFS(Table2[NewPointsAway],Table2[GameDate], "&lt;=" &amp; $A137, Table2[AwayTeam], AB$1)+SUMIFS(Table2[NewPointsHome],Table2[GameDate], "&lt;=" &amp; $A137, Table2[HomeTeam], AB$1)</f>
        <v>11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15</v>
      </c>
      <c r="AF137" s="145">
        <f>SUMIFS(Table2[NewPointsAway],Table2[GameDate], "&lt;=" &amp; $A137, Table2[AwayTeam], AF$1)+SUMIFS(Table2[NewPointsHome],Table2[GameDate], "&lt;=" &amp; $A137, Table2[HomeTeam], AF$1)</f>
        <v>14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11</v>
      </c>
      <c r="C138" s="145">
        <f>SUMIFS(Table2[NewPointsAway],Table2[GameDate], "&lt;=" &amp; $A138, Table2[AwayTeam], C$1)+SUMIFS(Table2[NewPointsHome],Table2[GameDate], "&lt;=" &amp; $A138, Table2[HomeTeam], C$1)</f>
        <v>10</v>
      </c>
      <c r="D138" s="145">
        <f>SUMIFS(Table2[NewPointsAway],Table2[GameDate], "&lt;=" &amp; $A138, Table2[AwayTeam], D$1)+SUMIFS(Table2[NewPointsHome],Table2[GameDate], "&lt;=" &amp; $A138, Table2[HomeTeam], D$1)</f>
        <v>10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12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12</v>
      </c>
      <c r="I138" s="145">
        <f>SUMIFS(Table2[NewPointsAway],Table2[GameDate], "&lt;=" &amp; $A138, Table2[AwayTeam], I$1)+SUMIFS(Table2[NewPointsHome],Table2[GameDate], "&lt;=" &amp; $A138, Table2[HomeTeam], I$1)</f>
        <v>16</v>
      </c>
      <c r="J138" s="145">
        <f>SUMIFS(Table2[NewPointsAway],Table2[GameDate], "&lt;=" &amp; $A138, Table2[AwayTeam], J$1)+SUMIFS(Table2[NewPointsHome],Table2[GameDate], "&lt;=" &amp; $A138, Table2[HomeTeam], J$1)</f>
        <v>13</v>
      </c>
      <c r="K138" s="145">
        <f>SUMIFS(Table2[NewPointsAway],Table2[GameDate], "&lt;=" &amp; $A138, Table2[AwayTeam], K$1)+SUMIFS(Table2[NewPointsHome],Table2[GameDate], "&lt;=" &amp; $A138, Table2[HomeTeam], K$1)</f>
        <v>14</v>
      </c>
      <c r="L138" s="145">
        <f>SUMIFS(Table2[NewPointsAway],Table2[GameDate], "&lt;=" &amp; $A138, Table2[AwayTeam], L$1)+SUMIFS(Table2[NewPointsHome],Table2[GameDate], "&lt;=" &amp; $A138, Table2[HomeTeam], L$1)</f>
        <v>12</v>
      </c>
      <c r="M138" s="145">
        <f>SUMIFS(Table2[NewPointsAway],Table2[GameDate], "&lt;=" &amp; $A138, Table2[AwayTeam], M$1)+SUMIFS(Table2[NewPointsHome],Table2[GameDate], "&lt;=" &amp; $A138, Table2[HomeTeam], M$1)</f>
        <v>11</v>
      </c>
      <c r="N138" s="145">
        <f>SUMIFS(Table2[NewPointsAway],Table2[GameDate], "&lt;=" &amp; $A138, Table2[AwayTeam], N$1)+SUMIFS(Table2[NewPointsHome],Table2[GameDate], "&lt;=" &amp; $A138, Table2[HomeTeam], N$1)</f>
        <v>13</v>
      </c>
      <c r="O138" s="145">
        <f>SUMIFS(Table2[NewPointsAway],Table2[GameDate], "&lt;=" &amp; $A138, Table2[AwayTeam], O$1)+SUMIFS(Table2[NewPointsHome],Table2[GameDate], "&lt;=" &amp; $A138, Table2[HomeTeam], O$1)</f>
        <v>9</v>
      </c>
      <c r="P138" s="145">
        <f>SUMIFS(Table2[NewPointsAway],Table2[GameDate], "&lt;=" &amp; $A138, Table2[AwayTeam], P$1)+SUMIFS(Table2[NewPointsHome],Table2[GameDate], "&lt;=" &amp; $A138, Table2[HomeTeam], P$1)</f>
        <v>16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10</v>
      </c>
      <c r="U138" s="145">
        <f>SUMIFS(Table2[NewPointsAway],Table2[GameDate], "&lt;=" &amp; $A138, Table2[AwayTeam], U$1)+SUMIFS(Table2[NewPointsHome],Table2[GameDate], "&lt;=" &amp; $A138, Table2[HomeTeam], U$1)</f>
        <v>11</v>
      </c>
      <c r="V138" s="145">
        <f>SUMIFS(Table2[NewPointsAway],Table2[GameDate], "&lt;=" &amp; $A138, Table2[AwayTeam], V$1)+SUMIFS(Table2[NewPointsHome],Table2[GameDate], "&lt;=" &amp; $A138, Table2[HomeTeam], V$1)</f>
        <v>11</v>
      </c>
      <c r="W138" s="145">
        <f>SUMIFS(Table2[NewPointsAway],Table2[GameDate], "&lt;=" &amp; $A138, Table2[AwayTeam], W$1)+SUMIFS(Table2[NewPointsHome],Table2[GameDate], "&lt;=" &amp; $A138, Table2[HomeTeam], W$1)</f>
        <v>16</v>
      </c>
      <c r="X138" s="145">
        <f>SUMIFS(Table2[NewPointsAway],Table2[GameDate], "&lt;=" &amp; $A138, Table2[AwayTeam], X$1)+SUMIFS(Table2[NewPointsHome],Table2[GameDate], "&lt;=" &amp; $A138, Table2[HomeTeam], X$1)</f>
        <v>13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10</v>
      </c>
      <c r="AB138" s="145">
        <f>SUMIFS(Table2[NewPointsAway],Table2[GameDate], "&lt;=" &amp; $A138, Table2[AwayTeam], AB$1)+SUMIFS(Table2[NewPointsHome],Table2[GameDate], "&lt;=" &amp; $A138, Table2[HomeTeam], AB$1)</f>
        <v>11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15</v>
      </c>
      <c r="AF138" s="145">
        <f>SUMIFS(Table2[NewPointsAway],Table2[GameDate], "&lt;=" &amp; $A138, Table2[AwayTeam], AF$1)+SUMIFS(Table2[NewPointsHome],Table2[GameDate], "&lt;=" &amp; $A138, Table2[HomeTeam], AF$1)</f>
        <v>14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11</v>
      </c>
      <c r="C139" s="145">
        <f>SUMIFS(Table2[NewPointsAway],Table2[GameDate], "&lt;=" &amp; $A139, Table2[AwayTeam], C$1)+SUMIFS(Table2[NewPointsHome],Table2[GameDate], "&lt;=" &amp; $A139, Table2[HomeTeam], C$1)</f>
        <v>10</v>
      </c>
      <c r="D139" s="145">
        <f>SUMIFS(Table2[NewPointsAway],Table2[GameDate], "&lt;=" &amp; $A139, Table2[AwayTeam], D$1)+SUMIFS(Table2[NewPointsHome],Table2[GameDate], "&lt;=" &amp; $A139, Table2[HomeTeam], D$1)</f>
        <v>10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12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12</v>
      </c>
      <c r="I139" s="145">
        <f>SUMIFS(Table2[NewPointsAway],Table2[GameDate], "&lt;=" &amp; $A139, Table2[AwayTeam], I$1)+SUMIFS(Table2[NewPointsHome],Table2[GameDate], "&lt;=" &amp; $A139, Table2[HomeTeam], I$1)</f>
        <v>16</v>
      </c>
      <c r="J139" s="145">
        <f>SUMIFS(Table2[NewPointsAway],Table2[GameDate], "&lt;=" &amp; $A139, Table2[AwayTeam], J$1)+SUMIFS(Table2[NewPointsHome],Table2[GameDate], "&lt;=" &amp; $A139, Table2[HomeTeam], J$1)</f>
        <v>13</v>
      </c>
      <c r="K139" s="145">
        <f>SUMIFS(Table2[NewPointsAway],Table2[GameDate], "&lt;=" &amp; $A139, Table2[AwayTeam], K$1)+SUMIFS(Table2[NewPointsHome],Table2[GameDate], "&lt;=" &amp; $A139, Table2[HomeTeam], K$1)</f>
        <v>14</v>
      </c>
      <c r="L139" s="145">
        <f>SUMIFS(Table2[NewPointsAway],Table2[GameDate], "&lt;=" &amp; $A139, Table2[AwayTeam], L$1)+SUMIFS(Table2[NewPointsHome],Table2[GameDate], "&lt;=" &amp; $A139, Table2[HomeTeam], L$1)</f>
        <v>12</v>
      </c>
      <c r="M139" s="145">
        <f>SUMIFS(Table2[NewPointsAway],Table2[GameDate], "&lt;=" &amp; $A139, Table2[AwayTeam], M$1)+SUMIFS(Table2[NewPointsHome],Table2[GameDate], "&lt;=" &amp; $A139, Table2[HomeTeam], M$1)</f>
        <v>11</v>
      </c>
      <c r="N139" s="145">
        <f>SUMIFS(Table2[NewPointsAway],Table2[GameDate], "&lt;=" &amp; $A139, Table2[AwayTeam], N$1)+SUMIFS(Table2[NewPointsHome],Table2[GameDate], "&lt;=" &amp; $A139, Table2[HomeTeam], N$1)</f>
        <v>13</v>
      </c>
      <c r="O139" s="145">
        <f>SUMIFS(Table2[NewPointsAway],Table2[GameDate], "&lt;=" &amp; $A139, Table2[AwayTeam], O$1)+SUMIFS(Table2[NewPointsHome],Table2[GameDate], "&lt;=" &amp; $A139, Table2[HomeTeam], O$1)</f>
        <v>9</v>
      </c>
      <c r="P139" s="145">
        <f>SUMIFS(Table2[NewPointsAway],Table2[GameDate], "&lt;=" &amp; $A139, Table2[AwayTeam], P$1)+SUMIFS(Table2[NewPointsHome],Table2[GameDate], "&lt;=" &amp; $A139, Table2[HomeTeam], P$1)</f>
        <v>16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10</v>
      </c>
      <c r="U139" s="145">
        <f>SUMIFS(Table2[NewPointsAway],Table2[GameDate], "&lt;=" &amp; $A139, Table2[AwayTeam], U$1)+SUMIFS(Table2[NewPointsHome],Table2[GameDate], "&lt;=" &amp; $A139, Table2[HomeTeam], U$1)</f>
        <v>11</v>
      </c>
      <c r="V139" s="145">
        <f>SUMIFS(Table2[NewPointsAway],Table2[GameDate], "&lt;=" &amp; $A139, Table2[AwayTeam], V$1)+SUMIFS(Table2[NewPointsHome],Table2[GameDate], "&lt;=" &amp; $A139, Table2[HomeTeam], V$1)</f>
        <v>11</v>
      </c>
      <c r="W139" s="145">
        <f>SUMIFS(Table2[NewPointsAway],Table2[GameDate], "&lt;=" &amp; $A139, Table2[AwayTeam], W$1)+SUMIFS(Table2[NewPointsHome],Table2[GameDate], "&lt;=" &amp; $A139, Table2[HomeTeam], W$1)</f>
        <v>16</v>
      </c>
      <c r="X139" s="145">
        <f>SUMIFS(Table2[NewPointsAway],Table2[GameDate], "&lt;=" &amp; $A139, Table2[AwayTeam], X$1)+SUMIFS(Table2[NewPointsHome],Table2[GameDate], "&lt;=" &amp; $A139, Table2[HomeTeam], X$1)</f>
        <v>13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10</v>
      </c>
      <c r="AB139" s="145">
        <f>SUMIFS(Table2[NewPointsAway],Table2[GameDate], "&lt;=" &amp; $A139, Table2[AwayTeam], AB$1)+SUMIFS(Table2[NewPointsHome],Table2[GameDate], "&lt;=" &amp; $A139, Table2[HomeTeam], AB$1)</f>
        <v>11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15</v>
      </c>
      <c r="AF139" s="145">
        <f>SUMIFS(Table2[NewPointsAway],Table2[GameDate], "&lt;=" &amp; $A139, Table2[AwayTeam], AF$1)+SUMIFS(Table2[NewPointsHome],Table2[GameDate], "&lt;=" &amp; $A139, Table2[HomeTeam], AF$1)</f>
        <v>14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11</v>
      </c>
      <c r="C140" s="145">
        <f>SUMIFS(Table2[NewPointsAway],Table2[GameDate], "&lt;=" &amp; $A140, Table2[AwayTeam], C$1)+SUMIFS(Table2[NewPointsHome],Table2[GameDate], "&lt;=" &amp; $A140, Table2[HomeTeam], C$1)</f>
        <v>10</v>
      </c>
      <c r="D140" s="145">
        <f>SUMIFS(Table2[NewPointsAway],Table2[GameDate], "&lt;=" &amp; $A140, Table2[AwayTeam], D$1)+SUMIFS(Table2[NewPointsHome],Table2[GameDate], "&lt;=" &amp; $A140, Table2[HomeTeam], D$1)</f>
        <v>10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12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12</v>
      </c>
      <c r="I140" s="145">
        <f>SUMIFS(Table2[NewPointsAway],Table2[GameDate], "&lt;=" &amp; $A140, Table2[AwayTeam], I$1)+SUMIFS(Table2[NewPointsHome],Table2[GameDate], "&lt;=" &amp; $A140, Table2[HomeTeam], I$1)</f>
        <v>16</v>
      </c>
      <c r="J140" s="145">
        <f>SUMIFS(Table2[NewPointsAway],Table2[GameDate], "&lt;=" &amp; $A140, Table2[AwayTeam], J$1)+SUMIFS(Table2[NewPointsHome],Table2[GameDate], "&lt;=" &amp; $A140, Table2[HomeTeam], J$1)</f>
        <v>13</v>
      </c>
      <c r="K140" s="145">
        <f>SUMIFS(Table2[NewPointsAway],Table2[GameDate], "&lt;=" &amp; $A140, Table2[AwayTeam], K$1)+SUMIFS(Table2[NewPointsHome],Table2[GameDate], "&lt;=" &amp; $A140, Table2[HomeTeam], K$1)</f>
        <v>14</v>
      </c>
      <c r="L140" s="145">
        <f>SUMIFS(Table2[NewPointsAway],Table2[GameDate], "&lt;=" &amp; $A140, Table2[AwayTeam], L$1)+SUMIFS(Table2[NewPointsHome],Table2[GameDate], "&lt;=" &amp; $A140, Table2[HomeTeam], L$1)</f>
        <v>12</v>
      </c>
      <c r="M140" s="145">
        <f>SUMIFS(Table2[NewPointsAway],Table2[GameDate], "&lt;=" &amp; $A140, Table2[AwayTeam], M$1)+SUMIFS(Table2[NewPointsHome],Table2[GameDate], "&lt;=" &amp; $A140, Table2[HomeTeam], M$1)</f>
        <v>11</v>
      </c>
      <c r="N140" s="145">
        <f>SUMIFS(Table2[NewPointsAway],Table2[GameDate], "&lt;=" &amp; $A140, Table2[AwayTeam], N$1)+SUMIFS(Table2[NewPointsHome],Table2[GameDate], "&lt;=" &amp; $A140, Table2[HomeTeam], N$1)</f>
        <v>13</v>
      </c>
      <c r="O140" s="145">
        <f>SUMIFS(Table2[NewPointsAway],Table2[GameDate], "&lt;=" &amp; $A140, Table2[AwayTeam], O$1)+SUMIFS(Table2[NewPointsHome],Table2[GameDate], "&lt;=" &amp; $A140, Table2[HomeTeam], O$1)</f>
        <v>9</v>
      </c>
      <c r="P140" s="145">
        <f>SUMIFS(Table2[NewPointsAway],Table2[GameDate], "&lt;=" &amp; $A140, Table2[AwayTeam], P$1)+SUMIFS(Table2[NewPointsHome],Table2[GameDate], "&lt;=" &amp; $A140, Table2[HomeTeam], P$1)</f>
        <v>16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10</v>
      </c>
      <c r="U140" s="145">
        <f>SUMIFS(Table2[NewPointsAway],Table2[GameDate], "&lt;=" &amp; $A140, Table2[AwayTeam], U$1)+SUMIFS(Table2[NewPointsHome],Table2[GameDate], "&lt;=" &amp; $A140, Table2[HomeTeam], U$1)</f>
        <v>11</v>
      </c>
      <c r="V140" s="145">
        <f>SUMIFS(Table2[NewPointsAway],Table2[GameDate], "&lt;=" &amp; $A140, Table2[AwayTeam], V$1)+SUMIFS(Table2[NewPointsHome],Table2[GameDate], "&lt;=" &amp; $A140, Table2[HomeTeam], V$1)</f>
        <v>11</v>
      </c>
      <c r="W140" s="145">
        <f>SUMIFS(Table2[NewPointsAway],Table2[GameDate], "&lt;=" &amp; $A140, Table2[AwayTeam], W$1)+SUMIFS(Table2[NewPointsHome],Table2[GameDate], "&lt;=" &amp; $A140, Table2[HomeTeam], W$1)</f>
        <v>16</v>
      </c>
      <c r="X140" s="145">
        <f>SUMIFS(Table2[NewPointsAway],Table2[GameDate], "&lt;=" &amp; $A140, Table2[AwayTeam], X$1)+SUMIFS(Table2[NewPointsHome],Table2[GameDate], "&lt;=" &amp; $A140, Table2[HomeTeam], X$1)</f>
        <v>13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10</v>
      </c>
      <c r="AB140" s="145">
        <f>SUMIFS(Table2[NewPointsAway],Table2[GameDate], "&lt;=" &amp; $A140, Table2[AwayTeam], AB$1)+SUMIFS(Table2[NewPointsHome],Table2[GameDate], "&lt;=" &amp; $A140, Table2[HomeTeam], AB$1)</f>
        <v>11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15</v>
      </c>
      <c r="AF140" s="145">
        <f>SUMIFS(Table2[NewPointsAway],Table2[GameDate], "&lt;=" &amp; $A140, Table2[AwayTeam], AF$1)+SUMIFS(Table2[NewPointsHome],Table2[GameDate], "&lt;=" &amp; $A140, Table2[HomeTeam], AF$1)</f>
        <v>14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11</v>
      </c>
      <c r="C141" s="145">
        <f>SUMIFS(Table2[NewPointsAway],Table2[GameDate], "&lt;=" &amp; $A141, Table2[AwayTeam], C$1)+SUMIFS(Table2[NewPointsHome],Table2[GameDate], "&lt;=" &amp; $A141, Table2[HomeTeam], C$1)</f>
        <v>10</v>
      </c>
      <c r="D141" s="145">
        <f>SUMIFS(Table2[NewPointsAway],Table2[GameDate], "&lt;=" &amp; $A141, Table2[AwayTeam], D$1)+SUMIFS(Table2[NewPointsHome],Table2[GameDate], "&lt;=" &amp; $A141, Table2[HomeTeam], D$1)</f>
        <v>10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12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12</v>
      </c>
      <c r="I141" s="145">
        <f>SUMIFS(Table2[NewPointsAway],Table2[GameDate], "&lt;=" &amp; $A141, Table2[AwayTeam], I$1)+SUMIFS(Table2[NewPointsHome],Table2[GameDate], "&lt;=" &amp; $A141, Table2[HomeTeam], I$1)</f>
        <v>16</v>
      </c>
      <c r="J141" s="145">
        <f>SUMIFS(Table2[NewPointsAway],Table2[GameDate], "&lt;=" &amp; $A141, Table2[AwayTeam], J$1)+SUMIFS(Table2[NewPointsHome],Table2[GameDate], "&lt;=" &amp; $A141, Table2[HomeTeam], J$1)</f>
        <v>13</v>
      </c>
      <c r="K141" s="145">
        <f>SUMIFS(Table2[NewPointsAway],Table2[GameDate], "&lt;=" &amp; $A141, Table2[AwayTeam], K$1)+SUMIFS(Table2[NewPointsHome],Table2[GameDate], "&lt;=" &amp; $A141, Table2[HomeTeam], K$1)</f>
        <v>14</v>
      </c>
      <c r="L141" s="145">
        <f>SUMIFS(Table2[NewPointsAway],Table2[GameDate], "&lt;=" &amp; $A141, Table2[AwayTeam], L$1)+SUMIFS(Table2[NewPointsHome],Table2[GameDate], "&lt;=" &amp; $A141, Table2[HomeTeam], L$1)</f>
        <v>12</v>
      </c>
      <c r="M141" s="145">
        <f>SUMIFS(Table2[NewPointsAway],Table2[GameDate], "&lt;=" &amp; $A141, Table2[AwayTeam], M$1)+SUMIFS(Table2[NewPointsHome],Table2[GameDate], "&lt;=" &amp; $A141, Table2[HomeTeam], M$1)</f>
        <v>11</v>
      </c>
      <c r="N141" s="145">
        <f>SUMIFS(Table2[NewPointsAway],Table2[GameDate], "&lt;=" &amp; $A141, Table2[AwayTeam], N$1)+SUMIFS(Table2[NewPointsHome],Table2[GameDate], "&lt;=" &amp; $A141, Table2[HomeTeam], N$1)</f>
        <v>13</v>
      </c>
      <c r="O141" s="145">
        <f>SUMIFS(Table2[NewPointsAway],Table2[GameDate], "&lt;=" &amp; $A141, Table2[AwayTeam], O$1)+SUMIFS(Table2[NewPointsHome],Table2[GameDate], "&lt;=" &amp; $A141, Table2[HomeTeam], O$1)</f>
        <v>9</v>
      </c>
      <c r="P141" s="145">
        <f>SUMIFS(Table2[NewPointsAway],Table2[GameDate], "&lt;=" &amp; $A141, Table2[AwayTeam], P$1)+SUMIFS(Table2[NewPointsHome],Table2[GameDate], "&lt;=" &amp; $A141, Table2[HomeTeam], P$1)</f>
        <v>16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10</v>
      </c>
      <c r="U141" s="145">
        <f>SUMIFS(Table2[NewPointsAway],Table2[GameDate], "&lt;=" &amp; $A141, Table2[AwayTeam], U$1)+SUMIFS(Table2[NewPointsHome],Table2[GameDate], "&lt;=" &amp; $A141, Table2[HomeTeam], U$1)</f>
        <v>11</v>
      </c>
      <c r="V141" s="145">
        <f>SUMIFS(Table2[NewPointsAway],Table2[GameDate], "&lt;=" &amp; $A141, Table2[AwayTeam], V$1)+SUMIFS(Table2[NewPointsHome],Table2[GameDate], "&lt;=" &amp; $A141, Table2[HomeTeam], V$1)</f>
        <v>11</v>
      </c>
      <c r="W141" s="145">
        <f>SUMIFS(Table2[NewPointsAway],Table2[GameDate], "&lt;=" &amp; $A141, Table2[AwayTeam], W$1)+SUMIFS(Table2[NewPointsHome],Table2[GameDate], "&lt;=" &amp; $A141, Table2[HomeTeam], W$1)</f>
        <v>16</v>
      </c>
      <c r="X141" s="145">
        <f>SUMIFS(Table2[NewPointsAway],Table2[GameDate], "&lt;=" &amp; $A141, Table2[AwayTeam], X$1)+SUMIFS(Table2[NewPointsHome],Table2[GameDate], "&lt;=" &amp; $A141, Table2[HomeTeam], X$1)</f>
        <v>13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10</v>
      </c>
      <c r="AB141" s="145">
        <f>SUMIFS(Table2[NewPointsAway],Table2[GameDate], "&lt;=" &amp; $A141, Table2[AwayTeam], AB$1)+SUMIFS(Table2[NewPointsHome],Table2[GameDate], "&lt;=" &amp; $A141, Table2[HomeTeam], AB$1)</f>
        <v>11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15</v>
      </c>
      <c r="AF141" s="145">
        <f>SUMIFS(Table2[NewPointsAway],Table2[GameDate], "&lt;=" &amp; $A141, Table2[AwayTeam], AF$1)+SUMIFS(Table2[NewPointsHome],Table2[GameDate], "&lt;=" &amp; $A141, Table2[HomeTeam], AF$1)</f>
        <v>14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11</v>
      </c>
      <c r="C142" s="145">
        <f>SUMIFS(Table2[NewPointsAway],Table2[GameDate], "&lt;=" &amp; $A142, Table2[AwayTeam], C$1)+SUMIFS(Table2[NewPointsHome],Table2[GameDate], "&lt;=" &amp; $A142, Table2[HomeTeam], C$1)</f>
        <v>10</v>
      </c>
      <c r="D142" s="145">
        <f>SUMIFS(Table2[NewPointsAway],Table2[GameDate], "&lt;=" &amp; $A142, Table2[AwayTeam], D$1)+SUMIFS(Table2[NewPointsHome],Table2[GameDate], "&lt;=" &amp; $A142, Table2[HomeTeam], D$1)</f>
        <v>10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12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12</v>
      </c>
      <c r="I142" s="145">
        <f>SUMIFS(Table2[NewPointsAway],Table2[GameDate], "&lt;=" &amp; $A142, Table2[AwayTeam], I$1)+SUMIFS(Table2[NewPointsHome],Table2[GameDate], "&lt;=" &amp; $A142, Table2[HomeTeam], I$1)</f>
        <v>16</v>
      </c>
      <c r="J142" s="145">
        <f>SUMIFS(Table2[NewPointsAway],Table2[GameDate], "&lt;=" &amp; $A142, Table2[AwayTeam], J$1)+SUMIFS(Table2[NewPointsHome],Table2[GameDate], "&lt;=" &amp; $A142, Table2[HomeTeam], J$1)</f>
        <v>13</v>
      </c>
      <c r="K142" s="145">
        <f>SUMIFS(Table2[NewPointsAway],Table2[GameDate], "&lt;=" &amp; $A142, Table2[AwayTeam], K$1)+SUMIFS(Table2[NewPointsHome],Table2[GameDate], "&lt;=" &amp; $A142, Table2[HomeTeam], K$1)</f>
        <v>14</v>
      </c>
      <c r="L142" s="145">
        <f>SUMIFS(Table2[NewPointsAway],Table2[GameDate], "&lt;=" &amp; $A142, Table2[AwayTeam], L$1)+SUMIFS(Table2[NewPointsHome],Table2[GameDate], "&lt;=" &amp; $A142, Table2[HomeTeam], L$1)</f>
        <v>12</v>
      </c>
      <c r="M142" s="145">
        <f>SUMIFS(Table2[NewPointsAway],Table2[GameDate], "&lt;=" &amp; $A142, Table2[AwayTeam], M$1)+SUMIFS(Table2[NewPointsHome],Table2[GameDate], "&lt;=" &amp; $A142, Table2[HomeTeam], M$1)</f>
        <v>11</v>
      </c>
      <c r="N142" s="145">
        <f>SUMIFS(Table2[NewPointsAway],Table2[GameDate], "&lt;=" &amp; $A142, Table2[AwayTeam], N$1)+SUMIFS(Table2[NewPointsHome],Table2[GameDate], "&lt;=" &amp; $A142, Table2[HomeTeam], N$1)</f>
        <v>13</v>
      </c>
      <c r="O142" s="145">
        <f>SUMIFS(Table2[NewPointsAway],Table2[GameDate], "&lt;=" &amp; $A142, Table2[AwayTeam], O$1)+SUMIFS(Table2[NewPointsHome],Table2[GameDate], "&lt;=" &amp; $A142, Table2[HomeTeam], O$1)</f>
        <v>9</v>
      </c>
      <c r="P142" s="145">
        <f>SUMIFS(Table2[NewPointsAway],Table2[GameDate], "&lt;=" &amp; $A142, Table2[AwayTeam], P$1)+SUMIFS(Table2[NewPointsHome],Table2[GameDate], "&lt;=" &amp; $A142, Table2[HomeTeam], P$1)</f>
        <v>16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10</v>
      </c>
      <c r="U142" s="145">
        <f>SUMIFS(Table2[NewPointsAway],Table2[GameDate], "&lt;=" &amp; $A142, Table2[AwayTeam], U$1)+SUMIFS(Table2[NewPointsHome],Table2[GameDate], "&lt;=" &amp; $A142, Table2[HomeTeam], U$1)</f>
        <v>11</v>
      </c>
      <c r="V142" s="145">
        <f>SUMIFS(Table2[NewPointsAway],Table2[GameDate], "&lt;=" &amp; $A142, Table2[AwayTeam], V$1)+SUMIFS(Table2[NewPointsHome],Table2[GameDate], "&lt;=" &amp; $A142, Table2[HomeTeam], V$1)</f>
        <v>11</v>
      </c>
      <c r="W142" s="145">
        <f>SUMIFS(Table2[NewPointsAway],Table2[GameDate], "&lt;=" &amp; $A142, Table2[AwayTeam], W$1)+SUMIFS(Table2[NewPointsHome],Table2[GameDate], "&lt;=" &amp; $A142, Table2[HomeTeam], W$1)</f>
        <v>16</v>
      </c>
      <c r="X142" s="145">
        <f>SUMIFS(Table2[NewPointsAway],Table2[GameDate], "&lt;=" &amp; $A142, Table2[AwayTeam], X$1)+SUMIFS(Table2[NewPointsHome],Table2[GameDate], "&lt;=" &amp; $A142, Table2[HomeTeam], X$1)</f>
        <v>13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10</v>
      </c>
      <c r="AB142" s="145">
        <f>SUMIFS(Table2[NewPointsAway],Table2[GameDate], "&lt;=" &amp; $A142, Table2[AwayTeam], AB$1)+SUMIFS(Table2[NewPointsHome],Table2[GameDate], "&lt;=" &amp; $A142, Table2[HomeTeam], AB$1)</f>
        <v>11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15</v>
      </c>
      <c r="AF142" s="145">
        <f>SUMIFS(Table2[NewPointsAway],Table2[GameDate], "&lt;=" &amp; $A142, Table2[AwayTeam], AF$1)+SUMIFS(Table2[NewPointsHome],Table2[GameDate], "&lt;=" &amp; $A142, Table2[HomeTeam], AF$1)</f>
        <v>14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11</v>
      </c>
      <c r="C143" s="145">
        <f>SUMIFS(Table2[NewPointsAway],Table2[GameDate], "&lt;=" &amp; $A143, Table2[AwayTeam], C$1)+SUMIFS(Table2[NewPointsHome],Table2[GameDate], "&lt;=" &amp; $A143, Table2[HomeTeam], C$1)</f>
        <v>10</v>
      </c>
      <c r="D143" s="145">
        <f>SUMIFS(Table2[NewPointsAway],Table2[GameDate], "&lt;=" &amp; $A143, Table2[AwayTeam], D$1)+SUMIFS(Table2[NewPointsHome],Table2[GameDate], "&lt;=" &amp; $A143, Table2[HomeTeam], D$1)</f>
        <v>10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12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12</v>
      </c>
      <c r="I143" s="145">
        <f>SUMIFS(Table2[NewPointsAway],Table2[GameDate], "&lt;=" &amp; $A143, Table2[AwayTeam], I$1)+SUMIFS(Table2[NewPointsHome],Table2[GameDate], "&lt;=" &amp; $A143, Table2[HomeTeam], I$1)</f>
        <v>16</v>
      </c>
      <c r="J143" s="145">
        <f>SUMIFS(Table2[NewPointsAway],Table2[GameDate], "&lt;=" &amp; $A143, Table2[AwayTeam], J$1)+SUMIFS(Table2[NewPointsHome],Table2[GameDate], "&lt;=" &amp; $A143, Table2[HomeTeam], J$1)</f>
        <v>13</v>
      </c>
      <c r="K143" s="145">
        <f>SUMIFS(Table2[NewPointsAway],Table2[GameDate], "&lt;=" &amp; $A143, Table2[AwayTeam], K$1)+SUMIFS(Table2[NewPointsHome],Table2[GameDate], "&lt;=" &amp; $A143, Table2[HomeTeam], K$1)</f>
        <v>14</v>
      </c>
      <c r="L143" s="145">
        <f>SUMIFS(Table2[NewPointsAway],Table2[GameDate], "&lt;=" &amp; $A143, Table2[AwayTeam], L$1)+SUMIFS(Table2[NewPointsHome],Table2[GameDate], "&lt;=" &amp; $A143, Table2[HomeTeam], L$1)</f>
        <v>12</v>
      </c>
      <c r="M143" s="145">
        <f>SUMIFS(Table2[NewPointsAway],Table2[GameDate], "&lt;=" &amp; $A143, Table2[AwayTeam], M$1)+SUMIFS(Table2[NewPointsHome],Table2[GameDate], "&lt;=" &amp; $A143, Table2[HomeTeam], M$1)</f>
        <v>11</v>
      </c>
      <c r="N143" s="145">
        <f>SUMIFS(Table2[NewPointsAway],Table2[GameDate], "&lt;=" &amp; $A143, Table2[AwayTeam], N$1)+SUMIFS(Table2[NewPointsHome],Table2[GameDate], "&lt;=" &amp; $A143, Table2[HomeTeam], N$1)</f>
        <v>13</v>
      </c>
      <c r="O143" s="145">
        <f>SUMIFS(Table2[NewPointsAway],Table2[GameDate], "&lt;=" &amp; $A143, Table2[AwayTeam], O$1)+SUMIFS(Table2[NewPointsHome],Table2[GameDate], "&lt;=" &amp; $A143, Table2[HomeTeam], O$1)</f>
        <v>9</v>
      </c>
      <c r="P143" s="145">
        <f>SUMIFS(Table2[NewPointsAway],Table2[GameDate], "&lt;=" &amp; $A143, Table2[AwayTeam], P$1)+SUMIFS(Table2[NewPointsHome],Table2[GameDate], "&lt;=" &amp; $A143, Table2[HomeTeam], P$1)</f>
        <v>16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10</v>
      </c>
      <c r="U143" s="145">
        <f>SUMIFS(Table2[NewPointsAway],Table2[GameDate], "&lt;=" &amp; $A143, Table2[AwayTeam], U$1)+SUMIFS(Table2[NewPointsHome],Table2[GameDate], "&lt;=" &amp; $A143, Table2[HomeTeam], U$1)</f>
        <v>11</v>
      </c>
      <c r="V143" s="145">
        <f>SUMIFS(Table2[NewPointsAway],Table2[GameDate], "&lt;=" &amp; $A143, Table2[AwayTeam], V$1)+SUMIFS(Table2[NewPointsHome],Table2[GameDate], "&lt;=" &amp; $A143, Table2[HomeTeam], V$1)</f>
        <v>11</v>
      </c>
      <c r="W143" s="145">
        <f>SUMIFS(Table2[NewPointsAway],Table2[GameDate], "&lt;=" &amp; $A143, Table2[AwayTeam], W$1)+SUMIFS(Table2[NewPointsHome],Table2[GameDate], "&lt;=" &amp; $A143, Table2[HomeTeam], W$1)</f>
        <v>16</v>
      </c>
      <c r="X143" s="145">
        <f>SUMIFS(Table2[NewPointsAway],Table2[GameDate], "&lt;=" &amp; $A143, Table2[AwayTeam], X$1)+SUMIFS(Table2[NewPointsHome],Table2[GameDate], "&lt;=" &amp; $A143, Table2[HomeTeam], X$1)</f>
        <v>13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10</v>
      </c>
      <c r="AB143" s="145">
        <f>SUMIFS(Table2[NewPointsAway],Table2[GameDate], "&lt;=" &amp; $A143, Table2[AwayTeam], AB$1)+SUMIFS(Table2[NewPointsHome],Table2[GameDate], "&lt;=" &amp; $A143, Table2[HomeTeam], AB$1)</f>
        <v>11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15</v>
      </c>
      <c r="AF143" s="145">
        <f>SUMIFS(Table2[NewPointsAway],Table2[GameDate], "&lt;=" &amp; $A143, Table2[AwayTeam], AF$1)+SUMIFS(Table2[NewPointsHome],Table2[GameDate], "&lt;=" &amp; $A143, Table2[HomeTeam], AF$1)</f>
        <v>14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11</v>
      </c>
      <c r="C144" s="145">
        <f>SUMIFS(Table2[NewPointsAway],Table2[GameDate], "&lt;=" &amp; $A144, Table2[AwayTeam], C$1)+SUMIFS(Table2[NewPointsHome],Table2[GameDate], "&lt;=" &amp; $A144, Table2[HomeTeam], C$1)</f>
        <v>10</v>
      </c>
      <c r="D144" s="145">
        <f>SUMIFS(Table2[NewPointsAway],Table2[GameDate], "&lt;=" &amp; $A144, Table2[AwayTeam], D$1)+SUMIFS(Table2[NewPointsHome],Table2[GameDate], "&lt;=" &amp; $A144, Table2[HomeTeam], D$1)</f>
        <v>10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12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12</v>
      </c>
      <c r="I144" s="145">
        <f>SUMIFS(Table2[NewPointsAway],Table2[GameDate], "&lt;=" &amp; $A144, Table2[AwayTeam], I$1)+SUMIFS(Table2[NewPointsHome],Table2[GameDate], "&lt;=" &amp; $A144, Table2[HomeTeam], I$1)</f>
        <v>16</v>
      </c>
      <c r="J144" s="145">
        <f>SUMIFS(Table2[NewPointsAway],Table2[GameDate], "&lt;=" &amp; $A144, Table2[AwayTeam], J$1)+SUMIFS(Table2[NewPointsHome],Table2[GameDate], "&lt;=" &amp; $A144, Table2[HomeTeam], J$1)</f>
        <v>13</v>
      </c>
      <c r="K144" s="145">
        <f>SUMIFS(Table2[NewPointsAway],Table2[GameDate], "&lt;=" &amp; $A144, Table2[AwayTeam], K$1)+SUMIFS(Table2[NewPointsHome],Table2[GameDate], "&lt;=" &amp; $A144, Table2[HomeTeam], K$1)</f>
        <v>14</v>
      </c>
      <c r="L144" s="145">
        <f>SUMIFS(Table2[NewPointsAway],Table2[GameDate], "&lt;=" &amp; $A144, Table2[AwayTeam], L$1)+SUMIFS(Table2[NewPointsHome],Table2[GameDate], "&lt;=" &amp; $A144, Table2[HomeTeam], L$1)</f>
        <v>12</v>
      </c>
      <c r="M144" s="145">
        <f>SUMIFS(Table2[NewPointsAway],Table2[GameDate], "&lt;=" &amp; $A144, Table2[AwayTeam], M$1)+SUMIFS(Table2[NewPointsHome],Table2[GameDate], "&lt;=" &amp; $A144, Table2[HomeTeam], M$1)</f>
        <v>11</v>
      </c>
      <c r="N144" s="145">
        <f>SUMIFS(Table2[NewPointsAway],Table2[GameDate], "&lt;=" &amp; $A144, Table2[AwayTeam], N$1)+SUMIFS(Table2[NewPointsHome],Table2[GameDate], "&lt;=" &amp; $A144, Table2[HomeTeam], N$1)</f>
        <v>13</v>
      </c>
      <c r="O144" s="145">
        <f>SUMIFS(Table2[NewPointsAway],Table2[GameDate], "&lt;=" &amp; $A144, Table2[AwayTeam], O$1)+SUMIFS(Table2[NewPointsHome],Table2[GameDate], "&lt;=" &amp; $A144, Table2[HomeTeam], O$1)</f>
        <v>9</v>
      </c>
      <c r="P144" s="145">
        <f>SUMIFS(Table2[NewPointsAway],Table2[GameDate], "&lt;=" &amp; $A144, Table2[AwayTeam], P$1)+SUMIFS(Table2[NewPointsHome],Table2[GameDate], "&lt;=" &amp; $A144, Table2[HomeTeam], P$1)</f>
        <v>16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10</v>
      </c>
      <c r="U144" s="145">
        <f>SUMIFS(Table2[NewPointsAway],Table2[GameDate], "&lt;=" &amp; $A144, Table2[AwayTeam], U$1)+SUMIFS(Table2[NewPointsHome],Table2[GameDate], "&lt;=" &amp; $A144, Table2[HomeTeam], U$1)</f>
        <v>11</v>
      </c>
      <c r="V144" s="145">
        <f>SUMIFS(Table2[NewPointsAway],Table2[GameDate], "&lt;=" &amp; $A144, Table2[AwayTeam], V$1)+SUMIFS(Table2[NewPointsHome],Table2[GameDate], "&lt;=" &amp; $A144, Table2[HomeTeam], V$1)</f>
        <v>11</v>
      </c>
      <c r="W144" s="145">
        <f>SUMIFS(Table2[NewPointsAway],Table2[GameDate], "&lt;=" &amp; $A144, Table2[AwayTeam], W$1)+SUMIFS(Table2[NewPointsHome],Table2[GameDate], "&lt;=" &amp; $A144, Table2[HomeTeam], W$1)</f>
        <v>16</v>
      </c>
      <c r="X144" s="145">
        <f>SUMIFS(Table2[NewPointsAway],Table2[GameDate], "&lt;=" &amp; $A144, Table2[AwayTeam], X$1)+SUMIFS(Table2[NewPointsHome],Table2[GameDate], "&lt;=" &amp; $A144, Table2[HomeTeam], X$1)</f>
        <v>13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10</v>
      </c>
      <c r="AB144" s="145">
        <f>SUMIFS(Table2[NewPointsAway],Table2[GameDate], "&lt;=" &amp; $A144, Table2[AwayTeam], AB$1)+SUMIFS(Table2[NewPointsHome],Table2[GameDate], "&lt;=" &amp; $A144, Table2[HomeTeam], AB$1)</f>
        <v>11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15</v>
      </c>
      <c r="AF144" s="145">
        <f>SUMIFS(Table2[NewPointsAway],Table2[GameDate], "&lt;=" &amp; $A144, Table2[AwayTeam], AF$1)+SUMIFS(Table2[NewPointsHome],Table2[GameDate], "&lt;=" &amp; $A144, Table2[HomeTeam], AF$1)</f>
        <v>14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11</v>
      </c>
      <c r="C145" s="145">
        <f>SUMIFS(Table2[NewPointsAway],Table2[GameDate], "&lt;=" &amp; $A145, Table2[AwayTeam], C$1)+SUMIFS(Table2[NewPointsHome],Table2[GameDate], "&lt;=" &amp; $A145, Table2[HomeTeam], C$1)</f>
        <v>10</v>
      </c>
      <c r="D145" s="145">
        <f>SUMIFS(Table2[NewPointsAway],Table2[GameDate], "&lt;=" &amp; $A145, Table2[AwayTeam], D$1)+SUMIFS(Table2[NewPointsHome],Table2[GameDate], "&lt;=" &amp; $A145, Table2[HomeTeam], D$1)</f>
        <v>10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12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12</v>
      </c>
      <c r="I145" s="145">
        <f>SUMIFS(Table2[NewPointsAway],Table2[GameDate], "&lt;=" &amp; $A145, Table2[AwayTeam], I$1)+SUMIFS(Table2[NewPointsHome],Table2[GameDate], "&lt;=" &amp; $A145, Table2[HomeTeam], I$1)</f>
        <v>16</v>
      </c>
      <c r="J145" s="145">
        <f>SUMIFS(Table2[NewPointsAway],Table2[GameDate], "&lt;=" &amp; $A145, Table2[AwayTeam], J$1)+SUMIFS(Table2[NewPointsHome],Table2[GameDate], "&lt;=" &amp; $A145, Table2[HomeTeam], J$1)</f>
        <v>13</v>
      </c>
      <c r="K145" s="145">
        <f>SUMIFS(Table2[NewPointsAway],Table2[GameDate], "&lt;=" &amp; $A145, Table2[AwayTeam], K$1)+SUMIFS(Table2[NewPointsHome],Table2[GameDate], "&lt;=" &amp; $A145, Table2[HomeTeam], K$1)</f>
        <v>14</v>
      </c>
      <c r="L145" s="145">
        <f>SUMIFS(Table2[NewPointsAway],Table2[GameDate], "&lt;=" &amp; $A145, Table2[AwayTeam], L$1)+SUMIFS(Table2[NewPointsHome],Table2[GameDate], "&lt;=" &amp; $A145, Table2[HomeTeam], L$1)</f>
        <v>12</v>
      </c>
      <c r="M145" s="145">
        <f>SUMIFS(Table2[NewPointsAway],Table2[GameDate], "&lt;=" &amp; $A145, Table2[AwayTeam], M$1)+SUMIFS(Table2[NewPointsHome],Table2[GameDate], "&lt;=" &amp; $A145, Table2[HomeTeam], M$1)</f>
        <v>11</v>
      </c>
      <c r="N145" s="145">
        <f>SUMIFS(Table2[NewPointsAway],Table2[GameDate], "&lt;=" &amp; $A145, Table2[AwayTeam], N$1)+SUMIFS(Table2[NewPointsHome],Table2[GameDate], "&lt;=" &amp; $A145, Table2[HomeTeam], N$1)</f>
        <v>13</v>
      </c>
      <c r="O145" s="145">
        <f>SUMIFS(Table2[NewPointsAway],Table2[GameDate], "&lt;=" &amp; $A145, Table2[AwayTeam], O$1)+SUMIFS(Table2[NewPointsHome],Table2[GameDate], "&lt;=" &amp; $A145, Table2[HomeTeam], O$1)</f>
        <v>9</v>
      </c>
      <c r="P145" s="145">
        <f>SUMIFS(Table2[NewPointsAway],Table2[GameDate], "&lt;=" &amp; $A145, Table2[AwayTeam], P$1)+SUMIFS(Table2[NewPointsHome],Table2[GameDate], "&lt;=" &amp; $A145, Table2[HomeTeam], P$1)</f>
        <v>16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10</v>
      </c>
      <c r="U145" s="145">
        <f>SUMIFS(Table2[NewPointsAway],Table2[GameDate], "&lt;=" &amp; $A145, Table2[AwayTeam], U$1)+SUMIFS(Table2[NewPointsHome],Table2[GameDate], "&lt;=" &amp; $A145, Table2[HomeTeam], U$1)</f>
        <v>11</v>
      </c>
      <c r="V145" s="145">
        <f>SUMIFS(Table2[NewPointsAway],Table2[GameDate], "&lt;=" &amp; $A145, Table2[AwayTeam], V$1)+SUMIFS(Table2[NewPointsHome],Table2[GameDate], "&lt;=" &amp; $A145, Table2[HomeTeam], V$1)</f>
        <v>11</v>
      </c>
      <c r="W145" s="145">
        <f>SUMIFS(Table2[NewPointsAway],Table2[GameDate], "&lt;=" &amp; $A145, Table2[AwayTeam], W$1)+SUMIFS(Table2[NewPointsHome],Table2[GameDate], "&lt;=" &amp; $A145, Table2[HomeTeam], W$1)</f>
        <v>16</v>
      </c>
      <c r="X145" s="145">
        <f>SUMIFS(Table2[NewPointsAway],Table2[GameDate], "&lt;=" &amp; $A145, Table2[AwayTeam], X$1)+SUMIFS(Table2[NewPointsHome],Table2[GameDate], "&lt;=" &amp; $A145, Table2[HomeTeam], X$1)</f>
        <v>13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10</v>
      </c>
      <c r="AB145" s="145">
        <f>SUMIFS(Table2[NewPointsAway],Table2[GameDate], "&lt;=" &amp; $A145, Table2[AwayTeam], AB$1)+SUMIFS(Table2[NewPointsHome],Table2[GameDate], "&lt;=" &amp; $A145, Table2[HomeTeam], AB$1)</f>
        <v>11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15</v>
      </c>
      <c r="AF145" s="145">
        <f>SUMIFS(Table2[NewPointsAway],Table2[GameDate], "&lt;=" &amp; $A145, Table2[AwayTeam], AF$1)+SUMIFS(Table2[NewPointsHome],Table2[GameDate], "&lt;=" &amp; $A145, Table2[HomeTeam], AF$1)</f>
        <v>14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11</v>
      </c>
      <c r="C146" s="145">
        <f>SUMIFS(Table2[NewPointsAway],Table2[GameDate], "&lt;=" &amp; $A146, Table2[AwayTeam], C$1)+SUMIFS(Table2[NewPointsHome],Table2[GameDate], "&lt;=" &amp; $A146, Table2[HomeTeam], C$1)</f>
        <v>10</v>
      </c>
      <c r="D146" s="145">
        <f>SUMIFS(Table2[NewPointsAway],Table2[GameDate], "&lt;=" &amp; $A146, Table2[AwayTeam], D$1)+SUMIFS(Table2[NewPointsHome],Table2[GameDate], "&lt;=" &amp; $A146, Table2[HomeTeam], D$1)</f>
        <v>10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12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12</v>
      </c>
      <c r="I146" s="145">
        <f>SUMIFS(Table2[NewPointsAway],Table2[GameDate], "&lt;=" &amp; $A146, Table2[AwayTeam], I$1)+SUMIFS(Table2[NewPointsHome],Table2[GameDate], "&lt;=" &amp; $A146, Table2[HomeTeam], I$1)</f>
        <v>16</v>
      </c>
      <c r="J146" s="145">
        <f>SUMIFS(Table2[NewPointsAway],Table2[GameDate], "&lt;=" &amp; $A146, Table2[AwayTeam], J$1)+SUMIFS(Table2[NewPointsHome],Table2[GameDate], "&lt;=" &amp; $A146, Table2[HomeTeam], J$1)</f>
        <v>13</v>
      </c>
      <c r="K146" s="145">
        <f>SUMIFS(Table2[NewPointsAway],Table2[GameDate], "&lt;=" &amp; $A146, Table2[AwayTeam], K$1)+SUMIFS(Table2[NewPointsHome],Table2[GameDate], "&lt;=" &amp; $A146, Table2[HomeTeam], K$1)</f>
        <v>14</v>
      </c>
      <c r="L146" s="145">
        <f>SUMIFS(Table2[NewPointsAway],Table2[GameDate], "&lt;=" &amp; $A146, Table2[AwayTeam], L$1)+SUMIFS(Table2[NewPointsHome],Table2[GameDate], "&lt;=" &amp; $A146, Table2[HomeTeam], L$1)</f>
        <v>12</v>
      </c>
      <c r="M146" s="145">
        <f>SUMIFS(Table2[NewPointsAway],Table2[GameDate], "&lt;=" &amp; $A146, Table2[AwayTeam], M$1)+SUMIFS(Table2[NewPointsHome],Table2[GameDate], "&lt;=" &amp; $A146, Table2[HomeTeam], M$1)</f>
        <v>11</v>
      </c>
      <c r="N146" s="145">
        <f>SUMIFS(Table2[NewPointsAway],Table2[GameDate], "&lt;=" &amp; $A146, Table2[AwayTeam], N$1)+SUMIFS(Table2[NewPointsHome],Table2[GameDate], "&lt;=" &amp; $A146, Table2[HomeTeam], N$1)</f>
        <v>13</v>
      </c>
      <c r="O146" s="145">
        <f>SUMIFS(Table2[NewPointsAway],Table2[GameDate], "&lt;=" &amp; $A146, Table2[AwayTeam], O$1)+SUMIFS(Table2[NewPointsHome],Table2[GameDate], "&lt;=" &amp; $A146, Table2[HomeTeam], O$1)</f>
        <v>9</v>
      </c>
      <c r="P146" s="145">
        <f>SUMIFS(Table2[NewPointsAway],Table2[GameDate], "&lt;=" &amp; $A146, Table2[AwayTeam], P$1)+SUMIFS(Table2[NewPointsHome],Table2[GameDate], "&lt;=" &amp; $A146, Table2[HomeTeam], P$1)</f>
        <v>16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10</v>
      </c>
      <c r="U146" s="145">
        <f>SUMIFS(Table2[NewPointsAway],Table2[GameDate], "&lt;=" &amp; $A146, Table2[AwayTeam], U$1)+SUMIFS(Table2[NewPointsHome],Table2[GameDate], "&lt;=" &amp; $A146, Table2[HomeTeam], U$1)</f>
        <v>11</v>
      </c>
      <c r="V146" s="145">
        <f>SUMIFS(Table2[NewPointsAway],Table2[GameDate], "&lt;=" &amp; $A146, Table2[AwayTeam], V$1)+SUMIFS(Table2[NewPointsHome],Table2[GameDate], "&lt;=" &amp; $A146, Table2[HomeTeam], V$1)</f>
        <v>11</v>
      </c>
      <c r="W146" s="145">
        <f>SUMIFS(Table2[NewPointsAway],Table2[GameDate], "&lt;=" &amp; $A146, Table2[AwayTeam], W$1)+SUMIFS(Table2[NewPointsHome],Table2[GameDate], "&lt;=" &amp; $A146, Table2[HomeTeam], W$1)</f>
        <v>16</v>
      </c>
      <c r="X146" s="145">
        <f>SUMIFS(Table2[NewPointsAway],Table2[GameDate], "&lt;=" &amp; $A146, Table2[AwayTeam], X$1)+SUMIFS(Table2[NewPointsHome],Table2[GameDate], "&lt;=" &amp; $A146, Table2[HomeTeam], X$1)</f>
        <v>13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10</v>
      </c>
      <c r="AB146" s="145">
        <f>SUMIFS(Table2[NewPointsAway],Table2[GameDate], "&lt;=" &amp; $A146, Table2[AwayTeam], AB$1)+SUMIFS(Table2[NewPointsHome],Table2[GameDate], "&lt;=" &amp; $A146, Table2[HomeTeam], AB$1)</f>
        <v>11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15</v>
      </c>
      <c r="AF146" s="145">
        <f>SUMIFS(Table2[NewPointsAway],Table2[GameDate], "&lt;=" &amp; $A146, Table2[AwayTeam], AF$1)+SUMIFS(Table2[NewPointsHome],Table2[GameDate], "&lt;=" &amp; $A146, Table2[HomeTeam], AF$1)</f>
        <v>14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11</v>
      </c>
      <c r="C147" s="145">
        <f>SUMIFS(Table2[NewPointsAway],Table2[GameDate], "&lt;=" &amp; $A147, Table2[AwayTeam], C$1)+SUMIFS(Table2[NewPointsHome],Table2[GameDate], "&lt;=" &amp; $A147, Table2[HomeTeam], C$1)</f>
        <v>10</v>
      </c>
      <c r="D147" s="145">
        <f>SUMIFS(Table2[NewPointsAway],Table2[GameDate], "&lt;=" &amp; $A147, Table2[AwayTeam], D$1)+SUMIFS(Table2[NewPointsHome],Table2[GameDate], "&lt;=" &amp; $A147, Table2[HomeTeam], D$1)</f>
        <v>10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12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12</v>
      </c>
      <c r="I147" s="145">
        <f>SUMIFS(Table2[NewPointsAway],Table2[GameDate], "&lt;=" &amp; $A147, Table2[AwayTeam], I$1)+SUMIFS(Table2[NewPointsHome],Table2[GameDate], "&lt;=" &amp; $A147, Table2[HomeTeam], I$1)</f>
        <v>16</v>
      </c>
      <c r="J147" s="145">
        <f>SUMIFS(Table2[NewPointsAway],Table2[GameDate], "&lt;=" &amp; $A147, Table2[AwayTeam], J$1)+SUMIFS(Table2[NewPointsHome],Table2[GameDate], "&lt;=" &amp; $A147, Table2[HomeTeam], J$1)</f>
        <v>13</v>
      </c>
      <c r="K147" s="145">
        <f>SUMIFS(Table2[NewPointsAway],Table2[GameDate], "&lt;=" &amp; $A147, Table2[AwayTeam], K$1)+SUMIFS(Table2[NewPointsHome],Table2[GameDate], "&lt;=" &amp; $A147, Table2[HomeTeam], K$1)</f>
        <v>14</v>
      </c>
      <c r="L147" s="145">
        <f>SUMIFS(Table2[NewPointsAway],Table2[GameDate], "&lt;=" &amp; $A147, Table2[AwayTeam], L$1)+SUMIFS(Table2[NewPointsHome],Table2[GameDate], "&lt;=" &amp; $A147, Table2[HomeTeam], L$1)</f>
        <v>12</v>
      </c>
      <c r="M147" s="145">
        <f>SUMIFS(Table2[NewPointsAway],Table2[GameDate], "&lt;=" &amp; $A147, Table2[AwayTeam], M$1)+SUMIFS(Table2[NewPointsHome],Table2[GameDate], "&lt;=" &amp; $A147, Table2[HomeTeam], M$1)</f>
        <v>11</v>
      </c>
      <c r="N147" s="145">
        <f>SUMIFS(Table2[NewPointsAway],Table2[GameDate], "&lt;=" &amp; $A147, Table2[AwayTeam], N$1)+SUMIFS(Table2[NewPointsHome],Table2[GameDate], "&lt;=" &amp; $A147, Table2[HomeTeam], N$1)</f>
        <v>13</v>
      </c>
      <c r="O147" s="145">
        <f>SUMIFS(Table2[NewPointsAway],Table2[GameDate], "&lt;=" &amp; $A147, Table2[AwayTeam], O$1)+SUMIFS(Table2[NewPointsHome],Table2[GameDate], "&lt;=" &amp; $A147, Table2[HomeTeam], O$1)</f>
        <v>9</v>
      </c>
      <c r="P147" s="145">
        <f>SUMIFS(Table2[NewPointsAway],Table2[GameDate], "&lt;=" &amp; $A147, Table2[AwayTeam], P$1)+SUMIFS(Table2[NewPointsHome],Table2[GameDate], "&lt;=" &amp; $A147, Table2[HomeTeam], P$1)</f>
        <v>16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10</v>
      </c>
      <c r="U147" s="145">
        <f>SUMIFS(Table2[NewPointsAway],Table2[GameDate], "&lt;=" &amp; $A147, Table2[AwayTeam], U$1)+SUMIFS(Table2[NewPointsHome],Table2[GameDate], "&lt;=" &amp; $A147, Table2[HomeTeam], U$1)</f>
        <v>11</v>
      </c>
      <c r="V147" s="145">
        <f>SUMIFS(Table2[NewPointsAway],Table2[GameDate], "&lt;=" &amp; $A147, Table2[AwayTeam], V$1)+SUMIFS(Table2[NewPointsHome],Table2[GameDate], "&lt;=" &amp; $A147, Table2[HomeTeam], V$1)</f>
        <v>11</v>
      </c>
      <c r="W147" s="145">
        <f>SUMIFS(Table2[NewPointsAway],Table2[GameDate], "&lt;=" &amp; $A147, Table2[AwayTeam], W$1)+SUMIFS(Table2[NewPointsHome],Table2[GameDate], "&lt;=" &amp; $A147, Table2[HomeTeam], W$1)</f>
        <v>16</v>
      </c>
      <c r="X147" s="145">
        <f>SUMIFS(Table2[NewPointsAway],Table2[GameDate], "&lt;=" &amp; $A147, Table2[AwayTeam], X$1)+SUMIFS(Table2[NewPointsHome],Table2[GameDate], "&lt;=" &amp; $A147, Table2[HomeTeam], X$1)</f>
        <v>13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10</v>
      </c>
      <c r="AB147" s="145">
        <f>SUMIFS(Table2[NewPointsAway],Table2[GameDate], "&lt;=" &amp; $A147, Table2[AwayTeam], AB$1)+SUMIFS(Table2[NewPointsHome],Table2[GameDate], "&lt;=" &amp; $A147, Table2[HomeTeam], AB$1)</f>
        <v>11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15</v>
      </c>
      <c r="AF147" s="145">
        <f>SUMIFS(Table2[NewPointsAway],Table2[GameDate], "&lt;=" &amp; $A147, Table2[AwayTeam], AF$1)+SUMIFS(Table2[NewPointsHome],Table2[GameDate], "&lt;=" &amp; $A147, Table2[HomeTeam], AF$1)</f>
        <v>14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11</v>
      </c>
      <c r="C148" s="145">
        <f>SUMIFS(Table2[NewPointsAway],Table2[GameDate], "&lt;=" &amp; $A148, Table2[AwayTeam], C$1)+SUMIFS(Table2[NewPointsHome],Table2[GameDate], "&lt;=" &amp; $A148, Table2[HomeTeam], C$1)</f>
        <v>10</v>
      </c>
      <c r="D148" s="145">
        <f>SUMIFS(Table2[NewPointsAway],Table2[GameDate], "&lt;=" &amp; $A148, Table2[AwayTeam], D$1)+SUMIFS(Table2[NewPointsHome],Table2[GameDate], "&lt;=" &amp; $A148, Table2[HomeTeam], D$1)</f>
        <v>10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12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12</v>
      </c>
      <c r="I148" s="145">
        <f>SUMIFS(Table2[NewPointsAway],Table2[GameDate], "&lt;=" &amp; $A148, Table2[AwayTeam], I$1)+SUMIFS(Table2[NewPointsHome],Table2[GameDate], "&lt;=" &amp; $A148, Table2[HomeTeam], I$1)</f>
        <v>16</v>
      </c>
      <c r="J148" s="145">
        <f>SUMIFS(Table2[NewPointsAway],Table2[GameDate], "&lt;=" &amp; $A148, Table2[AwayTeam], J$1)+SUMIFS(Table2[NewPointsHome],Table2[GameDate], "&lt;=" &amp; $A148, Table2[HomeTeam], J$1)</f>
        <v>13</v>
      </c>
      <c r="K148" s="145">
        <f>SUMIFS(Table2[NewPointsAway],Table2[GameDate], "&lt;=" &amp; $A148, Table2[AwayTeam], K$1)+SUMIFS(Table2[NewPointsHome],Table2[GameDate], "&lt;=" &amp; $A148, Table2[HomeTeam], K$1)</f>
        <v>14</v>
      </c>
      <c r="L148" s="145">
        <f>SUMIFS(Table2[NewPointsAway],Table2[GameDate], "&lt;=" &amp; $A148, Table2[AwayTeam], L$1)+SUMIFS(Table2[NewPointsHome],Table2[GameDate], "&lt;=" &amp; $A148, Table2[HomeTeam], L$1)</f>
        <v>12</v>
      </c>
      <c r="M148" s="145">
        <f>SUMIFS(Table2[NewPointsAway],Table2[GameDate], "&lt;=" &amp; $A148, Table2[AwayTeam], M$1)+SUMIFS(Table2[NewPointsHome],Table2[GameDate], "&lt;=" &amp; $A148, Table2[HomeTeam], M$1)</f>
        <v>11</v>
      </c>
      <c r="N148" s="145">
        <f>SUMIFS(Table2[NewPointsAway],Table2[GameDate], "&lt;=" &amp; $A148, Table2[AwayTeam], N$1)+SUMIFS(Table2[NewPointsHome],Table2[GameDate], "&lt;=" &amp; $A148, Table2[HomeTeam], N$1)</f>
        <v>13</v>
      </c>
      <c r="O148" s="145">
        <f>SUMIFS(Table2[NewPointsAway],Table2[GameDate], "&lt;=" &amp; $A148, Table2[AwayTeam], O$1)+SUMIFS(Table2[NewPointsHome],Table2[GameDate], "&lt;=" &amp; $A148, Table2[HomeTeam], O$1)</f>
        <v>9</v>
      </c>
      <c r="P148" s="145">
        <f>SUMIFS(Table2[NewPointsAway],Table2[GameDate], "&lt;=" &amp; $A148, Table2[AwayTeam], P$1)+SUMIFS(Table2[NewPointsHome],Table2[GameDate], "&lt;=" &amp; $A148, Table2[HomeTeam], P$1)</f>
        <v>16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10</v>
      </c>
      <c r="U148" s="145">
        <f>SUMIFS(Table2[NewPointsAway],Table2[GameDate], "&lt;=" &amp; $A148, Table2[AwayTeam], U$1)+SUMIFS(Table2[NewPointsHome],Table2[GameDate], "&lt;=" &amp; $A148, Table2[HomeTeam], U$1)</f>
        <v>11</v>
      </c>
      <c r="V148" s="145">
        <f>SUMIFS(Table2[NewPointsAway],Table2[GameDate], "&lt;=" &amp; $A148, Table2[AwayTeam], V$1)+SUMIFS(Table2[NewPointsHome],Table2[GameDate], "&lt;=" &amp; $A148, Table2[HomeTeam], V$1)</f>
        <v>11</v>
      </c>
      <c r="W148" s="145">
        <f>SUMIFS(Table2[NewPointsAway],Table2[GameDate], "&lt;=" &amp; $A148, Table2[AwayTeam], W$1)+SUMIFS(Table2[NewPointsHome],Table2[GameDate], "&lt;=" &amp; $A148, Table2[HomeTeam], W$1)</f>
        <v>16</v>
      </c>
      <c r="X148" s="145">
        <f>SUMIFS(Table2[NewPointsAway],Table2[GameDate], "&lt;=" &amp; $A148, Table2[AwayTeam], X$1)+SUMIFS(Table2[NewPointsHome],Table2[GameDate], "&lt;=" &amp; $A148, Table2[HomeTeam], X$1)</f>
        <v>13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10</v>
      </c>
      <c r="AB148" s="145">
        <f>SUMIFS(Table2[NewPointsAway],Table2[GameDate], "&lt;=" &amp; $A148, Table2[AwayTeam], AB$1)+SUMIFS(Table2[NewPointsHome],Table2[GameDate], "&lt;=" &amp; $A148, Table2[HomeTeam], AB$1)</f>
        <v>11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15</v>
      </c>
      <c r="AF148" s="145">
        <f>SUMIFS(Table2[NewPointsAway],Table2[GameDate], "&lt;=" &amp; $A148, Table2[AwayTeam], AF$1)+SUMIFS(Table2[NewPointsHome],Table2[GameDate], "&lt;=" &amp; $A148, Table2[HomeTeam], AF$1)</f>
        <v>14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11</v>
      </c>
      <c r="C149" s="145">
        <f>SUMIFS(Table2[NewPointsAway],Table2[GameDate], "&lt;=" &amp; $A149, Table2[AwayTeam], C$1)+SUMIFS(Table2[NewPointsHome],Table2[GameDate], "&lt;=" &amp; $A149, Table2[HomeTeam], C$1)</f>
        <v>10</v>
      </c>
      <c r="D149" s="145">
        <f>SUMIFS(Table2[NewPointsAway],Table2[GameDate], "&lt;=" &amp; $A149, Table2[AwayTeam], D$1)+SUMIFS(Table2[NewPointsHome],Table2[GameDate], "&lt;=" &amp; $A149, Table2[HomeTeam], D$1)</f>
        <v>10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12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12</v>
      </c>
      <c r="I149" s="145">
        <f>SUMIFS(Table2[NewPointsAway],Table2[GameDate], "&lt;=" &amp; $A149, Table2[AwayTeam], I$1)+SUMIFS(Table2[NewPointsHome],Table2[GameDate], "&lt;=" &amp; $A149, Table2[HomeTeam], I$1)</f>
        <v>16</v>
      </c>
      <c r="J149" s="145">
        <f>SUMIFS(Table2[NewPointsAway],Table2[GameDate], "&lt;=" &amp; $A149, Table2[AwayTeam], J$1)+SUMIFS(Table2[NewPointsHome],Table2[GameDate], "&lt;=" &amp; $A149, Table2[HomeTeam], J$1)</f>
        <v>13</v>
      </c>
      <c r="K149" s="145">
        <f>SUMIFS(Table2[NewPointsAway],Table2[GameDate], "&lt;=" &amp; $A149, Table2[AwayTeam], K$1)+SUMIFS(Table2[NewPointsHome],Table2[GameDate], "&lt;=" &amp; $A149, Table2[HomeTeam], K$1)</f>
        <v>14</v>
      </c>
      <c r="L149" s="145">
        <f>SUMIFS(Table2[NewPointsAway],Table2[GameDate], "&lt;=" &amp; $A149, Table2[AwayTeam], L$1)+SUMIFS(Table2[NewPointsHome],Table2[GameDate], "&lt;=" &amp; $A149, Table2[HomeTeam], L$1)</f>
        <v>12</v>
      </c>
      <c r="M149" s="145">
        <f>SUMIFS(Table2[NewPointsAway],Table2[GameDate], "&lt;=" &amp; $A149, Table2[AwayTeam], M$1)+SUMIFS(Table2[NewPointsHome],Table2[GameDate], "&lt;=" &amp; $A149, Table2[HomeTeam], M$1)</f>
        <v>11</v>
      </c>
      <c r="N149" s="145">
        <f>SUMIFS(Table2[NewPointsAway],Table2[GameDate], "&lt;=" &amp; $A149, Table2[AwayTeam], N$1)+SUMIFS(Table2[NewPointsHome],Table2[GameDate], "&lt;=" &amp; $A149, Table2[HomeTeam], N$1)</f>
        <v>13</v>
      </c>
      <c r="O149" s="145">
        <f>SUMIFS(Table2[NewPointsAway],Table2[GameDate], "&lt;=" &amp; $A149, Table2[AwayTeam], O$1)+SUMIFS(Table2[NewPointsHome],Table2[GameDate], "&lt;=" &amp; $A149, Table2[HomeTeam], O$1)</f>
        <v>9</v>
      </c>
      <c r="P149" s="145">
        <f>SUMIFS(Table2[NewPointsAway],Table2[GameDate], "&lt;=" &amp; $A149, Table2[AwayTeam], P$1)+SUMIFS(Table2[NewPointsHome],Table2[GameDate], "&lt;=" &amp; $A149, Table2[HomeTeam], P$1)</f>
        <v>16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10</v>
      </c>
      <c r="U149" s="145">
        <f>SUMIFS(Table2[NewPointsAway],Table2[GameDate], "&lt;=" &amp; $A149, Table2[AwayTeam], U$1)+SUMIFS(Table2[NewPointsHome],Table2[GameDate], "&lt;=" &amp; $A149, Table2[HomeTeam], U$1)</f>
        <v>11</v>
      </c>
      <c r="V149" s="145">
        <f>SUMIFS(Table2[NewPointsAway],Table2[GameDate], "&lt;=" &amp; $A149, Table2[AwayTeam], V$1)+SUMIFS(Table2[NewPointsHome],Table2[GameDate], "&lt;=" &amp; $A149, Table2[HomeTeam], V$1)</f>
        <v>11</v>
      </c>
      <c r="W149" s="145">
        <f>SUMIFS(Table2[NewPointsAway],Table2[GameDate], "&lt;=" &amp; $A149, Table2[AwayTeam], W$1)+SUMIFS(Table2[NewPointsHome],Table2[GameDate], "&lt;=" &amp; $A149, Table2[HomeTeam], W$1)</f>
        <v>16</v>
      </c>
      <c r="X149" s="145">
        <f>SUMIFS(Table2[NewPointsAway],Table2[GameDate], "&lt;=" &amp; $A149, Table2[AwayTeam], X$1)+SUMIFS(Table2[NewPointsHome],Table2[GameDate], "&lt;=" &amp; $A149, Table2[HomeTeam], X$1)</f>
        <v>13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10</v>
      </c>
      <c r="AB149" s="145">
        <f>SUMIFS(Table2[NewPointsAway],Table2[GameDate], "&lt;=" &amp; $A149, Table2[AwayTeam], AB$1)+SUMIFS(Table2[NewPointsHome],Table2[GameDate], "&lt;=" &amp; $A149, Table2[HomeTeam], AB$1)</f>
        <v>11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15</v>
      </c>
      <c r="AF149" s="145">
        <f>SUMIFS(Table2[NewPointsAway],Table2[GameDate], "&lt;=" &amp; $A149, Table2[AwayTeam], AF$1)+SUMIFS(Table2[NewPointsHome],Table2[GameDate], "&lt;=" &amp; $A149, Table2[HomeTeam], AF$1)</f>
        <v>14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11</v>
      </c>
      <c r="C150" s="145">
        <f>SUMIFS(Table2[NewPointsAway],Table2[GameDate], "&lt;=" &amp; $A150, Table2[AwayTeam], C$1)+SUMIFS(Table2[NewPointsHome],Table2[GameDate], "&lt;=" &amp; $A150, Table2[HomeTeam], C$1)</f>
        <v>10</v>
      </c>
      <c r="D150" s="145">
        <f>SUMIFS(Table2[NewPointsAway],Table2[GameDate], "&lt;=" &amp; $A150, Table2[AwayTeam], D$1)+SUMIFS(Table2[NewPointsHome],Table2[GameDate], "&lt;=" &amp; $A150, Table2[HomeTeam], D$1)</f>
        <v>10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12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12</v>
      </c>
      <c r="I150" s="145">
        <f>SUMIFS(Table2[NewPointsAway],Table2[GameDate], "&lt;=" &amp; $A150, Table2[AwayTeam], I$1)+SUMIFS(Table2[NewPointsHome],Table2[GameDate], "&lt;=" &amp; $A150, Table2[HomeTeam], I$1)</f>
        <v>16</v>
      </c>
      <c r="J150" s="145">
        <f>SUMIFS(Table2[NewPointsAway],Table2[GameDate], "&lt;=" &amp; $A150, Table2[AwayTeam], J$1)+SUMIFS(Table2[NewPointsHome],Table2[GameDate], "&lt;=" &amp; $A150, Table2[HomeTeam], J$1)</f>
        <v>13</v>
      </c>
      <c r="K150" s="145">
        <f>SUMIFS(Table2[NewPointsAway],Table2[GameDate], "&lt;=" &amp; $A150, Table2[AwayTeam], K$1)+SUMIFS(Table2[NewPointsHome],Table2[GameDate], "&lt;=" &amp; $A150, Table2[HomeTeam], K$1)</f>
        <v>14</v>
      </c>
      <c r="L150" s="145">
        <f>SUMIFS(Table2[NewPointsAway],Table2[GameDate], "&lt;=" &amp; $A150, Table2[AwayTeam], L$1)+SUMIFS(Table2[NewPointsHome],Table2[GameDate], "&lt;=" &amp; $A150, Table2[HomeTeam], L$1)</f>
        <v>12</v>
      </c>
      <c r="M150" s="145">
        <f>SUMIFS(Table2[NewPointsAway],Table2[GameDate], "&lt;=" &amp; $A150, Table2[AwayTeam], M$1)+SUMIFS(Table2[NewPointsHome],Table2[GameDate], "&lt;=" &amp; $A150, Table2[HomeTeam], M$1)</f>
        <v>11</v>
      </c>
      <c r="N150" s="145">
        <f>SUMIFS(Table2[NewPointsAway],Table2[GameDate], "&lt;=" &amp; $A150, Table2[AwayTeam], N$1)+SUMIFS(Table2[NewPointsHome],Table2[GameDate], "&lt;=" &amp; $A150, Table2[HomeTeam], N$1)</f>
        <v>13</v>
      </c>
      <c r="O150" s="145">
        <f>SUMIFS(Table2[NewPointsAway],Table2[GameDate], "&lt;=" &amp; $A150, Table2[AwayTeam], O$1)+SUMIFS(Table2[NewPointsHome],Table2[GameDate], "&lt;=" &amp; $A150, Table2[HomeTeam], O$1)</f>
        <v>9</v>
      </c>
      <c r="P150" s="145">
        <f>SUMIFS(Table2[NewPointsAway],Table2[GameDate], "&lt;=" &amp; $A150, Table2[AwayTeam], P$1)+SUMIFS(Table2[NewPointsHome],Table2[GameDate], "&lt;=" &amp; $A150, Table2[HomeTeam], P$1)</f>
        <v>16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10</v>
      </c>
      <c r="U150" s="145">
        <f>SUMIFS(Table2[NewPointsAway],Table2[GameDate], "&lt;=" &amp; $A150, Table2[AwayTeam], U$1)+SUMIFS(Table2[NewPointsHome],Table2[GameDate], "&lt;=" &amp; $A150, Table2[HomeTeam], U$1)</f>
        <v>11</v>
      </c>
      <c r="V150" s="145">
        <f>SUMIFS(Table2[NewPointsAway],Table2[GameDate], "&lt;=" &amp; $A150, Table2[AwayTeam], V$1)+SUMIFS(Table2[NewPointsHome],Table2[GameDate], "&lt;=" &amp; $A150, Table2[HomeTeam], V$1)</f>
        <v>11</v>
      </c>
      <c r="W150" s="145">
        <f>SUMIFS(Table2[NewPointsAway],Table2[GameDate], "&lt;=" &amp; $A150, Table2[AwayTeam], W$1)+SUMIFS(Table2[NewPointsHome],Table2[GameDate], "&lt;=" &amp; $A150, Table2[HomeTeam], W$1)</f>
        <v>16</v>
      </c>
      <c r="X150" s="145">
        <f>SUMIFS(Table2[NewPointsAway],Table2[GameDate], "&lt;=" &amp; $A150, Table2[AwayTeam], X$1)+SUMIFS(Table2[NewPointsHome],Table2[GameDate], "&lt;=" &amp; $A150, Table2[HomeTeam], X$1)</f>
        <v>13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10</v>
      </c>
      <c r="AB150" s="145">
        <f>SUMIFS(Table2[NewPointsAway],Table2[GameDate], "&lt;=" &amp; $A150, Table2[AwayTeam], AB$1)+SUMIFS(Table2[NewPointsHome],Table2[GameDate], "&lt;=" &amp; $A150, Table2[HomeTeam], AB$1)</f>
        <v>11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15</v>
      </c>
      <c r="AF150" s="145">
        <f>SUMIFS(Table2[NewPointsAway],Table2[GameDate], "&lt;=" &amp; $A150, Table2[AwayTeam], AF$1)+SUMIFS(Table2[NewPointsHome],Table2[GameDate], "&lt;=" &amp; $A150, Table2[HomeTeam], AF$1)</f>
        <v>14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11</v>
      </c>
      <c r="C151" s="145">
        <f>SUMIFS(Table2[NewPointsAway],Table2[GameDate], "&lt;=" &amp; $A151, Table2[AwayTeam], C$1)+SUMIFS(Table2[NewPointsHome],Table2[GameDate], "&lt;=" &amp; $A151, Table2[HomeTeam], C$1)</f>
        <v>10</v>
      </c>
      <c r="D151" s="145">
        <f>SUMIFS(Table2[NewPointsAway],Table2[GameDate], "&lt;=" &amp; $A151, Table2[AwayTeam], D$1)+SUMIFS(Table2[NewPointsHome],Table2[GameDate], "&lt;=" &amp; $A151, Table2[HomeTeam], D$1)</f>
        <v>10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12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12</v>
      </c>
      <c r="I151" s="145">
        <f>SUMIFS(Table2[NewPointsAway],Table2[GameDate], "&lt;=" &amp; $A151, Table2[AwayTeam], I$1)+SUMIFS(Table2[NewPointsHome],Table2[GameDate], "&lt;=" &amp; $A151, Table2[HomeTeam], I$1)</f>
        <v>16</v>
      </c>
      <c r="J151" s="145">
        <f>SUMIFS(Table2[NewPointsAway],Table2[GameDate], "&lt;=" &amp; $A151, Table2[AwayTeam], J$1)+SUMIFS(Table2[NewPointsHome],Table2[GameDate], "&lt;=" &amp; $A151, Table2[HomeTeam], J$1)</f>
        <v>13</v>
      </c>
      <c r="K151" s="145">
        <f>SUMIFS(Table2[NewPointsAway],Table2[GameDate], "&lt;=" &amp; $A151, Table2[AwayTeam], K$1)+SUMIFS(Table2[NewPointsHome],Table2[GameDate], "&lt;=" &amp; $A151, Table2[HomeTeam], K$1)</f>
        <v>14</v>
      </c>
      <c r="L151" s="145">
        <f>SUMIFS(Table2[NewPointsAway],Table2[GameDate], "&lt;=" &amp; $A151, Table2[AwayTeam], L$1)+SUMIFS(Table2[NewPointsHome],Table2[GameDate], "&lt;=" &amp; $A151, Table2[HomeTeam], L$1)</f>
        <v>12</v>
      </c>
      <c r="M151" s="145">
        <f>SUMIFS(Table2[NewPointsAway],Table2[GameDate], "&lt;=" &amp; $A151, Table2[AwayTeam], M$1)+SUMIFS(Table2[NewPointsHome],Table2[GameDate], "&lt;=" &amp; $A151, Table2[HomeTeam], M$1)</f>
        <v>11</v>
      </c>
      <c r="N151" s="145">
        <f>SUMIFS(Table2[NewPointsAway],Table2[GameDate], "&lt;=" &amp; $A151, Table2[AwayTeam], N$1)+SUMIFS(Table2[NewPointsHome],Table2[GameDate], "&lt;=" &amp; $A151, Table2[HomeTeam], N$1)</f>
        <v>13</v>
      </c>
      <c r="O151" s="145">
        <f>SUMIFS(Table2[NewPointsAway],Table2[GameDate], "&lt;=" &amp; $A151, Table2[AwayTeam], O$1)+SUMIFS(Table2[NewPointsHome],Table2[GameDate], "&lt;=" &amp; $A151, Table2[HomeTeam], O$1)</f>
        <v>9</v>
      </c>
      <c r="P151" s="145">
        <f>SUMIFS(Table2[NewPointsAway],Table2[GameDate], "&lt;=" &amp; $A151, Table2[AwayTeam], P$1)+SUMIFS(Table2[NewPointsHome],Table2[GameDate], "&lt;=" &amp; $A151, Table2[HomeTeam], P$1)</f>
        <v>16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10</v>
      </c>
      <c r="U151" s="145">
        <f>SUMIFS(Table2[NewPointsAway],Table2[GameDate], "&lt;=" &amp; $A151, Table2[AwayTeam], U$1)+SUMIFS(Table2[NewPointsHome],Table2[GameDate], "&lt;=" &amp; $A151, Table2[HomeTeam], U$1)</f>
        <v>11</v>
      </c>
      <c r="V151" s="145">
        <f>SUMIFS(Table2[NewPointsAway],Table2[GameDate], "&lt;=" &amp; $A151, Table2[AwayTeam], V$1)+SUMIFS(Table2[NewPointsHome],Table2[GameDate], "&lt;=" &amp; $A151, Table2[HomeTeam], V$1)</f>
        <v>11</v>
      </c>
      <c r="W151" s="145">
        <f>SUMIFS(Table2[NewPointsAway],Table2[GameDate], "&lt;=" &amp; $A151, Table2[AwayTeam], W$1)+SUMIFS(Table2[NewPointsHome],Table2[GameDate], "&lt;=" &amp; $A151, Table2[HomeTeam], W$1)</f>
        <v>16</v>
      </c>
      <c r="X151" s="145">
        <f>SUMIFS(Table2[NewPointsAway],Table2[GameDate], "&lt;=" &amp; $A151, Table2[AwayTeam], X$1)+SUMIFS(Table2[NewPointsHome],Table2[GameDate], "&lt;=" &amp; $A151, Table2[HomeTeam], X$1)</f>
        <v>13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10</v>
      </c>
      <c r="AB151" s="145">
        <f>SUMIFS(Table2[NewPointsAway],Table2[GameDate], "&lt;=" &amp; $A151, Table2[AwayTeam], AB$1)+SUMIFS(Table2[NewPointsHome],Table2[GameDate], "&lt;=" &amp; $A151, Table2[HomeTeam], AB$1)</f>
        <v>11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15</v>
      </c>
      <c r="AF151" s="145">
        <f>SUMIFS(Table2[NewPointsAway],Table2[GameDate], "&lt;=" &amp; $A151, Table2[AwayTeam], AF$1)+SUMIFS(Table2[NewPointsHome],Table2[GameDate], "&lt;=" &amp; $A151, Table2[HomeTeam], AF$1)</f>
        <v>14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11</v>
      </c>
      <c r="C152" s="145">
        <f>SUMIFS(Table2[NewPointsAway],Table2[GameDate], "&lt;=" &amp; $A152, Table2[AwayTeam], C$1)+SUMIFS(Table2[NewPointsHome],Table2[GameDate], "&lt;=" &amp; $A152, Table2[HomeTeam], C$1)</f>
        <v>10</v>
      </c>
      <c r="D152" s="145">
        <f>SUMIFS(Table2[NewPointsAway],Table2[GameDate], "&lt;=" &amp; $A152, Table2[AwayTeam], D$1)+SUMIFS(Table2[NewPointsHome],Table2[GameDate], "&lt;=" &amp; $A152, Table2[HomeTeam], D$1)</f>
        <v>10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12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12</v>
      </c>
      <c r="I152" s="145">
        <f>SUMIFS(Table2[NewPointsAway],Table2[GameDate], "&lt;=" &amp; $A152, Table2[AwayTeam], I$1)+SUMIFS(Table2[NewPointsHome],Table2[GameDate], "&lt;=" &amp; $A152, Table2[HomeTeam], I$1)</f>
        <v>16</v>
      </c>
      <c r="J152" s="145">
        <f>SUMIFS(Table2[NewPointsAway],Table2[GameDate], "&lt;=" &amp; $A152, Table2[AwayTeam], J$1)+SUMIFS(Table2[NewPointsHome],Table2[GameDate], "&lt;=" &amp; $A152, Table2[HomeTeam], J$1)</f>
        <v>13</v>
      </c>
      <c r="K152" s="145">
        <f>SUMIFS(Table2[NewPointsAway],Table2[GameDate], "&lt;=" &amp; $A152, Table2[AwayTeam], K$1)+SUMIFS(Table2[NewPointsHome],Table2[GameDate], "&lt;=" &amp; $A152, Table2[HomeTeam], K$1)</f>
        <v>14</v>
      </c>
      <c r="L152" s="145">
        <f>SUMIFS(Table2[NewPointsAway],Table2[GameDate], "&lt;=" &amp; $A152, Table2[AwayTeam], L$1)+SUMIFS(Table2[NewPointsHome],Table2[GameDate], "&lt;=" &amp; $A152, Table2[HomeTeam], L$1)</f>
        <v>12</v>
      </c>
      <c r="M152" s="145">
        <f>SUMIFS(Table2[NewPointsAway],Table2[GameDate], "&lt;=" &amp; $A152, Table2[AwayTeam], M$1)+SUMIFS(Table2[NewPointsHome],Table2[GameDate], "&lt;=" &amp; $A152, Table2[HomeTeam], M$1)</f>
        <v>11</v>
      </c>
      <c r="N152" s="145">
        <f>SUMIFS(Table2[NewPointsAway],Table2[GameDate], "&lt;=" &amp; $A152, Table2[AwayTeam], N$1)+SUMIFS(Table2[NewPointsHome],Table2[GameDate], "&lt;=" &amp; $A152, Table2[HomeTeam], N$1)</f>
        <v>13</v>
      </c>
      <c r="O152" s="145">
        <f>SUMIFS(Table2[NewPointsAway],Table2[GameDate], "&lt;=" &amp; $A152, Table2[AwayTeam], O$1)+SUMIFS(Table2[NewPointsHome],Table2[GameDate], "&lt;=" &amp; $A152, Table2[HomeTeam], O$1)</f>
        <v>9</v>
      </c>
      <c r="P152" s="145">
        <f>SUMIFS(Table2[NewPointsAway],Table2[GameDate], "&lt;=" &amp; $A152, Table2[AwayTeam], P$1)+SUMIFS(Table2[NewPointsHome],Table2[GameDate], "&lt;=" &amp; $A152, Table2[HomeTeam], P$1)</f>
        <v>16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10</v>
      </c>
      <c r="U152" s="145">
        <f>SUMIFS(Table2[NewPointsAway],Table2[GameDate], "&lt;=" &amp; $A152, Table2[AwayTeam], U$1)+SUMIFS(Table2[NewPointsHome],Table2[GameDate], "&lt;=" &amp; $A152, Table2[HomeTeam], U$1)</f>
        <v>11</v>
      </c>
      <c r="V152" s="145">
        <f>SUMIFS(Table2[NewPointsAway],Table2[GameDate], "&lt;=" &amp; $A152, Table2[AwayTeam], V$1)+SUMIFS(Table2[NewPointsHome],Table2[GameDate], "&lt;=" &amp; $A152, Table2[HomeTeam], V$1)</f>
        <v>11</v>
      </c>
      <c r="W152" s="145">
        <f>SUMIFS(Table2[NewPointsAway],Table2[GameDate], "&lt;=" &amp; $A152, Table2[AwayTeam], W$1)+SUMIFS(Table2[NewPointsHome],Table2[GameDate], "&lt;=" &amp; $A152, Table2[HomeTeam], W$1)</f>
        <v>16</v>
      </c>
      <c r="X152" s="145">
        <f>SUMIFS(Table2[NewPointsAway],Table2[GameDate], "&lt;=" &amp; $A152, Table2[AwayTeam], X$1)+SUMIFS(Table2[NewPointsHome],Table2[GameDate], "&lt;=" &amp; $A152, Table2[HomeTeam], X$1)</f>
        <v>13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10</v>
      </c>
      <c r="AB152" s="145">
        <f>SUMIFS(Table2[NewPointsAway],Table2[GameDate], "&lt;=" &amp; $A152, Table2[AwayTeam], AB$1)+SUMIFS(Table2[NewPointsHome],Table2[GameDate], "&lt;=" &amp; $A152, Table2[HomeTeam], AB$1)</f>
        <v>11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15</v>
      </c>
      <c r="AF152" s="145">
        <f>SUMIFS(Table2[NewPointsAway],Table2[GameDate], "&lt;=" &amp; $A152, Table2[AwayTeam], AF$1)+SUMIFS(Table2[NewPointsHome],Table2[GameDate], "&lt;=" &amp; $A152, Table2[HomeTeam], AF$1)</f>
        <v>14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11</v>
      </c>
      <c r="C153" s="145">
        <f>SUMIFS(Table2[NewPointsAway],Table2[GameDate], "&lt;=" &amp; $A153, Table2[AwayTeam], C$1)+SUMIFS(Table2[NewPointsHome],Table2[GameDate], "&lt;=" &amp; $A153, Table2[HomeTeam], C$1)</f>
        <v>10</v>
      </c>
      <c r="D153" s="145">
        <f>SUMIFS(Table2[NewPointsAway],Table2[GameDate], "&lt;=" &amp; $A153, Table2[AwayTeam], D$1)+SUMIFS(Table2[NewPointsHome],Table2[GameDate], "&lt;=" &amp; $A153, Table2[HomeTeam], D$1)</f>
        <v>10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12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12</v>
      </c>
      <c r="I153" s="145">
        <f>SUMIFS(Table2[NewPointsAway],Table2[GameDate], "&lt;=" &amp; $A153, Table2[AwayTeam], I$1)+SUMIFS(Table2[NewPointsHome],Table2[GameDate], "&lt;=" &amp; $A153, Table2[HomeTeam], I$1)</f>
        <v>16</v>
      </c>
      <c r="J153" s="145">
        <f>SUMIFS(Table2[NewPointsAway],Table2[GameDate], "&lt;=" &amp; $A153, Table2[AwayTeam], J$1)+SUMIFS(Table2[NewPointsHome],Table2[GameDate], "&lt;=" &amp; $A153, Table2[HomeTeam], J$1)</f>
        <v>13</v>
      </c>
      <c r="K153" s="145">
        <f>SUMIFS(Table2[NewPointsAway],Table2[GameDate], "&lt;=" &amp; $A153, Table2[AwayTeam], K$1)+SUMIFS(Table2[NewPointsHome],Table2[GameDate], "&lt;=" &amp; $A153, Table2[HomeTeam], K$1)</f>
        <v>14</v>
      </c>
      <c r="L153" s="145">
        <f>SUMIFS(Table2[NewPointsAway],Table2[GameDate], "&lt;=" &amp; $A153, Table2[AwayTeam], L$1)+SUMIFS(Table2[NewPointsHome],Table2[GameDate], "&lt;=" &amp; $A153, Table2[HomeTeam], L$1)</f>
        <v>12</v>
      </c>
      <c r="M153" s="145">
        <f>SUMIFS(Table2[NewPointsAway],Table2[GameDate], "&lt;=" &amp; $A153, Table2[AwayTeam], M$1)+SUMIFS(Table2[NewPointsHome],Table2[GameDate], "&lt;=" &amp; $A153, Table2[HomeTeam], M$1)</f>
        <v>11</v>
      </c>
      <c r="N153" s="145">
        <f>SUMIFS(Table2[NewPointsAway],Table2[GameDate], "&lt;=" &amp; $A153, Table2[AwayTeam], N$1)+SUMIFS(Table2[NewPointsHome],Table2[GameDate], "&lt;=" &amp; $A153, Table2[HomeTeam], N$1)</f>
        <v>13</v>
      </c>
      <c r="O153" s="145">
        <f>SUMIFS(Table2[NewPointsAway],Table2[GameDate], "&lt;=" &amp; $A153, Table2[AwayTeam], O$1)+SUMIFS(Table2[NewPointsHome],Table2[GameDate], "&lt;=" &amp; $A153, Table2[HomeTeam], O$1)</f>
        <v>9</v>
      </c>
      <c r="P153" s="145">
        <f>SUMIFS(Table2[NewPointsAway],Table2[GameDate], "&lt;=" &amp; $A153, Table2[AwayTeam], P$1)+SUMIFS(Table2[NewPointsHome],Table2[GameDate], "&lt;=" &amp; $A153, Table2[HomeTeam], P$1)</f>
        <v>16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10</v>
      </c>
      <c r="U153" s="145">
        <f>SUMIFS(Table2[NewPointsAway],Table2[GameDate], "&lt;=" &amp; $A153, Table2[AwayTeam], U$1)+SUMIFS(Table2[NewPointsHome],Table2[GameDate], "&lt;=" &amp; $A153, Table2[HomeTeam], U$1)</f>
        <v>11</v>
      </c>
      <c r="V153" s="145">
        <f>SUMIFS(Table2[NewPointsAway],Table2[GameDate], "&lt;=" &amp; $A153, Table2[AwayTeam], V$1)+SUMIFS(Table2[NewPointsHome],Table2[GameDate], "&lt;=" &amp; $A153, Table2[HomeTeam], V$1)</f>
        <v>11</v>
      </c>
      <c r="W153" s="145">
        <f>SUMIFS(Table2[NewPointsAway],Table2[GameDate], "&lt;=" &amp; $A153, Table2[AwayTeam], W$1)+SUMIFS(Table2[NewPointsHome],Table2[GameDate], "&lt;=" &amp; $A153, Table2[HomeTeam], W$1)</f>
        <v>16</v>
      </c>
      <c r="X153" s="145">
        <f>SUMIFS(Table2[NewPointsAway],Table2[GameDate], "&lt;=" &amp; $A153, Table2[AwayTeam], X$1)+SUMIFS(Table2[NewPointsHome],Table2[GameDate], "&lt;=" &amp; $A153, Table2[HomeTeam], X$1)</f>
        <v>13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10</v>
      </c>
      <c r="AB153" s="145">
        <f>SUMIFS(Table2[NewPointsAway],Table2[GameDate], "&lt;=" &amp; $A153, Table2[AwayTeam], AB$1)+SUMIFS(Table2[NewPointsHome],Table2[GameDate], "&lt;=" &amp; $A153, Table2[HomeTeam], AB$1)</f>
        <v>11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15</v>
      </c>
      <c r="AF153" s="145">
        <f>SUMIFS(Table2[NewPointsAway],Table2[GameDate], "&lt;=" &amp; $A153, Table2[AwayTeam], AF$1)+SUMIFS(Table2[NewPointsHome],Table2[GameDate], "&lt;=" &amp; $A153, Table2[HomeTeam], AF$1)</f>
        <v>14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11</v>
      </c>
      <c r="C154" s="145">
        <f>SUMIFS(Table2[NewPointsAway],Table2[GameDate], "&lt;=" &amp; $A154, Table2[AwayTeam], C$1)+SUMIFS(Table2[NewPointsHome],Table2[GameDate], "&lt;=" &amp; $A154, Table2[HomeTeam], C$1)</f>
        <v>10</v>
      </c>
      <c r="D154" s="145">
        <f>SUMIFS(Table2[NewPointsAway],Table2[GameDate], "&lt;=" &amp; $A154, Table2[AwayTeam], D$1)+SUMIFS(Table2[NewPointsHome],Table2[GameDate], "&lt;=" &amp; $A154, Table2[HomeTeam], D$1)</f>
        <v>10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12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12</v>
      </c>
      <c r="I154" s="145">
        <f>SUMIFS(Table2[NewPointsAway],Table2[GameDate], "&lt;=" &amp; $A154, Table2[AwayTeam], I$1)+SUMIFS(Table2[NewPointsHome],Table2[GameDate], "&lt;=" &amp; $A154, Table2[HomeTeam], I$1)</f>
        <v>16</v>
      </c>
      <c r="J154" s="145">
        <f>SUMIFS(Table2[NewPointsAway],Table2[GameDate], "&lt;=" &amp; $A154, Table2[AwayTeam], J$1)+SUMIFS(Table2[NewPointsHome],Table2[GameDate], "&lt;=" &amp; $A154, Table2[HomeTeam], J$1)</f>
        <v>13</v>
      </c>
      <c r="K154" s="145">
        <f>SUMIFS(Table2[NewPointsAway],Table2[GameDate], "&lt;=" &amp; $A154, Table2[AwayTeam], K$1)+SUMIFS(Table2[NewPointsHome],Table2[GameDate], "&lt;=" &amp; $A154, Table2[HomeTeam], K$1)</f>
        <v>14</v>
      </c>
      <c r="L154" s="145">
        <f>SUMIFS(Table2[NewPointsAway],Table2[GameDate], "&lt;=" &amp; $A154, Table2[AwayTeam], L$1)+SUMIFS(Table2[NewPointsHome],Table2[GameDate], "&lt;=" &amp; $A154, Table2[HomeTeam], L$1)</f>
        <v>12</v>
      </c>
      <c r="M154" s="145">
        <f>SUMIFS(Table2[NewPointsAway],Table2[GameDate], "&lt;=" &amp; $A154, Table2[AwayTeam], M$1)+SUMIFS(Table2[NewPointsHome],Table2[GameDate], "&lt;=" &amp; $A154, Table2[HomeTeam], M$1)</f>
        <v>11</v>
      </c>
      <c r="N154" s="145">
        <f>SUMIFS(Table2[NewPointsAway],Table2[GameDate], "&lt;=" &amp; $A154, Table2[AwayTeam], N$1)+SUMIFS(Table2[NewPointsHome],Table2[GameDate], "&lt;=" &amp; $A154, Table2[HomeTeam], N$1)</f>
        <v>13</v>
      </c>
      <c r="O154" s="145">
        <f>SUMIFS(Table2[NewPointsAway],Table2[GameDate], "&lt;=" &amp; $A154, Table2[AwayTeam], O$1)+SUMIFS(Table2[NewPointsHome],Table2[GameDate], "&lt;=" &amp; $A154, Table2[HomeTeam], O$1)</f>
        <v>9</v>
      </c>
      <c r="P154" s="145">
        <f>SUMIFS(Table2[NewPointsAway],Table2[GameDate], "&lt;=" &amp; $A154, Table2[AwayTeam], P$1)+SUMIFS(Table2[NewPointsHome],Table2[GameDate], "&lt;=" &amp; $A154, Table2[HomeTeam], P$1)</f>
        <v>16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10</v>
      </c>
      <c r="U154" s="145">
        <f>SUMIFS(Table2[NewPointsAway],Table2[GameDate], "&lt;=" &amp; $A154, Table2[AwayTeam], U$1)+SUMIFS(Table2[NewPointsHome],Table2[GameDate], "&lt;=" &amp; $A154, Table2[HomeTeam], U$1)</f>
        <v>11</v>
      </c>
      <c r="V154" s="145">
        <f>SUMIFS(Table2[NewPointsAway],Table2[GameDate], "&lt;=" &amp; $A154, Table2[AwayTeam], V$1)+SUMIFS(Table2[NewPointsHome],Table2[GameDate], "&lt;=" &amp; $A154, Table2[HomeTeam], V$1)</f>
        <v>11</v>
      </c>
      <c r="W154" s="145">
        <f>SUMIFS(Table2[NewPointsAway],Table2[GameDate], "&lt;=" &amp; $A154, Table2[AwayTeam], W$1)+SUMIFS(Table2[NewPointsHome],Table2[GameDate], "&lt;=" &amp; $A154, Table2[HomeTeam], W$1)</f>
        <v>16</v>
      </c>
      <c r="X154" s="145">
        <f>SUMIFS(Table2[NewPointsAway],Table2[GameDate], "&lt;=" &amp; $A154, Table2[AwayTeam], X$1)+SUMIFS(Table2[NewPointsHome],Table2[GameDate], "&lt;=" &amp; $A154, Table2[HomeTeam], X$1)</f>
        <v>13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10</v>
      </c>
      <c r="AB154" s="145">
        <f>SUMIFS(Table2[NewPointsAway],Table2[GameDate], "&lt;=" &amp; $A154, Table2[AwayTeam], AB$1)+SUMIFS(Table2[NewPointsHome],Table2[GameDate], "&lt;=" &amp; $A154, Table2[HomeTeam], AB$1)</f>
        <v>11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15</v>
      </c>
      <c r="AF154" s="145">
        <f>SUMIFS(Table2[NewPointsAway],Table2[GameDate], "&lt;=" &amp; $A154, Table2[AwayTeam], AF$1)+SUMIFS(Table2[NewPointsHome],Table2[GameDate], "&lt;=" &amp; $A154, Table2[HomeTeam], AF$1)</f>
        <v>14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11</v>
      </c>
      <c r="C155" s="145">
        <f>SUMIFS(Table2[NewPointsAway],Table2[GameDate], "&lt;=" &amp; $A155, Table2[AwayTeam], C$1)+SUMIFS(Table2[NewPointsHome],Table2[GameDate], "&lt;=" &amp; $A155, Table2[HomeTeam], C$1)</f>
        <v>10</v>
      </c>
      <c r="D155" s="145">
        <f>SUMIFS(Table2[NewPointsAway],Table2[GameDate], "&lt;=" &amp; $A155, Table2[AwayTeam], D$1)+SUMIFS(Table2[NewPointsHome],Table2[GameDate], "&lt;=" &amp; $A155, Table2[HomeTeam], D$1)</f>
        <v>10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12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12</v>
      </c>
      <c r="I155" s="145">
        <f>SUMIFS(Table2[NewPointsAway],Table2[GameDate], "&lt;=" &amp; $A155, Table2[AwayTeam], I$1)+SUMIFS(Table2[NewPointsHome],Table2[GameDate], "&lt;=" &amp; $A155, Table2[HomeTeam], I$1)</f>
        <v>16</v>
      </c>
      <c r="J155" s="145">
        <f>SUMIFS(Table2[NewPointsAway],Table2[GameDate], "&lt;=" &amp; $A155, Table2[AwayTeam], J$1)+SUMIFS(Table2[NewPointsHome],Table2[GameDate], "&lt;=" &amp; $A155, Table2[HomeTeam], J$1)</f>
        <v>13</v>
      </c>
      <c r="K155" s="145">
        <f>SUMIFS(Table2[NewPointsAway],Table2[GameDate], "&lt;=" &amp; $A155, Table2[AwayTeam], K$1)+SUMIFS(Table2[NewPointsHome],Table2[GameDate], "&lt;=" &amp; $A155, Table2[HomeTeam], K$1)</f>
        <v>14</v>
      </c>
      <c r="L155" s="145">
        <f>SUMIFS(Table2[NewPointsAway],Table2[GameDate], "&lt;=" &amp; $A155, Table2[AwayTeam], L$1)+SUMIFS(Table2[NewPointsHome],Table2[GameDate], "&lt;=" &amp; $A155, Table2[HomeTeam], L$1)</f>
        <v>12</v>
      </c>
      <c r="M155" s="145">
        <f>SUMIFS(Table2[NewPointsAway],Table2[GameDate], "&lt;=" &amp; $A155, Table2[AwayTeam], M$1)+SUMIFS(Table2[NewPointsHome],Table2[GameDate], "&lt;=" &amp; $A155, Table2[HomeTeam], M$1)</f>
        <v>11</v>
      </c>
      <c r="N155" s="145">
        <f>SUMIFS(Table2[NewPointsAway],Table2[GameDate], "&lt;=" &amp; $A155, Table2[AwayTeam], N$1)+SUMIFS(Table2[NewPointsHome],Table2[GameDate], "&lt;=" &amp; $A155, Table2[HomeTeam], N$1)</f>
        <v>13</v>
      </c>
      <c r="O155" s="145">
        <f>SUMIFS(Table2[NewPointsAway],Table2[GameDate], "&lt;=" &amp; $A155, Table2[AwayTeam], O$1)+SUMIFS(Table2[NewPointsHome],Table2[GameDate], "&lt;=" &amp; $A155, Table2[HomeTeam], O$1)</f>
        <v>9</v>
      </c>
      <c r="P155" s="145">
        <f>SUMIFS(Table2[NewPointsAway],Table2[GameDate], "&lt;=" &amp; $A155, Table2[AwayTeam], P$1)+SUMIFS(Table2[NewPointsHome],Table2[GameDate], "&lt;=" &amp; $A155, Table2[HomeTeam], P$1)</f>
        <v>16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10</v>
      </c>
      <c r="U155" s="145">
        <f>SUMIFS(Table2[NewPointsAway],Table2[GameDate], "&lt;=" &amp; $A155, Table2[AwayTeam], U$1)+SUMIFS(Table2[NewPointsHome],Table2[GameDate], "&lt;=" &amp; $A155, Table2[HomeTeam], U$1)</f>
        <v>11</v>
      </c>
      <c r="V155" s="145">
        <f>SUMIFS(Table2[NewPointsAway],Table2[GameDate], "&lt;=" &amp; $A155, Table2[AwayTeam], V$1)+SUMIFS(Table2[NewPointsHome],Table2[GameDate], "&lt;=" &amp; $A155, Table2[HomeTeam], V$1)</f>
        <v>11</v>
      </c>
      <c r="W155" s="145">
        <f>SUMIFS(Table2[NewPointsAway],Table2[GameDate], "&lt;=" &amp; $A155, Table2[AwayTeam], W$1)+SUMIFS(Table2[NewPointsHome],Table2[GameDate], "&lt;=" &amp; $A155, Table2[HomeTeam], W$1)</f>
        <v>16</v>
      </c>
      <c r="X155" s="145">
        <f>SUMIFS(Table2[NewPointsAway],Table2[GameDate], "&lt;=" &amp; $A155, Table2[AwayTeam], X$1)+SUMIFS(Table2[NewPointsHome],Table2[GameDate], "&lt;=" &amp; $A155, Table2[HomeTeam], X$1)</f>
        <v>13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10</v>
      </c>
      <c r="AB155" s="145">
        <f>SUMIFS(Table2[NewPointsAway],Table2[GameDate], "&lt;=" &amp; $A155, Table2[AwayTeam], AB$1)+SUMIFS(Table2[NewPointsHome],Table2[GameDate], "&lt;=" &amp; $A155, Table2[HomeTeam], AB$1)</f>
        <v>11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15</v>
      </c>
      <c r="AF155" s="145">
        <f>SUMIFS(Table2[NewPointsAway],Table2[GameDate], "&lt;=" &amp; $A155, Table2[AwayTeam], AF$1)+SUMIFS(Table2[NewPointsHome],Table2[GameDate], "&lt;=" &amp; $A155, Table2[HomeTeam], AF$1)</f>
        <v>14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11</v>
      </c>
      <c r="C156" s="145">
        <f>SUMIFS(Table2[NewPointsAway],Table2[GameDate], "&lt;=" &amp; $A156, Table2[AwayTeam], C$1)+SUMIFS(Table2[NewPointsHome],Table2[GameDate], "&lt;=" &amp; $A156, Table2[HomeTeam], C$1)</f>
        <v>10</v>
      </c>
      <c r="D156" s="145">
        <f>SUMIFS(Table2[NewPointsAway],Table2[GameDate], "&lt;=" &amp; $A156, Table2[AwayTeam], D$1)+SUMIFS(Table2[NewPointsHome],Table2[GameDate], "&lt;=" &amp; $A156, Table2[HomeTeam], D$1)</f>
        <v>10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12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12</v>
      </c>
      <c r="I156" s="145">
        <f>SUMIFS(Table2[NewPointsAway],Table2[GameDate], "&lt;=" &amp; $A156, Table2[AwayTeam], I$1)+SUMIFS(Table2[NewPointsHome],Table2[GameDate], "&lt;=" &amp; $A156, Table2[HomeTeam], I$1)</f>
        <v>16</v>
      </c>
      <c r="J156" s="145">
        <f>SUMIFS(Table2[NewPointsAway],Table2[GameDate], "&lt;=" &amp; $A156, Table2[AwayTeam], J$1)+SUMIFS(Table2[NewPointsHome],Table2[GameDate], "&lt;=" &amp; $A156, Table2[HomeTeam], J$1)</f>
        <v>13</v>
      </c>
      <c r="K156" s="145">
        <f>SUMIFS(Table2[NewPointsAway],Table2[GameDate], "&lt;=" &amp; $A156, Table2[AwayTeam], K$1)+SUMIFS(Table2[NewPointsHome],Table2[GameDate], "&lt;=" &amp; $A156, Table2[HomeTeam], K$1)</f>
        <v>14</v>
      </c>
      <c r="L156" s="145">
        <f>SUMIFS(Table2[NewPointsAway],Table2[GameDate], "&lt;=" &amp; $A156, Table2[AwayTeam], L$1)+SUMIFS(Table2[NewPointsHome],Table2[GameDate], "&lt;=" &amp; $A156, Table2[HomeTeam], L$1)</f>
        <v>12</v>
      </c>
      <c r="M156" s="145">
        <f>SUMIFS(Table2[NewPointsAway],Table2[GameDate], "&lt;=" &amp; $A156, Table2[AwayTeam], M$1)+SUMIFS(Table2[NewPointsHome],Table2[GameDate], "&lt;=" &amp; $A156, Table2[HomeTeam], M$1)</f>
        <v>11</v>
      </c>
      <c r="N156" s="145">
        <f>SUMIFS(Table2[NewPointsAway],Table2[GameDate], "&lt;=" &amp; $A156, Table2[AwayTeam], N$1)+SUMIFS(Table2[NewPointsHome],Table2[GameDate], "&lt;=" &amp; $A156, Table2[HomeTeam], N$1)</f>
        <v>13</v>
      </c>
      <c r="O156" s="145">
        <f>SUMIFS(Table2[NewPointsAway],Table2[GameDate], "&lt;=" &amp; $A156, Table2[AwayTeam], O$1)+SUMIFS(Table2[NewPointsHome],Table2[GameDate], "&lt;=" &amp; $A156, Table2[HomeTeam], O$1)</f>
        <v>9</v>
      </c>
      <c r="P156" s="145">
        <f>SUMIFS(Table2[NewPointsAway],Table2[GameDate], "&lt;=" &amp; $A156, Table2[AwayTeam], P$1)+SUMIFS(Table2[NewPointsHome],Table2[GameDate], "&lt;=" &amp; $A156, Table2[HomeTeam], P$1)</f>
        <v>16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10</v>
      </c>
      <c r="U156" s="145">
        <f>SUMIFS(Table2[NewPointsAway],Table2[GameDate], "&lt;=" &amp; $A156, Table2[AwayTeam], U$1)+SUMIFS(Table2[NewPointsHome],Table2[GameDate], "&lt;=" &amp; $A156, Table2[HomeTeam], U$1)</f>
        <v>11</v>
      </c>
      <c r="V156" s="145">
        <f>SUMIFS(Table2[NewPointsAway],Table2[GameDate], "&lt;=" &amp; $A156, Table2[AwayTeam], V$1)+SUMIFS(Table2[NewPointsHome],Table2[GameDate], "&lt;=" &amp; $A156, Table2[HomeTeam], V$1)</f>
        <v>11</v>
      </c>
      <c r="W156" s="145">
        <f>SUMIFS(Table2[NewPointsAway],Table2[GameDate], "&lt;=" &amp; $A156, Table2[AwayTeam], W$1)+SUMIFS(Table2[NewPointsHome],Table2[GameDate], "&lt;=" &amp; $A156, Table2[HomeTeam], W$1)</f>
        <v>16</v>
      </c>
      <c r="X156" s="145">
        <f>SUMIFS(Table2[NewPointsAway],Table2[GameDate], "&lt;=" &amp; $A156, Table2[AwayTeam], X$1)+SUMIFS(Table2[NewPointsHome],Table2[GameDate], "&lt;=" &amp; $A156, Table2[HomeTeam], X$1)</f>
        <v>13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10</v>
      </c>
      <c r="AB156" s="145">
        <f>SUMIFS(Table2[NewPointsAway],Table2[GameDate], "&lt;=" &amp; $A156, Table2[AwayTeam], AB$1)+SUMIFS(Table2[NewPointsHome],Table2[GameDate], "&lt;=" &amp; $A156, Table2[HomeTeam], AB$1)</f>
        <v>11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15</v>
      </c>
      <c r="AF156" s="145">
        <f>SUMIFS(Table2[NewPointsAway],Table2[GameDate], "&lt;=" &amp; $A156, Table2[AwayTeam], AF$1)+SUMIFS(Table2[NewPointsHome],Table2[GameDate], "&lt;=" &amp; $A156, Table2[HomeTeam], AF$1)</f>
        <v>14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11</v>
      </c>
      <c r="C157" s="145">
        <f>SUMIFS(Table2[NewPointsAway],Table2[GameDate], "&lt;=" &amp; $A157, Table2[AwayTeam], C$1)+SUMIFS(Table2[NewPointsHome],Table2[GameDate], "&lt;=" &amp; $A157, Table2[HomeTeam], C$1)</f>
        <v>10</v>
      </c>
      <c r="D157" s="145">
        <f>SUMIFS(Table2[NewPointsAway],Table2[GameDate], "&lt;=" &amp; $A157, Table2[AwayTeam], D$1)+SUMIFS(Table2[NewPointsHome],Table2[GameDate], "&lt;=" &amp; $A157, Table2[HomeTeam], D$1)</f>
        <v>10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12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12</v>
      </c>
      <c r="I157" s="145">
        <f>SUMIFS(Table2[NewPointsAway],Table2[GameDate], "&lt;=" &amp; $A157, Table2[AwayTeam], I$1)+SUMIFS(Table2[NewPointsHome],Table2[GameDate], "&lt;=" &amp; $A157, Table2[HomeTeam], I$1)</f>
        <v>16</v>
      </c>
      <c r="J157" s="145">
        <f>SUMIFS(Table2[NewPointsAway],Table2[GameDate], "&lt;=" &amp; $A157, Table2[AwayTeam], J$1)+SUMIFS(Table2[NewPointsHome],Table2[GameDate], "&lt;=" &amp; $A157, Table2[HomeTeam], J$1)</f>
        <v>13</v>
      </c>
      <c r="K157" s="145">
        <f>SUMIFS(Table2[NewPointsAway],Table2[GameDate], "&lt;=" &amp; $A157, Table2[AwayTeam], K$1)+SUMIFS(Table2[NewPointsHome],Table2[GameDate], "&lt;=" &amp; $A157, Table2[HomeTeam], K$1)</f>
        <v>14</v>
      </c>
      <c r="L157" s="145">
        <f>SUMIFS(Table2[NewPointsAway],Table2[GameDate], "&lt;=" &amp; $A157, Table2[AwayTeam], L$1)+SUMIFS(Table2[NewPointsHome],Table2[GameDate], "&lt;=" &amp; $A157, Table2[HomeTeam], L$1)</f>
        <v>12</v>
      </c>
      <c r="M157" s="145">
        <f>SUMIFS(Table2[NewPointsAway],Table2[GameDate], "&lt;=" &amp; $A157, Table2[AwayTeam], M$1)+SUMIFS(Table2[NewPointsHome],Table2[GameDate], "&lt;=" &amp; $A157, Table2[HomeTeam], M$1)</f>
        <v>11</v>
      </c>
      <c r="N157" s="145">
        <f>SUMIFS(Table2[NewPointsAway],Table2[GameDate], "&lt;=" &amp; $A157, Table2[AwayTeam], N$1)+SUMIFS(Table2[NewPointsHome],Table2[GameDate], "&lt;=" &amp; $A157, Table2[HomeTeam], N$1)</f>
        <v>13</v>
      </c>
      <c r="O157" s="145">
        <f>SUMIFS(Table2[NewPointsAway],Table2[GameDate], "&lt;=" &amp; $A157, Table2[AwayTeam], O$1)+SUMIFS(Table2[NewPointsHome],Table2[GameDate], "&lt;=" &amp; $A157, Table2[HomeTeam], O$1)</f>
        <v>9</v>
      </c>
      <c r="P157" s="145">
        <f>SUMIFS(Table2[NewPointsAway],Table2[GameDate], "&lt;=" &amp; $A157, Table2[AwayTeam], P$1)+SUMIFS(Table2[NewPointsHome],Table2[GameDate], "&lt;=" &amp; $A157, Table2[HomeTeam], P$1)</f>
        <v>16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10</v>
      </c>
      <c r="U157" s="145">
        <f>SUMIFS(Table2[NewPointsAway],Table2[GameDate], "&lt;=" &amp; $A157, Table2[AwayTeam], U$1)+SUMIFS(Table2[NewPointsHome],Table2[GameDate], "&lt;=" &amp; $A157, Table2[HomeTeam], U$1)</f>
        <v>11</v>
      </c>
      <c r="V157" s="145">
        <f>SUMIFS(Table2[NewPointsAway],Table2[GameDate], "&lt;=" &amp; $A157, Table2[AwayTeam], V$1)+SUMIFS(Table2[NewPointsHome],Table2[GameDate], "&lt;=" &amp; $A157, Table2[HomeTeam], V$1)</f>
        <v>11</v>
      </c>
      <c r="W157" s="145">
        <f>SUMIFS(Table2[NewPointsAway],Table2[GameDate], "&lt;=" &amp; $A157, Table2[AwayTeam], W$1)+SUMIFS(Table2[NewPointsHome],Table2[GameDate], "&lt;=" &amp; $A157, Table2[HomeTeam], W$1)</f>
        <v>16</v>
      </c>
      <c r="X157" s="145">
        <f>SUMIFS(Table2[NewPointsAway],Table2[GameDate], "&lt;=" &amp; $A157, Table2[AwayTeam], X$1)+SUMIFS(Table2[NewPointsHome],Table2[GameDate], "&lt;=" &amp; $A157, Table2[HomeTeam], X$1)</f>
        <v>13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10</v>
      </c>
      <c r="AB157" s="145">
        <f>SUMIFS(Table2[NewPointsAway],Table2[GameDate], "&lt;=" &amp; $A157, Table2[AwayTeam], AB$1)+SUMIFS(Table2[NewPointsHome],Table2[GameDate], "&lt;=" &amp; $A157, Table2[HomeTeam], AB$1)</f>
        <v>11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15</v>
      </c>
      <c r="AF157" s="145">
        <f>SUMIFS(Table2[NewPointsAway],Table2[GameDate], "&lt;=" &amp; $A157, Table2[AwayTeam], AF$1)+SUMIFS(Table2[NewPointsHome],Table2[GameDate], "&lt;=" &amp; $A157, Table2[HomeTeam], AF$1)</f>
        <v>14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11</v>
      </c>
      <c r="C158" s="145">
        <f>SUMIFS(Table2[NewPointsAway],Table2[GameDate], "&lt;=" &amp; $A158, Table2[AwayTeam], C$1)+SUMIFS(Table2[NewPointsHome],Table2[GameDate], "&lt;=" &amp; $A158, Table2[HomeTeam], C$1)</f>
        <v>10</v>
      </c>
      <c r="D158" s="145">
        <f>SUMIFS(Table2[NewPointsAway],Table2[GameDate], "&lt;=" &amp; $A158, Table2[AwayTeam], D$1)+SUMIFS(Table2[NewPointsHome],Table2[GameDate], "&lt;=" &amp; $A158, Table2[HomeTeam], D$1)</f>
        <v>10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12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12</v>
      </c>
      <c r="I158" s="145">
        <f>SUMIFS(Table2[NewPointsAway],Table2[GameDate], "&lt;=" &amp; $A158, Table2[AwayTeam], I$1)+SUMIFS(Table2[NewPointsHome],Table2[GameDate], "&lt;=" &amp; $A158, Table2[HomeTeam], I$1)</f>
        <v>16</v>
      </c>
      <c r="J158" s="145">
        <f>SUMIFS(Table2[NewPointsAway],Table2[GameDate], "&lt;=" &amp; $A158, Table2[AwayTeam], J$1)+SUMIFS(Table2[NewPointsHome],Table2[GameDate], "&lt;=" &amp; $A158, Table2[HomeTeam], J$1)</f>
        <v>13</v>
      </c>
      <c r="K158" s="145">
        <f>SUMIFS(Table2[NewPointsAway],Table2[GameDate], "&lt;=" &amp; $A158, Table2[AwayTeam], K$1)+SUMIFS(Table2[NewPointsHome],Table2[GameDate], "&lt;=" &amp; $A158, Table2[HomeTeam], K$1)</f>
        <v>14</v>
      </c>
      <c r="L158" s="145">
        <f>SUMIFS(Table2[NewPointsAway],Table2[GameDate], "&lt;=" &amp; $A158, Table2[AwayTeam], L$1)+SUMIFS(Table2[NewPointsHome],Table2[GameDate], "&lt;=" &amp; $A158, Table2[HomeTeam], L$1)</f>
        <v>12</v>
      </c>
      <c r="M158" s="145">
        <f>SUMIFS(Table2[NewPointsAway],Table2[GameDate], "&lt;=" &amp; $A158, Table2[AwayTeam], M$1)+SUMIFS(Table2[NewPointsHome],Table2[GameDate], "&lt;=" &amp; $A158, Table2[HomeTeam], M$1)</f>
        <v>11</v>
      </c>
      <c r="N158" s="145">
        <f>SUMIFS(Table2[NewPointsAway],Table2[GameDate], "&lt;=" &amp; $A158, Table2[AwayTeam], N$1)+SUMIFS(Table2[NewPointsHome],Table2[GameDate], "&lt;=" &amp; $A158, Table2[HomeTeam], N$1)</f>
        <v>13</v>
      </c>
      <c r="O158" s="145">
        <f>SUMIFS(Table2[NewPointsAway],Table2[GameDate], "&lt;=" &amp; $A158, Table2[AwayTeam], O$1)+SUMIFS(Table2[NewPointsHome],Table2[GameDate], "&lt;=" &amp; $A158, Table2[HomeTeam], O$1)</f>
        <v>9</v>
      </c>
      <c r="P158" s="145">
        <f>SUMIFS(Table2[NewPointsAway],Table2[GameDate], "&lt;=" &amp; $A158, Table2[AwayTeam], P$1)+SUMIFS(Table2[NewPointsHome],Table2[GameDate], "&lt;=" &amp; $A158, Table2[HomeTeam], P$1)</f>
        <v>16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10</v>
      </c>
      <c r="U158" s="145">
        <f>SUMIFS(Table2[NewPointsAway],Table2[GameDate], "&lt;=" &amp; $A158, Table2[AwayTeam], U$1)+SUMIFS(Table2[NewPointsHome],Table2[GameDate], "&lt;=" &amp; $A158, Table2[HomeTeam], U$1)</f>
        <v>11</v>
      </c>
      <c r="V158" s="145">
        <f>SUMIFS(Table2[NewPointsAway],Table2[GameDate], "&lt;=" &amp; $A158, Table2[AwayTeam], V$1)+SUMIFS(Table2[NewPointsHome],Table2[GameDate], "&lt;=" &amp; $A158, Table2[HomeTeam], V$1)</f>
        <v>11</v>
      </c>
      <c r="W158" s="145">
        <f>SUMIFS(Table2[NewPointsAway],Table2[GameDate], "&lt;=" &amp; $A158, Table2[AwayTeam], W$1)+SUMIFS(Table2[NewPointsHome],Table2[GameDate], "&lt;=" &amp; $A158, Table2[HomeTeam], W$1)</f>
        <v>16</v>
      </c>
      <c r="X158" s="145">
        <f>SUMIFS(Table2[NewPointsAway],Table2[GameDate], "&lt;=" &amp; $A158, Table2[AwayTeam], X$1)+SUMIFS(Table2[NewPointsHome],Table2[GameDate], "&lt;=" &amp; $A158, Table2[HomeTeam], X$1)</f>
        <v>13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10</v>
      </c>
      <c r="AB158" s="145">
        <f>SUMIFS(Table2[NewPointsAway],Table2[GameDate], "&lt;=" &amp; $A158, Table2[AwayTeam], AB$1)+SUMIFS(Table2[NewPointsHome],Table2[GameDate], "&lt;=" &amp; $A158, Table2[HomeTeam], AB$1)</f>
        <v>11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15</v>
      </c>
      <c r="AF158" s="145">
        <f>SUMIFS(Table2[NewPointsAway],Table2[GameDate], "&lt;=" &amp; $A158, Table2[AwayTeam], AF$1)+SUMIFS(Table2[NewPointsHome],Table2[GameDate], "&lt;=" &amp; $A158, Table2[HomeTeam], AF$1)</f>
        <v>14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11</v>
      </c>
      <c r="C159" s="145">
        <f>SUMIFS(Table2[NewPointsAway],Table2[GameDate], "&lt;=" &amp; $A159, Table2[AwayTeam], C$1)+SUMIFS(Table2[NewPointsHome],Table2[GameDate], "&lt;=" &amp; $A159, Table2[HomeTeam], C$1)</f>
        <v>10</v>
      </c>
      <c r="D159" s="145">
        <f>SUMIFS(Table2[NewPointsAway],Table2[GameDate], "&lt;=" &amp; $A159, Table2[AwayTeam], D$1)+SUMIFS(Table2[NewPointsHome],Table2[GameDate], "&lt;=" &amp; $A159, Table2[HomeTeam], D$1)</f>
        <v>10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12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12</v>
      </c>
      <c r="I159" s="145">
        <f>SUMIFS(Table2[NewPointsAway],Table2[GameDate], "&lt;=" &amp; $A159, Table2[AwayTeam], I$1)+SUMIFS(Table2[NewPointsHome],Table2[GameDate], "&lt;=" &amp; $A159, Table2[HomeTeam], I$1)</f>
        <v>16</v>
      </c>
      <c r="J159" s="145">
        <f>SUMIFS(Table2[NewPointsAway],Table2[GameDate], "&lt;=" &amp; $A159, Table2[AwayTeam], J$1)+SUMIFS(Table2[NewPointsHome],Table2[GameDate], "&lt;=" &amp; $A159, Table2[HomeTeam], J$1)</f>
        <v>13</v>
      </c>
      <c r="K159" s="145">
        <f>SUMIFS(Table2[NewPointsAway],Table2[GameDate], "&lt;=" &amp; $A159, Table2[AwayTeam], K$1)+SUMIFS(Table2[NewPointsHome],Table2[GameDate], "&lt;=" &amp; $A159, Table2[HomeTeam], K$1)</f>
        <v>14</v>
      </c>
      <c r="L159" s="145">
        <f>SUMIFS(Table2[NewPointsAway],Table2[GameDate], "&lt;=" &amp; $A159, Table2[AwayTeam], L$1)+SUMIFS(Table2[NewPointsHome],Table2[GameDate], "&lt;=" &amp; $A159, Table2[HomeTeam], L$1)</f>
        <v>12</v>
      </c>
      <c r="M159" s="145">
        <f>SUMIFS(Table2[NewPointsAway],Table2[GameDate], "&lt;=" &amp; $A159, Table2[AwayTeam], M$1)+SUMIFS(Table2[NewPointsHome],Table2[GameDate], "&lt;=" &amp; $A159, Table2[HomeTeam], M$1)</f>
        <v>11</v>
      </c>
      <c r="N159" s="145">
        <f>SUMIFS(Table2[NewPointsAway],Table2[GameDate], "&lt;=" &amp; $A159, Table2[AwayTeam], N$1)+SUMIFS(Table2[NewPointsHome],Table2[GameDate], "&lt;=" &amp; $A159, Table2[HomeTeam], N$1)</f>
        <v>13</v>
      </c>
      <c r="O159" s="145">
        <f>SUMIFS(Table2[NewPointsAway],Table2[GameDate], "&lt;=" &amp; $A159, Table2[AwayTeam], O$1)+SUMIFS(Table2[NewPointsHome],Table2[GameDate], "&lt;=" &amp; $A159, Table2[HomeTeam], O$1)</f>
        <v>9</v>
      </c>
      <c r="P159" s="145">
        <f>SUMIFS(Table2[NewPointsAway],Table2[GameDate], "&lt;=" &amp; $A159, Table2[AwayTeam], P$1)+SUMIFS(Table2[NewPointsHome],Table2[GameDate], "&lt;=" &amp; $A159, Table2[HomeTeam], P$1)</f>
        <v>16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10</v>
      </c>
      <c r="U159" s="145">
        <f>SUMIFS(Table2[NewPointsAway],Table2[GameDate], "&lt;=" &amp; $A159, Table2[AwayTeam], U$1)+SUMIFS(Table2[NewPointsHome],Table2[GameDate], "&lt;=" &amp; $A159, Table2[HomeTeam], U$1)</f>
        <v>11</v>
      </c>
      <c r="V159" s="145">
        <f>SUMIFS(Table2[NewPointsAway],Table2[GameDate], "&lt;=" &amp; $A159, Table2[AwayTeam], V$1)+SUMIFS(Table2[NewPointsHome],Table2[GameDate], "&lt;=" &amp; $A159, Table2[HomeTeam], V$1)</f>
        <v>11</v>
      </c>
      <c r="W159" s="145">
        <f>SUMIFS(Table2[NewPointsAway],Table2[GameDate], "&lt;=" &amp; $A159, Table2[AwayTeam], W$1)+SUMIFS(Table2[NewPointsHome],Table2[GameDate], "&lt;=" &amp; $A159, Table2[HomeTeam], W$1)</f>
        <v>16</v>
      </c>
      <c r="X159" s="145">
        <f>SUMIFS(Table2[NewPointsAway],Table2[GameDate], "&lt;=" &amp; $A159, Table2[AwayTeam], X$1)+SUMIFS(Table2[NewPointsHome],Table2[GameDate], "&lt;=" &amp; $A159, Table2[HomeTeam], X$1)</f>
        <v>13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AB$1)+SUMIFS(Table2[NewPointsHome],Table2[GameDate], "&lt;=" &amp; $A159, Table2[HomeTeam], AB$1)</f>
        <v>11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15</v>
      </c>
      <c r="AF159" s="145">
        <f>SUMIFS(Table2[NewPointsAway],Table2[GameDate], "&lt;=" &amp; $A159, Table2[AwayTeam], AF$1)+SUMIFS(Table2[NewPointsHome],Table2[GameDate], "&lt;=" &amp; $A159, Table2[HomeTeam], AF$1)</f>
        <v>14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11</v>
      </c>
      <c r="C160" s="145">
        <f>SUMIFS(Table2[NewPointsAway],Table2[GameDate], "&lt;=" &amp; $A160, Table2[AwayTeam], C$1)+SUMIFS(Table2[NewPointsHome],Table2[GameDate], "&lt;=" &amp; $A160, Table2[HomeTeam], C$1)</f>
        <v>10</v>
      </c>
      <c r="D160" s="145">
        <f>SUMIFS(Table2[NewPointsAway],Table2[GameDate], "&lt;=" &amp; $A160, Table2[AwayTeam], D$1)+SUMIFS(Table2[NewPointsHome],Table2[GameDate], "&lt;=" &amp; $A160, Table2[HomeTeam], D$1)</f>
        <v>10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12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12</v>
      </c>
      <c r="I160" s="145">
        <f>SUMIFS(Table2[NewPointsAway],Table2[GameDate], "&lt;=" &amp; $A160, Table2[AwayTeam], I$1)+SUMIFS(Table2[NewPointsHome],Table2[GameDate], "&lt;=" &amp; $A160, Table2[HomeTeam], I$1)</f>
        <v>16</v>
      </c>
      <c r="J160" s="145">
        <f>SUMIFS(Table2[NewPointsAway],Table2[GameDate], "&lt;=" &amp; $A160, Table2[AwayTeam], J$1)+SUMIFS(Table2[NewPointsHome],Table2[GameDate], "&lt;=" &amp; $A160, Table2[HomeTeam], J$1)</f>
        <v>13</v>
      </c>
      <c r="K160" s="145">
        <f>SUMIFS(Table2[NewPointsAway],Table2[GameDate], "&lt;=" &amp; $A160, Table2[AwayTeam], K$1)+SUMIFS(Table2[NewPointsHome],Table2[GameDate], "&lt;=" &amp; $A160, Table2[HomeTeam], K$1)</f>
        <v>14</v>
      </c>
      <c r="L160" s="145">
        <f>SUMIFS(Table2[NewPointsAway],Table2[GameDate], "&lt;=" &amp; $A160, Table2[AwayTeam], L$1)+SUMIFS(Table2[NewPointsHome],Table2[GameDate], "&lt;=" &amp; $A160, Table2[HomeTeam], L$1)</f>
        <v>12</v>
      </c>
      <c r="M160" s="145">
        <f>SUMIFS(Table2[NewPointsAway],Table2[GameDate], "&lt;=" &amp; $A160, Table2[AwayTeam], M$1)+SUMIFS(Table2[NewPointsHome],Table2[GameDate], "&lt;=" &amp; $A160, Table2[HomeTeam], M$1)</f>
        <v>11</v>
      </c>
      <c r="N160" s="145">
        <f>SUMIFS(Table2[NewPointsAway],Table2[GameDate], "&lt;=" &amp; $A160, Table2[AwayTeam], N$1)+SUMIFS(Table2[NewPointsHome],Table2[GameDate], "&lt;=" &amp; $A160, Table2[HomeTeam], N$1)</f>
        <v>13</v>
      </c>
      <c r="O160" s="145">
        <f>SUMIFS(Table2[NewPointsAway],Table2[GameDate], "&lt;=" &amp; $A160, Table2[AwayTeam], O$1)+SUMIFS(Table2[NewPointsHome],Table2[GameDate], "&lt;=" &amp; $A160, Table2[HomeTeam], O$1)</f>
        <v>9</v>
      </c>
      <c r="P160" s="145">
        <f>SUMIFS(Table2[NewPointsAway],Table2[GameDate], "&lt;=" &amp; $A160, Table2[AwayTeam], P$1)+SUMIFS(Table2[NewPointsHome],Table2[GameDate], "&lt;=" &amp; $A160, Table2[HomeTeam], P$1)</f>
        <v>16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10</v>
      </c>
      <c r="U160" s="145">
        <f>SUMIFS(Table2[NewPointsAway],Table2[GameDate], "&lt;=" &amp; $A160, Table2[AwayTeam], U$1)+SUMIFS(Table2[NewPointsHome],Table2[GameDate], "&lt;=" &amp; $A160, Table2[HomeTeam], U$1)</f>
        <v>11</v>
      </c>
      <c r="V160" s="145">
        <f>SUMIFS(Table2[NewPointsAway],Table2[GameDate], "&lt;=" &amp; $A160, Table2[AwayTeam], V$1)+SUMIFS(Table2[NewPointsHome],Table2[GameDate], "&lt;=" &amp; $A160, Table2[HomeTeam], V$1)</f>
        <v>11</v>
      </c>
      <c r="W160" s="145">
        <f>SUMIFS(Table2[NewPointsAway],Table2[GameDate], "&lt;=" &amp; $A160, Table2[AwayTeam], W$1)+SUMIFS(Table2[NewPointsHome],Table2[GameDate], "&lt;=" &amp; $A160, Table2[HomeTeam], W$1)</f>
        <v>16</v>
      </c>
      <c r="X160" s="145">
        <f>SUMIFS(Table2[NewPointsAway],Table2[GameDate], "&lt;=" &amp; $A160, Table2[AwayTeam], X$1)+SUMIFS(Table2[NewPointsHome],Table2[GameDate], "&lt;=" &amp; $A160, Table2[HomeTeam], X$1)</f>
        <v>13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10</v>
      </c>
      <c r="AB160" s="145">
        <f>SUMIFS(Table2[NewPointsAway],Table2[GameDate], "&lt;=" &amp; $A160, Table2[AwayTeam], AB$1)+SUMIFS(Table2[NewPointsHome],Table2[GameDate], "&lt;=" &amp; $A160, Table2[HomeTeam], AB$1)</f>
        <v>11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15</v>
      </c>
      <c r="AF160" s="145">
        <f>SUMIFS(Table2[NewPointsAway],Table2[GameDate], "&lt;=" &amp; $A160, Table2[AwayTeam], AF$1)+SUMIFS(Table2[NewPointsHome],Table2[GameDate], "&lt;=" &amp; $A160, Table2[HomeTeam], AF$1)</f>
        <v>14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11</v>
      </c>
      <c r="C161" s="145">
        <f>SUMIFS(Table2[NewPointsAway],Table2[GameDate], "&lt;=" &amp; $A161, Table2[AwayTeam], C$1)+SUMIFS(Table2[NewPointsHome],Table2[GameDate], "&lt;=" &amp; $A161, Table2[HomeTeam], C$1)</f>
        <v>10</v>
      </c>
      <c r="D161" s="145">
        <f>SUMIFS(Table2[NewPointsAway],Table2[GameDate], "&lt;=" &amp; $A161, Table2[AwayTeam], D$1)+SUMIFS(Table2[NewPointsHome],Table2[GameDate], "&lt;=" &amp; $A161, Table2[HomeTeam], D$1)</f>
        <v>10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12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12</v>
      </c>
      <c r="I161" s="145">
        <f>SUMIFS(Table2[NewPointsAway],Table2[GameDate], "&lt;=" &amp; $A161, Table2[AwayTeam], I$1)+SUMIFS(Table2[NewPointsHome],Table2[GameDate], "&lt;=" &amp; $A161, Table2[HomeTeam], I$1)</f>
        <v>16</v>
      </c>
      <c r="J161" s="145">
        <f>SUMIFS(Table2[NewPointsAway],Table2[GameDate], "&lt;=" &amp; $A161, Table2[AwayTeam], J$1)+SUMIFS(Table2[NewPointsHome],Table2[GameDate], "&lt;=" &amp; $A161, Table2[HomeTeam], J$1)</f>
        <v>13</v>
      </c>
      <c r="K161" s="145">
        <f>SUMIFS(Table2[NewPointsAway],Table2[GameDate], "&lt;=" &amp; $A161, Table2[AwayTeam], K$1)+SUMIFS(Table2[NewPointsHome],Table2[GameDate], "&lt;=" &amp; $A161, Table2[HomeTeam], K$1)</f>
        <v>14</v>
      </c>
      <c r="L161" s="145">
        <f>SUMIFS(Table2[NewPointsAway],Table2[GameDate], "&lt;=" &amp; $A161, Table2[AwayTeam], L$1)+SUMIFS(Table2[NewPointsHome],Table2[GameDate], "&lt;=" &amp; $A161, Table2[HomeTeam], L$1)</f>
        <v>12</v>
      </c>
      <c r="M161" s="145">
        <f>SUMIFS(Table2[NewPointsAway],Table2[GameDate], "&lt;=" &amp; $A161, Table2[AwayTeam], M$1)+SUMIFS(Table2[NewPointsHome],Table2[GameDate], "&lt;=" &amp; $A161, Table2[HomeTeam], M$1)</f>
        <v>11</v>
      </c>
      <c r="N161" s="145">
        <f>SUMIFS(Table2[NewPointsAway],Table2[GameDate], "&lt;=" &amp; $A161, Table2[AwayTeam], N$1)+SUMIFS(Table2[NewPointsHome],Table2[GameDate], "&lt;=" &amp; $A161, Table2[HomeTeam], N$1)</f>
        <v>13</v>
      </c>
      <c r="O161" s="145">
        <f>SUMIFS(Table2[NewPointsAway],Table2[GameDate], "&lt;=" &amp; $A161, Table2[AwayTeam], O$1)+SUMIFS(Table2[NewPointsHome],Table2[GameDate], "&lt;=" &amp; $A161, Table2[HomeTeam], O$1)</f>
        <v>9</v>
      </c>
      <c r="P161" s="145">
        <f>SUMIFS(Table2[NewPointsAway],Table2[GameDate], "&lt;=" &amp; $A161, Table2[AwayTeam], P$1)+SUMIFS(Table2[NewPointsHome],Table2[GameDate], "&lt;=" &amp; $A161, Table2[HomeTeam], P$1)</f>
        <v>16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10</v>
      </c>
      <c r="U161" s="145">
        <f>SUMIFS(Table2[NewPointsAway],Table2[GameDate], "&lt;=" &amp; $A161, Table2[AwayTeam], U$1)+SUMIFS(Table2[NewPointsHome],Table2[GameDate], "&lt;=" &amp; $A161, Table2[HomeTeam], U$1)</f>
        <v>11</v>
      </c>
      <c r="V161" s="145">
        <f>SUMIFS(Table2[NewPointsAway],Table2[GameDate], "&lt;=" &amp; $A161, Table2[AwayTeam], V$1)+SUMIFS(Table2[NewPointsHome],Table2[GameDate], "&lt;=" &amp; $A161, Table2[HomeTeam], V$1)</f>
        <v>11</v>
      </c>
      <c r="W161" s="145">
        <f>SUMIFS(Table2[NewPointsAway],Table2[GameDate], "&lt;=" &amp; $A161, Table2[AwayTeam], W$1)+SUMIFS(Table2[NewPointsHome],Table2[GameDate], "&lt;=" &amp; $A161, Table2[HomeTeam], W$1)</f>
        <v>16</v>
      </c>
      <c r="X161" s="145">
        <f>SUMIFS(Table2[NewPointsAway],Table2[GameDate], "&lt;=" &amp; $A161, Table2[AwayTeam], X$1)+SUMIFS(Table2[NewPointsHome],Table2[GameDate], "&lt;=" &amp; $A161, Table2[HomeTeam], X$1)</f>
        <v>13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10</v>
      </c>
      <c r="AB161" s="145">
        <f>SUMIFS(Table2[NewPointsAway],Table2[GameDate], "&lt;=" &amp; $A161, Table2[AwayTeam], AB$1)+SUMIFS(Table2[NewPointsHome],Table2[GameDate], "&lt;=" &amp; $A161, Table2[HomeTeam], AB$1)</f>
        <v>11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15</v>
      </c>
      <c r="AF161" s="145">
        <f>SUMIFS(Table2[NewPointsAway],Table2[GameDate], "&lt;=" &amp; $A161, Table2[AwayTeam], AF$1)+SUMIFS(Table2[NewPointsHome],Table2[GameDate], "&lt;=" &amp; $A161, Table2[HomeTeam], AF$1)</f>
        <v>14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11</v>
      </c>
      <c r="C162" s="145">
        <f>SUMIFS(Table2[NewPointsAway],Table2[GameDate], "&lt;=" &amp; $A162, Table2[AwayTeam], C$1)+SUMIFS(Table2[NewPointsHome],Table2[GameDate], "&lt;=" &amp; $A162, Table2[HomeTeam], C$1)</f>
        <v>10</v>
      </c>
      <c r="D162" s="145">
        <f>SUMIFS(Table2[NewPointsAway],Table2[GameDate], "&lt;=" &amp; $A162, Table2[AwayTeam], D$1)+SUMIFS(Table2[NewPointsHome],Table2[GameDate], "&lt;=" &amp; $A162, Table2[HomeTeam], D$1)</f>
        <v>10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12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12</v>
      </c>
      <c r="I162" s="145">
        <f>SUMIFS(Table2[NewPointsAway],Table2[GameDate], "&lt;=" &amp; $A162, Table2[AwayTeam], I$1)+SUMIFS(Table2[NewPointsHome],Table2[GameDate], "&lt;=" &amp; $A162, Table2[HomeTeam], I$1)</f>
        <v>16</v>
      </c>
      <c r="J162" s="145">
        <f>SUMIFS(Table2[NewPointsAway],Table2[GameDate], "&lt;=" &amp; $A162, Table2[AwayTeam], J$1)+SUMIFS(Table2[NewPointsHome],Table2[GameDate], "&lt;=" &amp; $A162, Table2[HomeTeam], J$1)</f>
        <v>13</v>
      </c>
      <c r="K162" s="145">
        <f>SUMIFS(Table2[NewPointsAway],Table2[GameDate], "&lt;=" &amp; $A162, Table2[AwayTeam], K$1)+SUMIFS(Table2[NewPointsHome],Table2[GameDate], "&lt;=" &amp; $A162, Table2[HomeTeam], K$1)</f>
        <v>14</v>
      </c>
      <c r="L162" s="145">
        <f>SUMIFS(Table2[NewPointsAway],Table2[GameDate], "&lt;=" &amp; $A162, Table2[AwayTeam], L$1)+SUMIFS(Table2[NewPointsHome],Table2[GameDate], "&lt;=" &amp; $A162, Table2[HomeTeam], L$1)</f>
        <v>12</v>
      </c>
      <c r="M162" s="145">
        <f>SUMIFS(Table2[NewPointsAway],Table2[GameDate], "&lt;=" &amp; $A162, Table2[AwayTeam], M$1)+SUMIFS(Table2[NewPointsHome],Table2[GameDate], "&lt;=" &amp; $A162, Table2[HomeTeam], M$1)</f>
        <v>11</v>
      </c>
      <c r="N162" s="145">
        <f>SUMIFS(Table2[NewPointsAway],Table2[GameDate], "&lt;=" &amp; $A162, Table2[AwayTeam], N$1)+SUMIFS(Table2[NewPointsHome],Table2[GameDate], "&lt;=" &amp; $A162, Table2[HomeTeam], N$1)</f>
        <v>13</v>
      </c>
      <c r="O162" s="145">
        <f>SUMIFS(Table2[NewPointsAway],Table2[GameDate], "&lt;=" &amp; $A162, Table2[AwayTeam], O$1)+SUMIFS(Table2[NewPointsHome],Table2[GameDate], "&lt;=" &amp; $A162, Table2[HomeTeam], O$1)</f>
        <v>9</v>
      </c>
      <c r="P162" s="145">
        <f>SUMIFS(Table2[NewPointsAway],Table2[GameDate], "&lt;=" &amp; $A162, Table2[AwayTeam], P$1)+SUMIFS(Table2[NewPointsHome],Table2[GameDate], "&lt;=" &amp; $A162, Table2[HomeTeam], P$1)</f>
        <v>16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10</v>
      </c>
      <c r="U162" s="145">
        <f>SUMIFS(Table2[NewPointsAway],Table2[GameDate], "&lt;=" &amp; $A162, Table2[AwayTeam], U$1)+SUMIFS(Table2[NewPointsHome],Table2[GameDate], "&lt;=" &amp; $A162, Table2[HomeTeam], U$1)</f>
        <v>11</v>
      </c>
      <c r="V162" s="145">
        <f>SUMIFS(Table2[NewPointsAway],Table2[GameDate], "&lt;=" &amp; $A162, Table2[AwayTeam], V$1)+SUMIFS(Table2[NewPointsHome],Table2[GameDate], "&lt;=" &amp; $A162, Table2[HomeTeam], V$1)</f>
        <v>11</v>
      </c>
      <c r="W162" s="145">
        <f>SUMIFS(Table2[NewPointsAway],Table2[GameDate], "&lt;=" &amp; $A162, Table2[AwayTeam], W$1)+SUMIFS(Table2[NewPointsHome],Table2[GameDate], "&lt;=" &amp; $A162, Table2[HomeTeam], W$1)</f>
        <v>16</v>
      </c>
      <c r="X162" s="145">
        <f>SUMIFS(Table2[NewPointsAway],Table2[GameDate], "&lt;=" &amp; $A162, Table2[AwayTeam], X$1)+SUMIFS(Table2[NewPointsHome],Table2[GameDate], "&lt;=" &amp; $A162, Table2[HomeTeam], X$1)</f>
        <v>13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10</v>
      </c>
      <c r="AB162" s="145">
        <f>SUMIFS(Table2[NewPointsAway],Table2[GameDate], "&lt;=" &amp; $A162, Table2[AwayTeam], AB$1)+SUMIFS(Table2[NewPointsHome],Table2[GameDate], "&lt;=" &amp; $A162, Table2[HomeTeam], AB$1)</f>
        <v>11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15</v>
      </c>
      <c r="AF162" s="145">
        <f>SUMIFS(Table2[NewPointsAway],Table2[GameDate], "&lt;=" &amp; $A162, Table2[AwayTeam], AF$1)+SUMIFS(Table2[NewPointsHome],Table2[GameDate], "&lt;=" &amp; $A162, Table2[HomeTeam], AF$1)</f>
        <v>14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11</v>
      </c>
      <c r="C163" s="145">
        <f>SUMIFS(Table2[NewPointsAway],Table2[GameDate], "&lt;=" &amp; $A163, Table2[AwayTeam], C$1)+SUMIFS(Table2[NewPointsHome],Table2[GameDate], "&lt;=" &amp; $A163, Table2[HomeTeam], C$1)</f>
        <v>10</v>
      </c>
      <c r="D163" s="145">
        <f>SUMIFS(Table2[NewPointsAway],Table2[GameDate], "&lt;=" &amp; $A163, Table2[AwayTeam], D$1)+SUMIFS(Table2[NewPointsHome],Table2[GameDate], "&lt;=" &amp; $A163, Table2[HomeTeam], D$1)</f>
        <v>10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12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12</v>
      </c>
      <c r="I163" s="145">
        <f>SUMIFS(Table2[NewPointsAway],Table2[GameDate], "&lt;=" &amp; $A163, Table2[AwayTeam], I$1)+SUMIFS(Table2[NewPointsHome],Table2[GameDate], "&lt;=" &amp; $A163, Table2[HomeTeam], I$1)</f>
        <v>16</v>
      </c>
      <c r="J163" s="145">
        <f>SUMIFS(Table2[NewPointsAway],Table2[GameDate], "&lt;=" &amp; $A163, Table2[AwayTeam], J$1)+SUMIFS(Table2[NewPointsHome],Table2[GameDate], "&lt;=" &amp; $A163, Table2[HomeTeam], J$1)</f>
        <v>13</v>
      </c>
      <c r="K163" s="145">
        <f>SUMIFS(Table2[NewPointsAway],Table2[GameDate], "&lt;=" &amp; $A163, Table2[AwayTeam], K$1)+SUMIFS(Table2[NewPointsHome],Table2[GameDate], "&lt;=" &amp; $A163, Table2[HomeTeam], K$1)</f>
        <v>14</v>
      </c>
      <c r="L163" s="145">
        <f>SUMIFS(Table2[NewPointsAway],Table2[GameDate], "&lt;=" &amp; $A163, Table2[AwayTeam], L$1)+SUMIFS(Table2[NewPointsHome],Table2[GameDate], "&lt;=" &amp; $A163, Table2[HomeTeam], L$1)</f>
        <v>12</v>
      </c>
      <c r="M163" s="145">
        <f>SUMIFS(Table2[NewPointsAway],Table2[GameDate], "&lt;=" &amp; $A163, Table2[AwayTeam], M$1)+SUMIFS(Table2[NewPointsHome],Table2[GameDate], "&lt;=" &amp; $A163, Table2[HomeTeam], M$1)</f>
        <v>11</v>
      </c>
      <c r="N163" s="145">
        <f>SUMIFS(Table2[NewPointsAway],Table2[GameDate], "&lt;=" &amp; $A163, Table2[AwayTeam], N$1)+SUMIFS(Table2[NewPointsHome],Table2[GameDate], "&lt;=" &amp; $A163, Table2[HomeTeam], N$1)</f>
        <v>13</v>
      </c>
      <c r="O163" s="145">
        <f>SUMIFS(Table2[NewPointsAway],Table2[GameDate], "&lt;=" &amp; $A163, Table2[AwayTeam], O$1)+SUMIFS(Table2[NewPointsHome],Table2[GameDate], "&lt;=" &amp; $A163, Table2[HomeTeam], O$1)</f>
        <v>9</v>
      </c>
      <c r="P163" s="145">
        <f>SUMIFS(Table2[NewPointsAway],Table2[GameDate], "&lt;=" &amp; $A163, Table2[AwayTeam], P$1)+SUMIFS(Table2[NewPointsHome],Table2[GameDate], "&lt;=" &amp; $A163, Table2[HomeTeam], P$1)</f>
        <v>16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10</v>
      </c>
      <c r="U163" s="145">
        <f>SUMIFS(Table2[NewPointsAway],Table2[GameDate], "&lt;=" &amp; $A163, Table2[AwayTeam], U$1)+SUMIFS(Table2[NewPointsHome],Table2[GameDate], "&lt;=" &amp; $A163, Table2[HomeTeam], U$1)</f>
        <v>11</v>
      </c>
      <c r="V163" s="145">
        <f>SUMIFS(Table2[NewPointsAway],Table2[GameDate], "&lt;=" &amp; $A163, Table2[AwayTeam], V$1)+SUMIFS(Table2[NewPointsHome],Table2[GameDate], "&lt;=" &amp; $A163, Table2[HomeTeam], V$1)</f>
        <v>11</v>
      </c>
      <c r="W163" s="145">
        <f>SUMIFS(Table2[NewPointsAway],Table2[GameDate], "&lt;=" &amp; $A163, Table2[AwayTeam], W$1)+SUMIFS(Table2[NewPointsHome],Table2[GameDate], "&lt;=" &amp; $A163, Table2[HomeTeam], W$1)</f>
        <v>16</v>
      </c>
      <c r="X163" s="145">
        <f>SUMIFS(Table2[NewPointsAway],Table2[GameDate], "&lt;=" &amp; $A163, Table2[AwayTeam], X$1)+SUMIFS(Table2[NewPointsHome],Table2[GameDate], "&lt;=" &amp; $A163, Table2[HomeTeam], X$1)</f>
        <v>13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10</v>
      </c>
      <c r="AB163" s="145">
        <f>SUMIFS(Table2[NewPointsAway],Table2[GameDate], "&lt;=" &amp; $A163, Table2[AwayTeam], AB$1)+SUMIFS(Table2[NewPointsHome],Table2[GameDate], "&lt;=" &amp; $A163, Table2[HomeTeam], AB$1)</f>
        <v>11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15</v>
      </c>
      <c r="AF163" s="145">
        <f>SUMIFS(Table2[NewPointsAway],Table2[GameDate], "&lt;=" &amp; $A163, Table2[AwayTeam], AF$1)+SUMIFS(Table2[NewPointsHome],Table2[GameDate], "&lt;=" &amp; $A163, Table2[HomeTeam], AF$1)</f>
        <v>14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11</v>
      </c>
      <c r="C164" s="145">
        <f>SUMIFS(Table2[NewPointsAway],Table2[GameDate], "&lt;=" &amp; $A164, Table2[AwayTeam], C$1)+SUMIFS(Table2[NewPointsHome],Table2[GameDate], "&lt;=" &amp; $A164, Table2[HomeTeam], C$1)</f>
        <v>10</v>
      </c>
      <c r="D164" s="145">
        <f>SUMIFS(Table2[NewPointsAway],Table2[GameDate], "&lt;=" &amp; $A164, Table2[AwayTeam], D$1)+SUMIFS(Table2[NewPointsHome],Table2[GameDate], "&lt;=" &amp; $A164, Table2[HomeTeam], D$1)</f>
        <v>10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12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12</v>
      </c>
      <c r="I164" s="145">
        <f>SUMIFS(Table2[NewPointsAway],Table2[GameDate], "&lt;=" &amp; $A164, Table2[AwayTeam], I$1)+SUMIFS(Table2[NewPointsHome],Table2[GameDate], "&lt;=" &amp; $A164, Table2[HomeTeam], I$1)</f>
        <v>16</v>
      </c>
      <c r="J164" s="145">
        <f>SUMIFS(Table2[NewPointsAway],Table2[GameDate], "&lt;=" &amp; $A164, Table2[AwayTeam], J$1)+SUMIFS(Table2[NewPointsHome],Table2[GameDate], "&lt;=" &amp; $A164, Table2[HomeTeam], J$1)</f>
        <v>13</v>
      </c>
      <c r="K164" s="145">
        <f>SUMIFS(Table2[NewPointsAway],Table2[GameDate], "&lt;=" &amp; $A164, Table2[AwayTeam], K$1)+SUMIFS(Table2[NewPointsHome],Table2[GameDate], "&lt;=" &amp; $A164, Table2[HomeTeam], K$1)</f>
        <v>14</v>
      </c>
      <c r="L164" s="145">
        <f>SUMIFS(Table2[NewPointsAway],Table2[GameDate], "&lt;=" &amp; $A164, Table2[AwayTeam], L$1)+SUMIFS(Table2[NewPointsHome],Table2[GameDate], "&lt;=" &amp; $A164, Table2[HomeTeam], L$1)</f>
        <v>12</v>
      </c>
      <c r="M164" s="145">
        <f>SUMIFS(Table2[NewPointsAway],Table2[GameDate], "&lt;=" &amp; $A164, Table2[AwayTeam], M$1)+SUMIFS(Table2[NewPointsHome],Table2[GameDate], "&lt;=" &amp; $A164, Table2[HomeTeam], M$1)</f>
        <v>11</v>
      </c>
      <c r="N164" s="145">
        <f>SUMIFS(Table2[NewPointsAway],Table2[GameDate], "&lt;=" &amp; $A164, Table2[AwayTeam], N$1)+SUMIFS(Table2[NewPointsHome],Table2[GameDate], "&lt;=" &amp; $A164, Table2[HomeTeam], N$1)</f>
        <v>13</v>
      </c>
      <c r="O164" s="145">
        <f>SUMIFS(Table2[NewPointsAway],Table2[GameDate], "&lt;=" &amp; $A164, Table2[AwayTeam], O$1)+SUMIFS(Table2[NewPointsHome],Table2[GameDate], "&lt;=" &amp; $A164, Table2[HomeTeam], O$1)</f>
        <v>9</v>
      </c>
      <c r="P164" s="145">
        <f>SUMIFS(Table2[NewPointsAway],Table2[GameDate], "&lt;=" &amp; $A164, Table2[AwayTeam], P$1)+SUMIFS(Table2[NewPointsHome],Table2[GameDate], "&lt;=" &amp; $A164, Table2[HomeTeam], P$1)</f>
        <v>16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10</v>
      </c>
      <c r="U164" s="145">
        <f>SUMIFS(Table2[NewPointsAway],Table2[GameDate], "&lt;=" &amp; $A164, Table2[AwayTeam], U$1)+SUMIFS(Table2[NewPointsHome],Table2[GameDate], "&lt;=" &amp; $A164, Table2[HomeTeam], U$1)</f>
        <v>11</v>
      </c>
      <c r="V164" s="145">
        <f>SUMIFS(Table2[NewPointsAway],Table2[GameDate], "&lt;=" &amp; $A164, Table2[AwayTeam], V$1)+SUMIFS(Table2[NewPointsHome],Table2[GameDate], "&lt;=" &amp; $A164, Table2[HomeTeam], V$1)</f>
        <v>11</v>
      </c>
      <c r="W164" s="145">
        <f>SUMIFS(Table2[NewPointsAway],Table2[GameDate], "&lt;=" &amp; $A164, Table2[AwayTeam], W$1)+SUMIFS(Table2[NewPointsHome],Table2[GameDate], "&lt;=" &amp; $A164, Table2[HomeTeam], W$1)</f>
        <v>16</v>
      </c>
      <c r="X164" s="145">
        <f>SUMIFS(Table2[NewPointsAway],Table2[GameDate], "&lt;=" &amp; $A164, Table2[AwayTeam], X$1)+SUMIFS(Table2[NewPointsHome],Table2[GameDate], "&lt;=" &amp; $A164, Table2[HomeTeam], X$1)</f>
        <v>13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10</v>
      </c>
      <c r="AB164" s="145">
        <f>SUMIFS(Table2[NewPointsAway],Table2[GameDate], "&lt;=" &amp; $A164, Table2[AwayTeam], AB$1)+SUMIFS(Table2[NewPointsHome],Table2[GameDate], "&lt;=" &amp; $A164, Table2[HomeTeam], AB$1)</f>
        <v>11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15</v>
      </c>
      <c r="AF164" s="145">
        <f>SUMIFS(Table2[NewPointsAway],Table2[GameDate], "&lt;=" &amp; $A164, Table2[AwayTeam], AF$1)+SUMIFS(Table2[NewPointsHome],Table2[GameDate], "&lt;=" &amp; $A164, Table2[HomeTeam], AF$1)</f>
        <v>14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11</v>
      </c>
      <c r="C165" s="145">
        <f>SUMIFS(Table2[NewPointsAway],Table2[GameDate], "&lt;=" &amp; $A165, Table2[AwayTeam], C$1)+SUMIFS(Table2[NewPointsHome],Table2[GameDate], "&lt;=" &amp; $A165, Table2[HomeTeam], C$1)</f>
        <v>10</v>
      </c>
      <c r="D165" s="145">
        <f>SUMIFS(Table2[NewPointsAway],Table2[GameDate], "&lt;=" &amp; $A165, Table2[AwayTeam], D$1)+SUMIFS(Table2[NewPointsHome],Table2[GameDate], "&lt;=" &amp; $A165, Table2[HomeTeam], D$1)</f>
        <v>10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12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12</v>
      </c>
      <c r="I165" s="145">
        <f>SUMIFS(Table2[NewPointsAway],Table2[GameDate], "&lt;=" &amp; $A165, Table2[AwayTeam], I$1)+SUMIFS(Table2[NewPointsHome],Table2[GameDate], "&lt;=" &amp; $A165, Table2[HomeTeam], I$1)</f>
        <v>16</v>
      </c>
      <c r="J165" s="145">
        <f>SUMIFS(Table2[NewPointsAway],Table2[GameDate], "&lt;=" &amp; $A165, Table2[AwayTeam], J$1)+SUMIFS(Table2[NewPointsHome],Table2[GameDate], "&lt;=" &amp; $A165, Table2[HomeTeam], J$1)</f>
        <v>13</v>
      </c>
      <c r="K165" s="145">
        <f>SUMIFS(Table2[NewPointsAway],Table2[GameDate], "&lt;=" &amp; $A165, Table2[AwayTeam], K$1)+SUMIFS(Table2[NewPointsHome],Table2[GameDate], "&lt;=" &amp; $A165, Table2[HomeTeam], K$1)</f>
        <v>14</v>
      </c>
      <c r="L165" s="145">
        <f>SUMIFS(Table2[NewPointsAway],Table2[GameDate], "&lt;=" &amp; $A165, Table2[AwayTeam], L$1)+SUMIFS(Table2[NewPointsHome],Table2[GameDate], "&lt;=" &amp; $A165, Table2[HomeTeam], L$1)</f>
        <v>12</v>
      </c>
      <c r="M165" s="145">
        <f>SUMIFS(Table2[NewPointsAway],Table2[GameDate], "&lt;=" &amp; $A165, Table2[AwayTeam], M$1)+SUMIFS(Table2[NewPointsHome],Table2[GameDate], "&lt;=" &amp; $A165, Table2[HomeTeam], M$1)</f>
        <v>11</v>
      </c>
      <c r="N165" s="145">
        <f>SUMIFS(Table2[NewPointsAway],Table2[GameDate], "&lt;=" &amp; $A165, Table2[AwayTeam], N$1)+SUMIFS(Table2[NewPointsHome],Table2[GameDate], "&lt;=" &amp; $A165, Table2[HomeTeam], N$1)</f>
        <v>13</v>
      </c>
      <c r="O165" s="145">
        <f>SUMIFS(Table2[NewPointsAway],Table2[GameDate], "&lt;=" &amp; $A165, Table2[AwayTeam], O$1)+SUMIFS(Table2[NewPointsHome],Table2[GameDate], "&lt;=" &amp; $A165, Table2[HomeTeam], O$1)</f>
        <v>9</v>
      </c>
      <c r="P165" s="145">
        <f>SUMIFS(Table2[NewPointsAway],Table2[GameDate], "&lt;=" &amp; $A165, Table2[AwayTeam], P$1)+SUMIFS(Table2[NewPointsHome],Table2[GameDate], "&lt;=" &amp; $A165, Table2[HomeTeam], P$1)</f>
        <v>16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10</v>
      </c>
      <c r="U165" s="145">
        <f>SUMIFS(Table2[NewPointsAway],Table2[GameDate], "&lt;=" &amp; $A165, Table2[AwayTeam], U$1)+SUMIFS(Table2[NewPointsHome],Table2[GameDate], "&lt;=" &amp; $A165, Table2[HomeTeam], U$1)</f>
        <v>11</v>
      </c>
      <c r="V165" s="145">
        <f>SUMIFS(Table2[NewPointsAway],Table2[GameDate], "&lt;=" &amp; $A165, Table2[AwayTeam], V$1)+SUMIFS(Table2[NewPointsHome],Table2[GameDate], "&lt;=" &amp; $A165, Table2[HomeTeam], V$1)</f>
        <v>11</v>
      </c>
      <c r="W165" s="145">
        <f>SUMIFS(Table2[NewPointsAway],Table2[GameDate], "&lt;=" &amp; $A165, Table2[AwayTeam], W$1)+SUMIFS(Table2[NewPointsHome],Table2[GameDate], "&lt;=" &amp; $A165, Table2[HomeTeam], W$1)</f>
        <v>16</v>
      </c>
      <c r="X165" s="145">
        <f>SUMIFS(Table2[NewPointsAway],Table2[GameDate], "&lt;=" &amp; $A165, Table2[AwayTeam], X$1)+SUMIFS(Table2[NewPointsHome],Table2[GameDate], "&lt;=" &amp; $A165, Table2[HomeTeam], X$1)</f>
        <v>13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10</v>
      </c>
      <c r="AB165" s="145">
        <f>SUMIFS(Table2[NewPointsAway],Table2[GameDate], "&lt;=" &amp; $A165, Table2[AwayTeam], AB$1)+SUMIFS(Table2[NewPointsHome],Table2[GameDate], "&lt;=" &amp; $A165, Table2[HomeTeam], AB$1)</f>
        <v>11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15</v>
      </c>
      <c r="AF165" s="145">
        <f>SUMIFS(Table2[NewPointsAway],Table2[GameDate], "&lt;=" &amp; $A165, Table2[AwayTeam], AF$1)+SUMIFS(Table2[NewPointsHome],Table2[GameDate], "&lt;=" &amp; $A165, Table2[HomeTeam], AF$1)</f>
        <v>14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11</v>
      </c>
      <c r="C166" s="145">
        <f>SUMIFS(Table2[NewPointsAway],Table2[GameDate], "&lt;=" &amp; $A166, Table2[AwayTeam], C$1)+SUMIFS(Table2[NewPointsHome],Table2[GameDate], "&lt;=" &amp; $A166, Table2[HomeTeam], C$1)</f>
        <v>10</v>
      </c>
      <c r="D166" s="145">
        <f>SUMIFS(Table2[NewPointsAway],Table2[GameDate], "&lt;=" &amp; $A166, Table2[AwayTeam], D$1)+SUMIFS(Table2[NewPointsHome],Table2[GameDate], "&lt;=" &amp; $A166, Table2[HomeTeam], D$1)</f>
        <v>10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12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12</v>
      </c>
      <c r="I166" s="145">
        <f>SUMIFS(Table2[NewPointsAway],Table2[GameDate], "&lt;=" &amp; $A166, Table2[AwayTeam], I$1)+SUMIFS(Table2[NewPointsHome],Table2[GameDate], "&lt;=" &amp; $A166, Table2[HomeTeam], I$1)</f>
        <v>16</v>
      </c>
      <c r="J166" s="145">
        <f>SUMIFS(Table2[NewPointsAway],Table2[GameDate], "&lt;=" &amp; $A166, Table2[AwayTeam], J$1)+SUMIFS(Table2[NewPointsHome],Table2[GameDate], "&lt;=" &amp; $A166, Table2[HomeTeam], J$1)</f>
        <v>13</v>
      </c>
      <c r="K166" s="145">
        <f>SUMIFS(Table2[NewPointsAway],Table2[GameDate], "&lt;=" &amp; $A166, Table2[AwayTeam], K$1)+SUMIFS(Table2[NewPointsHome],Table2[GameDate], "&lt;=" &amp; $A166, Table2[HomeTeam], K$1)</f>
        <v>14</v>
      </c>
      <c r="L166" s="145">
        <f>SUMIFS(Table2[NewPointsAway],Table2[GameDate], "&lt;=" &amp; $A166, Table2[AwayTeam], L$1)+SUMIFS(Table2[NewPointsHome],Table2[GameDate], "&lt;=" &amp; $A166, Table2[HomeTeam], L$1)</f>
        <v>12</v>
      </c>
      <c r="M166" s="145">
        <f>SUMIFS(Table2[NewPointsAway],Table2[GameDate], "&lt;=" &amp; $A166, Table2[AwayTeam], M$1)+SUMIFS(Table2[NewPointsHome],Table2[GameDate], "&lt;=" &amp; $A166, Table2[HomeTeam], M$1)</f>
        <v>11</v>
      </c>
      <c r="N166" s="145">
        <f>SUMIFS(Table2[NewPointsAway],Table2[GameDate], "&lt;=" &amp; $A166, Table2[AwayTeam], N$1)+SUMIFS(Table2[NewPointsHome],Table2[GameDate], "&lt;=" &amp; $A166, Table2[HomeTeam], N$1)</f>
        <v>13</v>
      </c>
      <c r="O166" s="145">
        <f>SUMIFS(Table2[NewPointsAway],Table2[GameDate], "&lt;=" &amp; $A166, Table2[AwayTeam], O$1)+SUMIFS(Table2[NewPointsHome],Table2[GameDate], "&lt;=" &amp; $A166, Table2[HomeTeam], O$1)</f>
        <v>9</v>
      </c>
      <c r="P166" s="145">
        <f>SUMIFS(Table2[NewPointsAway],Table2[GameDate], "&lt;=" &amp; $A166, Table2[AwayTeam], P$1)+SUMIFS(Table2[NewPointsHome],Table2[GameDate], "&lt;=" &amp; $A166, Table2[HomeTeam], P$1)</f>
        <v>16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10</v>
      </c>
      <c r="U166" s="145">
        <f>SUMIFS(Table2[NewPointsAway],Table2[GameDate], "&lt;=" &amp; $A166, Table2[AwayTeam], U$1)+SUMIFS(Table2[NewPointsHome],Table2[GameDate], "&lt;=" &amp; $A166, Table2[HomeTeam], U$1)</f>
        <v>11</v>
      </c>
      <c r="V166" s="145">
        <f>SUMIFS(Table2[NewPointsAway],Table2[GameDate], "&lt;=" &amp; $A166, Table2[AwayTeam], V$1)+SUMIFS(Table2[NewPointsHome],Table2[GameDate], "&lt;=" &amp; $A166, Table2[HomeTeam], V$1)</f>
        <v>11</v>
      </c>
      <c r="W166" s="145">
        <f>SUMIFS(Table2[NewPointsAway],Table2[GameDate], "&lt;=" &amp; $A166, Table2[AwayTeam], W$1)+SUMIFS(Table2[NewPointsHome],Table2[GameDate], "&lt;=" &amp; $A166, Table2[HomeTeam], W$1)</f>
        <v>16</v>
      </c>
      <c r="X166" s="145">
        <f>SUMIFS(Table2[NewPointsAway],Table2[GameDate], "&lt;=" &amp; $A166, Table2[AwayTeam], X$1)+SUMIFS(Table2[NewPointsHome],Table2[GameDate], "&lt;=" &amp; $A166, Table2[HomeTeam], X$1)</f>
        <v>13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10</v>
      </c>
      <c r="AB166" s="145">
        <f>SUMIFS(Table2[NewPointsAway],Table2[GameDate], "&lt;=" &amp; $A166, Table2[AwayTeam], AB$1)+SUMIFS(Table2[NewPointsHome],Table2[GameDate], "&lt;=" &amp; $A166, Table2[HomeTeam], AB$1)</f>
        <v>11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15</v>
      </c>
      <c r="AF166" s="145">
        <f>SUMIFS(Table2[NewPointsAway],Table2[GameDate], "&lt;=" &amp; $A166, Table2[AwayTeam], AF$1)+SUMIFS(Table2[NewPointsHome],Table2[GameDate], "&lt;=" &amp; $A166, Table2[HomeTeam], AF$1)</f>
        <v>14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11</v>
      </c>
      <c r="C167" s="145">
        <f>SUMIFS(Table2[NewPointsAway],Table2[GameDate], "&lt;=" &amp; $A167, Table2[AwayTeam], C$1)+SUMIFS(Table2[NewPointsHome],Table2[GameDate], "&lt;=" &amp; $A167, Table2[HomeTeam], C$1)</f>
        <v>10</v>
      </c>
      <c r="D167" s="145">
        <f>SUMIFS(Table2[NewPointsAway],Table2[GameDate], "&lt;=" &amp; $A167, Table2[AwayTeam], D$1)+SUMIFS(Table2[NewPointsHome],Table2[GameDate], "&lt;=" &amp; $A167, Table2[HomeTeam], D$1)</f>
        <v>10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12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12</v>
      </c>
      <c r="I167" s="145">
        <f>SUMIFS(Table2[NewPointsAway],Table2[GameDate], "&lt;=" &amp; $A167, Table2[AwayTeam], I$1)+SUMIFS(Table2[NewPointsHome],Table2[GameDate], "&lt;=" &amp; $A167, Table2[HomeTeam], I$1)</f>
        <v>16</v>
      </c>
      <c r="J167" s="145">
        <f>SUMIFS(Table2[NewPointsAway],Table2[GameDate], "&lt;=" &amp; $A167, Table2[AwayTeam], J$1)+SUMIFS(Table2[NewPointsHome],Table2[GameDate], "&lt;=" &amp; $A167, Table2[HomeTeam], J$1)</f>
        <v>13</v>
      </c>
      <c r="K167" s="145">
        <f>SUMIFS(Table2[NewPointsAway],Table2[GameDate], "&lt;=" &amp; $A167, Table2[AwayTeam], K$1)+SUMIFS(Table2[NewPointsHome],Table2[GameDate], "&lt;=" &amp; $A167, Table2[HomeTeam], K$1)</f>
        <v>14</v>
      </c>
      <c r="L167" s="145">
        <f>SUMIFS(Table2[NewPointsAway],Table2[GameDate], "&lt;=" &amp; $A167, Table2[AwayTeam], L$1)+SUMIFS(Table2[NewPointsHome],Table2[GameDate], "&lt;=" &amp; $A167, Table2[HomeTeam], L$1)</f>
        <v>12</v>
      </c>
      <c r="M167" s="145">
        <f>SUMIFS(Table2[NewPointsAway],Table2[GameDate], "&lt;=" &amp; $A167, Table2[AwayTeam], M$1)+SUMIFS(Table2[NewPointsHome],Table2[GameDate], "&lt;=" &amp; $A167, Table2[HomeTeam], M$1)</f>
        <v>11</v>
      </c>
      <c r="N167" s="145">
        <f>SUMIFS(Table2[NewPointsAway],Table2[GameDate], "&lt;=" &amp; $A167, Table2[AwayTeam], N$1)+SUMIFS(Table2[NewPointsHome],Table2[GameDate], "&lt;=" &amp; $A167, Table2[HomeTeam], N$1)</f>
        <v>13</v>
      </c>
      <c r="O167" s="145">
        <f>SUMIFS(Table2[NewPointsAway],Table2[GameDate], "&lt;=" &amp; $A167, Table2[AwayTeam], O$1)+SUMIFS(Table2[NewPointsHome],Table2[GameDate], "&lt;=" &amp; $A167, Table2[HomeTeam], O$1)</f>
        <v>9</v>
      </c>
      <c r="P167" s="145">
        <f>SUMIFS(Table2[NewPointsAway],Table2[GameDate], "&lt;=" &amp; $A167, Table2[AwayTeam], P$1)+SUMIFS(Table2[NewPointsHome],Table2[GameDate], "&lt;=" &amp; $A167, Table2[HomeTeam], P$1)</f>
        <v>16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10</v>
      </c>
      <c r="U167" s="145">
        <f>SUMIFS(Table2[NewPointsAway],Table2[GameDate], "&lt;=" &amp; $A167, Table2[AwayTeam], U$1)+SUMIFS(Table2[NewPointsHome],Table2[GameDate], "&lt;=" &amp; $A167, Table2[HomeTeam], U$1)</f>
        <v>11</v>
      </c>
      <c r="V167" s="145">
        <f>SUMIFS(Table2[NewPointsAway],Table2[GameDate], "&lt;=" &amp; $A167, Table2[AwayTeam], V$1)+SUMIFS(Table2[NewPointsHome],Table2[GameDate], "&lt;=" &amp; $A167, Table2[HomeTeam], V$1)</f>
        <v>11</v>
      </c>
      <c r="W167" s="145">
        <f>SUMIFS(Table2[NewPointsAway],Table2[GameDate], "&lt;=" &amp; $A167, Table2[AwayTeam], W$1)+SUMIFS(Table2[NewPointsHome],Table2[GameDate], "&lt;=" &amp; $A167, Table2[HomeTeam], W$1)</f>
        <v>16</v>
      </c>
      <c r="X167" s="145">
        <f>SUMIFS(Table2[NewPointsAway],Table2[GameDate], "&lt;=" &amp; $A167, Table2[AwayTeam], X$1)+SUMIFS(Table2[NewPointsHome],Table2[GameDate], "&lt;=" &amp; $A167, Table2[HomeTeam], X$1)</f>
        <v>13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10</v>
      </c>
      <c r="AB167" s="145">
        <f>SUMIFS(Table2[NewPointsAway],Table2[GameDate], "&lt;=" &amp; $A167, Table2[AwayTeam], AB$1)+SUMIFS(Table2[NewPointsHome],Table2[GameDate], "&lt;=" &amp; $A167, Table2[HomeTeam], AB$1)</f>
        <v>11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15</v>
      </c>
      <c r="AF167" s="145">
        <f>SUMIFS(Table2[NewPointsAway],Table2[GameDate], "&lt;=" &amp; $A167, Table2[AwayTeam], AF$1)+SUMIFS(Table2[NewPointsHome],Table2[GameDate], "&lt;=" &amp; $A167, Table2[HomeTeam], AF$1)</f>
        <v>14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11</v>
      </c>
      <c r="C168" s="145">
        <f>SUMIFS(Table2[NewPointsAway],Table2[GameDate], "&lt;=" &amp; $A168, Table2[AwayTeam], C$1)+SUMIFS(Table2[NewPointsHome],Table2[GameDate], "&lt;=" &amp; $A168, Table2[HomeTeam], C$1)</f>
        <v>10</v>
      </c>
      <c r="D168" s="145">
        <f>SUMIFS(Table2[NewPointsAway],Table2[GameDate], "&lt;=" &amp; $A168, Table2[AwayTeam], D$1)+SUMIFS(Table2[NewPointsHome],Table2[GameDate], "&lt;=" &amp; $A168, Table2[HomeTeam], D$1)</f>
        <v>10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12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12</v>
      </c>
      <c r="I168" s="145">
        <f>SUMIFS(Table2[NewPointsAway],Table2[GameDate], "&lt;=" &amp; $A168, Table2[AwayTeam], I$1)+SUMIFS(Table2[NewPointsHome],Table2[GameDate], "&lt;=" &amp; $A168, Table2[HomeTeam], I$1)</f>
        <v>16</v>
      </c>
      <c r="J168" s="145">
        <f>SUMIFS(Table2[NewPointsAway],Table2[GameDate], "&lt;=" &amp; $A168, Table2[AwayTeam], J$1)+SUMIFS(Table2[NewPointsHome],Table2[GameDate], "&lt;=" &amp; $A168, Table2[HomeTeam], J$1)</f>
        <v>13</v>
      </c>
      <c r="K168" s="145">
        <f>SUMIFS(Table2[NewPointsAway],Table2[GameDate], "&lt;=" &amp; $A168, Table2[AwayTeam], K$1)+SUMIFS(Table2[NewPointsHome],Table2[GameDate], "&lt;=" &amp; $A168, Table2[HomeTeam], K$1)</f>
        <v>14</v>
      </c>
      <c r="L168" s="145">
        <f>SUMIFS(Table2[NewPointsAway],Table2[GameDate], "&lt;=" &amp; $A168, Table2[AwayTeam], L$1)+SUMIFS(Table2[NewPointsHome],Table2[GameDate], "&lt;=" &amp; $A168, Table2[HomeTeam], L$1)</f>
        <v>12</v>
      </c>
      <c r="M168" s="145">
        <f>SUMIFS(Table2[NewPointsAway],Table2[GameDate], "&lt;=" &amp; $A168, Table2[AwayTeam], M$1)+SUMIFS(Table2[NewPointsHome],Table2[GameDate], "&lt;=" &amp; $A168, Table2[HomeTeam], M$1)</f>
        <v>11</v>
      </c>
      <c r="N168" s="145">
        <f>SUMIFS(Table2[NewPointsAway],Table2[GameDate], "&lt;=" &amp; $A168, Table2[AwayTeam], N$1)+SUMIFS(Table2[NewPointsHome],Table2[GameDate], "&lt;=" &amp; $A168, Table2[HomeTeam], N$1)</f>
        <v>13</v>
      </c>
      <c r="O168" s="145">
        <f>SUMIFS(Table2[NewPointsAway],Table2[GameDate], "&lt;=" &amp; $A168, Table2[AwayTeam], O$1)+SUMIFS(Table2[NewPointsHome],Table2[GameDate], "&lt;=" &amp; $A168, Table2[HomeTeam], O$1)</f>
        <v>9</v>
      </c>
      <c r="P168" s="145">
        <f>SUMIFS(Table2[NewPointsAway],Table2[GameDate], "&lt;=" &amp; $A168, Table2[AwayTeam], P$1)+SUMIFS(Table2[NewPointsHome],Table2[GameDate], "&lt;=" &amp; $A168, Table2[HomeTeam], P$1)</f>
        <v>16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10</v>
      </c>
      <c r="U168" s="145">
        <f>SUMIFS(Table2[NewPointsAway],Table2[GameDate], "&lt;=" &amp; $A168, Table2[AwayTeam], U$1)+SUMIFS(Table2[NewPointsHome],Table2[GameDate], "&lt;=" &amp; $A168, Table2[HomeTeam], U$1)</f>
        <v>11</v>
      </c>
      <c r="V168" s="145">
        <f>SUMIFS(Table2[NewPointsAway],Table2[GameDate], "&lt;=" &amp; $A168, Table2[AwayTeam], V$1)+SUMIFS(Table2[NewPointsHome],Table2[GameDate], "&lt;=" &amp; $A168, Table2[HomeTeam], V$1)</f>
        <v>11</v>
      </c>
      <c r="W168" s="145">
        <f>SUMIFS(Table2[NewPointsAway],Table2[GameDate], "&lt;=" &amp; $A168, Table2[AwayTeam], W$1)+SUMIFS(Table2[NewPointsHome],Table2[GameDate], "&lt;=" &amp; $A168, Table2[HomeTeam], W$1)</f>
        <v>16</v>
      </c>
      <c r="X168" s="145">
        <f>SUMIFS(Table2[NewPointsAway],Table2[GameDate], "&lt;=" &amp; $A168, Table2[AwayTeam], X$1)+SUMIFS(Table2[NewPointsHome],Table2[GameDate], "&lt;=" &amp; $A168, Table2[HomeTeam], X$1)</f>
        <v>13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10</v>
      </c>
      <c r="AB168" s="145">
        <f>SUMIFS(Table2[NewPointsAway],Table2[GameDate], "&lt;=" &amp; $A168, Table2[AwayTeam], AB$1)+SUMIFS(Table2[NewPointsHome],Table2[GameDate], "&lt;=" &amp; $A168, Table2[HomeTeam], AB$1)</f>
        <v>11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15</v>
      </c>
      <c r="AF168" s="145">
        <f>SUMIFS(Table2[NewPointsAway],Table2[GameDate], "&lt;=" &amp; $A168, Table2[AwayTeam], AF$1)+SUMIFS(Table2[NewPointsHome],Table2[GameDate], "&lt;=" &amp; $A168, Table2[HomeTeam], AF$1)</f>
        <v>14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11</v>
      </c>
      <c r="C169" s="145">
        <f>SUMIFS(Table2[NewPointsAway],Table2[GameDate], "&lt;=" &amp; $A169, Table2[AwayTeam], C$1)+SUMIFS(Table2[NewPointsHome],Table2[GameDate], "&lt;=" &amp; $A169, Table2[HomeTeam], C$1)</f>
        <v>10</v>
      </c>
      <c r="D169" s="145">
        <f>SUMIFS(Table2[NewPointsAway],Table2[GameDate], "&lt;=" &amp; $A169, Table2[AwayTeam], D$1)+SUMIFS(Table2[NewPointsHome],Table2[GameDate], "&lt;=" &amp; $A169, Table2[HomeTeam], D$1)</f>
        <v>10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12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12</v>
      </c>
      <c r="I169" s="145">
        <f>SUMIFS(Table2[NewPointsAway],Table2[GameDate], "&lt;=" &amp; $A169, Table2[AwayTeam], I$1)+SUMIFS(Table2[NewPointsHome],Table2[GameDate], "&lt;=" &amp; $A169, Table2[HomeTeam], I$1)</f>
        <v>16</v>
      </c>
      <c r="J169" s="145">
        <f>SUMIFS(Table2[NewPointsAway],Table2[GameDate], "&lt;=" &amp; $A169, Table2[AwayTeam], J$1)+SUMIFS(Table2[NewPointsHome],Table2[GameDate], "&lt;=" &amp; $A169, Table2[HomeTeam], J$1)</f>
        <v>13</v>
      </c>
      <c r="K169" s="145">
        <f>SUMIFS(Table2[NewPointsAway],Table2[GameDate], "&lt;=" &amp; $A169, Table2[AwayTeam], K$1)+SUMIFS(Table2[NewPointsHome],Table2[GameDate], "&lt;=" &amp; $A169, Table2[HomeTeam], K$1)</f>
        <v>14</v>
      </c>
      <c r="L169" s="145">
        <f>SUMIFS(Table2[NewPointsAway],Table2[GameDate], "&lt;=" &amp; $A169, Table2[AwayTeam], L$1)+SUMIFS(Table2[NewPointsHome],Table2[GameDate], "&lt;=" &amp; $A169, Table2[HomeTeam], L$1)</f>
        <v>12</v>
      </c>
      <c r="M169" s="145">
        <f>SUMIFS(Table2[NewPointsAway],Table2[GameDate], "&lt;=" &amp; $A169, Table2[AwayTeam], M$1)+SUMIFS(Table2[NewPointsHome],Table2[GameDate], "&lt;=" &amp; $A169, Table2[HomeTeam], M$1)</f>
        <v>11</v>
      </c>
      <c r="N169" s="145">
        <f>SUMIFS(Table2[NewPointsAway],Table2[GameDate], "&lt;=" &amp; $A169, Table2[AwayTeam], N$1)+SUMIFS(Table2[NewPointsHome],Table2[GameDate], "&lt;=" &amp; $A169, Table2[HomeTeam], N$1)</f>
        <v>13</v>
      </c>
      <c r="O169" s="145">
        <f>SUMIFS(Table2[NewPointsAway],Table2[GameDate], "&lt;=" &amp; $A169, Table2[AwayTeam], O$1)+SUMIFS(Table2[NewPointsHome],Table2[GameDate], "&lt;=" &amp; $A169, Table2[HomeTeam], O$1)</f>
        <v>9</v>
      </c>
      <c r="P169" s="145">
        <f>SUMIFS(Table2[NewPointsAway],Table2[GameDate], "&lt;=" &amp; $A169, Table2[AwayTeam], P$1)+SUMIFS(Table2[NewPointsHome],Table2[GameDate], "&lt;=" &amp; $A169, Table2[HomeTeam], P$1)</f>
        <v>16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10</v>
      </c>
      <c r="U169" s="145">
        <f>SUMIFS(Table2[NewPointsAway],Table2[GameDate], "&lt;=" &amp; $A169, Table2[AwayTeam], U$1)+SUMIFS(Table2[NewPointsHome],Table2[GameDate], "&lt;=" &amp; $A169, Table2[HomeTeam], U$1)</f>
        <v>11</v>
      </c>
      <c r="V169" s="145">
        <f>SUMIFS(Table2[NewPointsAway],Table2[GameDate], "&lt;=" &amp; $A169, Table2[AwayTeam], V$1)+SUMIFS(Table2[NewPointsHome],Table2[GameDate], "&lt;=" &amp; $A169, Table2[HomeTeam], V$1)</f>
        <v>11</v>
      </c>
      <c r="W169" s="145">
        <f>SUMIFS(Table2[NewPointsAway],Table2[GameDate], "&lt;=" &amp; $A169, Table2[AwayTeam], W$1)+SUMIFS(Table2[NewPointsHome],Table2[GameDate], "&lt;=" &amp; $A169, Table2[HomeTeam], W$1)</f>
        <v>16</v>
      </c>
      <c r="X169" s="145">
        <f>SUMIFS(Table2[NewPointsAway],Table2[GameDate], "&lt;=" &amp; $A169, Table2[AwayTeam], X$1)+SUMIFS(Table2[NewPointsHome],Table2[GameDate], "&lt;=" &amp; $A169, Table2[HomeTeam], X$1)</f>
        <v>13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10</v>
      </c>
      <c r="AB169" s="145">
        <f>SUMIFS(Table2[NewPointsAway],Table2[GameDate], "&lt;=" &amp; $A169, Table2[AwayTeam], AB$1)+SUMIFS(Table2[NewPointsHome],Table2[GameDate], "&lt;=" &amp; $A169, Table2[HomeTeam], AB$1)</f>
        <v>11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15</v>
      </c>
      <c r="AF169" s="145">
        <f>SUMIFS(Table2[NewPointsAway],Table2[GameDate], "&lt;=" &amp; $A169, Table2[AwayTeam], AF$1)+SUMIFS(Table2[NewPointsHome],Table2[GameDate], "&lt;=" &amp; $A169, Table2[HomeTeam], AF$1)</f>
        <v>14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11</v>
      </c>
      <c r="C170" s="145">
        <f>SUMIFS(Table2[NewPointsAway],Table2[GameDate], "&lt;=" &amp; $A170, Table2[AwayTeam], C$1)+SUMIFS(Table2[NewPointsHome],Table2[GameDate], "&lt;=" &amp; $A170, Table2[HomeTeam], C$1)</f>
        <v>10</v>
      </c>
      <c r="D170" s="145">
        <f>SUMIFS(Table2[NewPointsAway],Table2[GameDate], "&lt;=" &amp; $A170, Table2[AwayTeam], D$1)+SUMIFS(Table2[NewPointsHome],Table2[GameDate], "&lt;=" &amp; $A170, Table2[HomeTeam], D$1)</f>
        <v>10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12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12</v>
      </c>
      <c r="I170" s="145">
        <f>SUMIFS(Table2[NewPointsAway],Table2[GameDate], "&lt;=" &amp; $A170, Table2[AwayTeam], I$1)+SUMIFS(Table2[NewPointsHome],Table2[GameDate], "&lt;=" &amp; $A170, Table2[HomeTeam], I$1)</f>
        <v>16</v>
      </c>
      <c r="J170" s="145">
        <f>SUMIFS(Table2[NewPointsAway],Table2[GameDate], "&lt;=" &amp; $A170, Table2[AwayTeam], J$1)+SUMIFS(Table2[NewPointsHome],Table2[GameDate], "&lt;=" &amp; $A170, Table2[HomeTeam], J$1)</f>
        <v>13</v>
      </c>
      <c r="K170" s="145">
        <f>SUMIFS(Table2[NewPointsAway],Table2[GameDate], "&lt;=" &amp; $A170, Table2[AwayTeam], K$1)+SUMIFS(Table2[NewPointsHome],Table2[GameDate], "&lt;=" &amp; $A170, Table2[HomeTeam], K$1)</f>
        <v>14</v>
      </c>
      <c r="L170" s="145">
        <f>SUMIFS(Table2[NewPointsAway],Table2[GameDate], "&lt;=" &amp; $A170, Table2[AwayTeam], L$1)+SUMIFS(Table2[NewPointsHome],Table2[GameDate], "&lt;=" &amp; $A170, Table2[HomeTeam], L$1)</f>
        <v>12</v>
      </c>
      <c r="M170" s="145">
        <f>SUMIFS(Table2[NewPointsAway],Table2[GameDate], "&lt;=" &amp; $A170, Table2[AwayTeam], M$1)+SUMIFS(Table2[NewPointsHome],Table2[GameDate], "&lt;=" &amp; $A170, Table2[HomeTeam], M$1)</f>
        <v>11</v>
      </c>
      <c r="N170" s="145">
        <f>SUMIFS(Table2[NewPointsAway],Table2[GameDate], "&lt;=" &amp; $A170, Table2[AwayTeam], N$1)+SUMIFS(Table2[NewPointsHome],Table2[GameDate], "&lt;=" &amp; $A170, Table2[HomeTeam], N$1)</f>
        <v>13</v>
      </c>
      <c r="O170" s="145">
        <f>SUMIFS(Table2[NewPointsAway],Table2[GameDate], "&lt;=" &amp; $A170, Table2[AwayTeam], O$1)+SUMIFS(Table2[NewPointsHome],Table2[GameDate], "&lt;=" &amp; $A170, Table2[HomeTeam], O$1)</f>
        <v>9</v>
      </c>
      <c r="P170" s="145">
        <f>SUMIFS(Table2[NewPointsAway],Table2[GameDate], "&lt;=" &amp; $A170, Table2[AwayTeam], P$1)+SUMIFS(Table2[NewPointsHome],Table2[GameDate], "&lt;=" &amp; $A170, Table2[HomeTeam], P$1)</f>
        <v>16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10</v>
      </c>
      <c r="U170" s="145">
        <f>SUMIFS(Table2[NewPointsAway],Table2[GameDate], "&lt;=" &amp; $A170, Table2[AwayTeam], U$1)+SUMIFS(Table2[NewPointsHome],Table2[GameDate], "&lt;=" &amp; $A170, Table2[HomeTeam], U$1)</f>
        <v>11</v>
      </c>
      <c r="V170" s="145">
        <f>SUMIFS(Table2[NewPointsAway],Table2[GameDate], "&lt;=" &amp; $A170, Table2[AwayTeam], V$1)+SUMIFS(Table2[NewPointsHome],Table2[GameDate], "&lt;=" &amp; $A170, Table2[HomeTeam], V$1)</f>
        <v>11</v>
      </c>
      <c r="W170" s="145">
        <f>SUMIFS(Table2[NewPointsAway],Table2[GameDate], "&lt;=" &amp; $A170, Table2[AwayTeam], W$1)+SUMIFS(Table2[NewPointsHome],Table2[GameDate], "&lt;=" &amp; $A170, Table2[HomeTeam], W$1)</f>
        <v>16</v>
      </c>
      <c r="X170" s="145">
        <f>SUMIFS(Table2[NewPointsAway],Table2[GameDate], "&lt;=" &amp; $A170, Table2[AwayTeam], X$1)+SUMIFS(Table2[NewPointsHome],Table2[GameDate], "&lt;=" &amp; $A170, Table2[HomeTeam], X$1)</f>
        <v>13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10</v>
      </c>
      <c r="AB170" s="145">
        <f>SUMIFS(Table2[NewPointsAway],Table2[GameDate], "&lt;=" &amp; $A170, Table2[AwayTeam], AB$1)+SUMIFS(Table2[NewPointsHome],Table2[GameDate], "&lt;=" &amp; $A170, Table2[HomeTeam], AB$1)</f>
        <v>11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15</v>
      </c>
      <c r="AF170" s="145">
        <f>SUMIFS(Table2[NewPointsAway],Table2[GameDate], "&lt;=" &amp; $A170, Table2[AwayTeam], AF$1)+SUMIFS(Table2[NewPointsHome],Table2[GameDate], "&lt;=" &amp; $A170, Table2[HomeTeam], AF$1)</f>
        <v>14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11</v>
      </c>
      <c r="C171" s="145">
        <f>SUMIFS(Table2[NewPointsAway],Table2[GameDate], "&lt;=" &amp; $A171, Table2[AwayTeam], C$1)+SUMIFS(Table2[NewPointsHome],Table2[GameDate], "&lt;=" &amp; $A171, Table2[HomeTeam], C$1)</f>
        <v>10</v>
      </c>
      <c r="D171" s="145">
        <f>SUMIFS(Table2[NewPointsAway],Table2[GameDate], "&lt;=" &amp; $A171, Table2[AwayTeam], D$1)+SUMIFS(Table2[NewPointsHome],Table2[GameDate], "&lt;=" &amp; $A171, Table2[HomeTeam], D$1)</f>
        <v>10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12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12</v>
      </c>
      <c r="I171" s="145">
        <f>SUMIFS(Table2[NewPointsAway],Table2[GameDate], "&lt;=" &amp; $A171, Table2[AwayTeam], I$1)+SUMIFS(Table2[NewPointsHome],Table2[GameDate], "&lt;=" &amp; $A171, Table2[HomeTeam], I$1)</f>
        <v>16</v>
      </c>
      <c r="J171" s="145">
        <f>SUMIFS(Table2[NewPointsAway],Table2[GameDate], "&lt;=" &amp; $A171, Table2[AwayTeam], J$1)+SUMIFS(Table2[NewPointsHome],Table2[GameDate], "&lt;=" &amp; $A171, Table2[HomeTeam], J$1)</f>
        <v>13</v>
      </c>
      <c r="K171" s="145">
        <f>SUMIFS(Table2[NewPointsAway],Table2[GameDate], "&lt;=" &amp; $A171, Table2[AwayTeam], K$1)+SUMIFS(Table2[NewPointsHome],Table2[GameDate], "&lt;=" &amp; $A171, Table2[HomeTeam], K$1)</f>
        <v>14</v>
      </c>
      <c r="L171" s="145">
        <f>SUMIFS(Table2[NewPointsAway],Table2[GameDate], "&lt;=" &amp; $A171, Table2[AwayTeam], L$1)+SUMIFS(Table2[NewPointsHome],Table2[GameDate], "&lt;=" &amp; $A171, Table2[HomeTeam], L$1)</f>
        <v>12</v>
      </c>
      <c r="M171" s="145">
        <f>SUMIFS(Table2[NewPointsAway],Table2[GameDate], "&lt;=" &amp; $A171, Table2[AwayTeam], M$1)+SUMIFS(Table2[NewPointsHome],Table2[GameDate], "&lt;=" &amp; $A171, Table2[HomeTeam], M$1)</f>
        <v>11</v>
      </c>
      <c r="N171" s="145">
        <f>SUMIFS(Table2[NewPointsAway],Table2[GameDate], "&lt;=" &amp; $A171, Table2[AwayTeam], N$1)+SUMIFS(Table2[NewPointsHome],Table2[GameDate], "&lt;=" &amp; $A171, Table2[HomeTeam], N$1)</f>
        <v>13</v>
      </c>
      <c r="O171" s="145">
        <f>SUMIFS(Table2[NewPointsAway],Table2[GameDate], "&lt;=" &amp; $A171, Table2[AwayTeam], O$1)+SUMIFS(Table2[NewPointsHome],Table2[GameDate], "&lt;=" &amp; $A171, Table2[HomeTeam], O$1)</f>
        <v>9</v>
      </c>
      <c r="P171" s="145">
        <f>SUMIFS(Table2[NewPointsAway],Table2[GameDate], "&lt;=" &amp; $A171, Table2[AwayTeam], P$1)+SUMIFS(Table2[NewPointsHome],Table2[GameDate], "&lt;=" &amp; $A171, Table2[HomeTeam], P$1)</f>
        <v>16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10</v>
      </c>
      <c r="U171" s="145">
        <f>SUMIFS(Table2[NewPointsAway],Table2[GameDate], "&lt;=" &amp; $A171, Table2[AwayTeam], U$1)+SUMIFS(Table2[NewPointsHome],Table2[GameDate], "&lt;=" &amp; $A171, Table2[HomeTeam], U$1)</f>
        <v>11</v>
      </c>
      <c r="V171" s="145">
        <f>SUMIFS(Table2[NewPointsAway],Table2[GameDate], "&lt;=" &amp; $A171, Table2[AwayTeam], V$1)+SUMIFS(Table2[NewPointsHome],Table2[GameDate], "&lt;=" &amp; $A171, Table2[HomeTeam], V$1)</f>
        <v>11</v>
      </c>
      <c r="W171" s="145">
        <f>SUMIFS(Table2[NewPointsAway],Table2[GameDate], "&lt;=" &amp; $A171, Table2[AwayTeam], W$1)+SUMIFS(Table2[NewPointsHome],Table2[GameDate], "&lt;=" &amp; $A171, Table2[HomeTeam], W$1)</f>
        <v>16</v>
      </c>
      <c r="X171" s="145">
        <f>SUMIFS(Table2[NewPointsAway],Table2[GameDate], "&lt;=" &amp; $A171, Table2[AwayTeam], X$1)+SUMIFS(Table2[NewPointsHome],Table2[GameDate], "&lt;=" &amp; $A171, Table2[HomeTeam], X$1)</f>
        <v>13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10</v>
      </c>
      <c r="AB171" s="145">
        <f>SUMIFS(Table2[NewPointsAway],Table2[GameDate], "&lt;=" &amp; $A171, Table2[AwayTeam], AB$1)+SUMIFS(Table2[NewPointsHome],Table2[GameDate], "&lt;=" &amp; $A171, Table2[HomeTeam], AB$1)</f>
        <v>11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15</v>
      </c>
      <c r="AF171" s="145">
        <f>SUMIFS(Table2[NewPointsAway],Table2[GameDate], "&lt;=" &amp; $A171, Table2[AwayTeam], AF$1)+SUMIFS(Table2[NewPointsHome],Table2[GameDate], "&lt;=" &amp; $A171, Table2[HomeTeam], AF$1)</f>
        <v>14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11</v>
      </c>
      <c r="C172" s="145">
        <f>SUMIFS(Table2[NewPointsAway],Table2[GameDate], "&lt;=" &amp; $A172, Table2[AwayTeam], C$1)+SUMIFS(Table2[NewPointsHome],Table2[GameDate], "&lt;=" &amp; $A172, Table2[HomeTeam], C$1)</f>
        <v>10</v>
      </c>
      <c r="D172" s="145">
        <f>SUMIFS(Table2[NewPointsAway],Table2[GameDate], "&lt;=" &amp; $A172, Table2[AwayTeam], D$1)+SUMIFS(Table2[NewPointsHome],Table2[GameDate], "&lt;=" &amp; $A172, Table2[HomeTeam], D$1)</f>
        <v>10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12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12</v>
      </c>
      <c r="I172" s="145">
        <f>SUMIFS(Table2[NewPointsAway],Table2[GameDate], "&lt;=" &amp; $A172, Table2[AwayTeam], I$1)+SUMIFS(Table2[NewPointsHome],Table2[GameDate], "&lt;=" &amp; $A172, Table2[HomeTeam], I$1)</f>
        <v>16</v>
      </c>
      <c r="J172" s="145">
        <f>SUMIFS(Table2[NewPointsAway],Table2[GameDate], "&lt;=" &amp; $A172, Table2[AwayTeam], J$1)+SUMIFS(Table2[NewPointsHome],Table2[GameDate], "&lt;=" &amp; $A172, Table2[HomeTeam], J$1)</f>
        <v>13</v>
      </c>
      <c r="K172" s="145">
        <f>SUMIFS(Table2[NewPointsAway],Table2[GameDate], "&lt;=" &amp; $A172, Table2[AwayTeam], K$1)+SUMIFS(Table2[NewPointsHome],Table2[GameDate], "&lt;=" &amp; $A172, Table2[HomeTeam], K$1)</f>
        <v>14</v>
      </c>
      <c r="L172" s="145">
        <f>SUMIFS(Table2[NewPointsAway],Table2[GameDate], "&lt;=" &amp; $A172, Table2[AwayTeam], L$1)+SUMIFS(Table2[NewPointsHome],Table2[GameDate], "&lt;=" &amp; $A172, Table2[HomeTeam], L$1)</f>
        <v>12</v>
      </c>
      <c r="M172" s="145">
        <f>SUMIFS(Table2[NewPointsAway],Table2[GameDate], "&lt;=" &amp; $A172, Table2[AwayTeam], M$1)+SUMIFS(Table2[NewPointsHome],Table2[GameDate], "&lt;=" &amp; $A172, Table2[HomeTeam], M$1)</f>
        <v>11</v>
      </c>
      <c r="N172" s="145">
        <f>SUMIFS(Table2[NewPointsAway],Table2[GameDate], "&lt;=" &amp; $A172, Table2[AwayTeam], N$1)+SUMIFS(Table2[NewPointsHome],Table2[GameDate], "&lt;=" &amp; $A172, Table2[HomeTeam], N$1)</f>
        <v>13</v>
      </c>
      <c r="O172" s="145">
        <f>SUMIFS(Table2[NewPointsAway],Table2[GameDate], "&lt;=" &amp; $A172, Table2[AwayTeam], O$1)+SUMIFS(Table2[NewPointsHome],Table2[GameDate], "&lt;=" &amp; $A172, Table2[HomeTeam], O$1)</f>
        <v>9</v>
      </c>
      <c r="P172" s="145">
        <f>SUMIFS(Table2[NewPointsAway],Table2[GameDate], "&lt;=" &amp; $A172, Table2[AwayTeam], P$1)+SUMIFS(Table2[NewPointsHome],Table2[GameDate], "&lt;=" &amp; $A172, Table2[HomeTeam], P$1)</f>
        <v>16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10</v>
      </c>
      <c r="U172" s="145">
        <f>SUMIFS(Table2[NewPointsAway],Table2[GameDate], "&lt;=" &amp; $A172, Table2[AwayTeam], U$1)+SUMIFS(Table2[NewPointsHome],Table2[GameDate], "&lt;=" &amp; $A172, Table2[HomeTeam], U$1)</f>
        <v>11</v>
      </c>
      <c r="V172" s="145">
        <f>SUMIFS(Table2[NewPointsAway],Table2[GameDate], "&lt;=" &amp; $A172, Table2[AwayTeam], V$1)+SUMIFS(Table2[NewPointsHome],Table2[GameDate], "&lt;=" &amp; $A172, Table2[HomeTeam], V$1)</f>
        <v>11</v>
      </c>
      <c r="W172" s="145">
        <f>SUMIFS(Table2[NewPointsAway],Table2[GameDate], "&lt;=" &amp; $A172, Table2[AwayTeam], W$1)+SUMIFS(Table2[NewPointsHome],Table2[GameDate], "&lt;=" &amp; $A172, Table2[HomeTeam], W$1)</f>
        <v>16</v>
      </c>
      <c r="X172" s="145">
        <f>SUMIFS(Table2[NewPointsAway],Table2[GameDate], "&lt;=" &amp; $A172, Table2[AwayTeam], X$1)+SUMIFS(Table2[NewPointsHome],Table2[GameDate], "&lt;=" &amp; $A172, Table2[HomeTeam], X$1)</f>
        <v>13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10</v>
      </c>
      <c r="AB172" s="145">
        <f>SUMIFS(Table2[NewPointsAway],Table2[GameDate], "&lt;=" &amp; $A172, Table2[AwayTeam], AB$1)+SUMIFS(Table2[NewPointsHome],Table2[GameDate], "&lt;=" &amp; $A172, Table2[HomeTeam], AB$1)</f>
        <v>11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15</v>
      </c>
      <c r="AF172" s="145">
        <f>SUMIFS(Table2[NewPointsAway],Table2[GameDate], "&lt;=" &amp; $A172, Table2[AwayTeam], AF$1)+SUMIFS(Table2[NewPointsHome],Table2[GameDate], "&lt;=" &amp; $A172, Table2[HomeTeam], AF$1)</f>
        <v>14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11</v>
      </c>
      <c r="C173" s="145">
        <f>SUMIFS(Table2[NewPointsAway],Table2[GameDate], "&lt;=" &amp; $A173, Table2[AwayTeam], C$1)+SUMIFS(Table2[NewPointsHome],Table2[GameDate], "&lt;=" &amp; $A173, Table2[HomeTeam], C$1)</f>
        <v>10</v>
      </c>
      <c r="D173" s="145">
        <f>SUMIFS(Table2[NewPointsAway],Table2[GameDate], "&lt;=" &amp; $A173, Table2[AwayTeam], D$1)+SUMIFS(Table2[NewPointsHome],Table2[GameDate], "&lt;=" &amp; $A173, Table2[HomeTeam], D$1)</f>
        <v>10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12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12</v>
      </c>
      <c r="I173" s="145">
        <f>SUMIFS(Table2[NewPointsAway],Table2[GameDate], "&lt;=" &amp; $A173, Table2[AwayTeam], I$1)+SUMIFS(Table2[NewPointsHome],Table2[GameDate], "&lt;=" &amp; $A173, Table2[HomeTeam], I$1)</f>
        <v>16</v>
      </c>
      <c r="J173" s="145">
        <f>SUMIFS(Table2[NewPointsAway],Table2[GameDate], "&lt;=" &amp; $A173, Table2[AwayTeam], J$1)+SUMIFS(Table2[NewPointsHome],Table2[GameDate], "&lt;=" &amp; $A173, Table2[HomeTeam], J$1)</f>
        <v>13</v>
      </c>
      <c r="K173" s="145">
        <f>SUMIFS(Table2[NewPointsAway],Table2[GameDate], "&lt;=" &amp; $A173, Table2[AwayTeam], K$1)+SUMIFS(Table2[NewPointsHome],Table2[GameDate], "&lt;=" &amp; $A173, Table2[HomeTeam], K$1)</f>
        <v>14</v>
      </c>
      <c r="L173" s="145">
        <f>SUMIFS(Table2[NewPointsAway],Table2[GameDate], "&lt;=" &amp; $A173, Table2[AwayTeam], L$1)+SUMIFS(Table2[NewPointsHome],Table2[GameDate], "&lt;=" &amp; $A173, Table2[HomeTeam], L$1)</f>
        <v>12</v>
      </c>
      <c r="M173" s="145">
        <f>SUMIFS(Table2[NewPointsAway],Table2[GameDate], "&lt;=" &amp; $A173, Table2[AwayTeam], M$1)+SUMIFS(Table2[NewPointsHome],Table2[GameDate], "&lt;=" &amp; $A173, Table2[HomeTeam], M$1)</f>
        <v>11</v>
      </c>
      <c r="N173" s="145">
        <f>SUMIFS(Table2[NewPointsAway],Table2[GameDate], "&lt;=" &amp; $A173, Table2[AwayTeam], N$1)+SUMIFS(Table2[NewPointsHome],Table2[GameDate], "&lt;=" &amp; $A173, Table2[HomeTeam], N$1)</f>
        <v>13</v>
      </c>
      <c r="O173" s="145">
        <f>SUMIFS(Table2[NewPointsAway],Table2[GameDate], "&lt;=" &amp; $A173, Table2[AwayTeam], O$1)+SUMIFS(Table2[NewPointsHome],Table2[GameDate], "&lt;=" &amp; $A173, Table2[HomeTeam], O$1)</f>
        <v>9</v>
      </c>
      <c r="P173" s="145">
        <f>SUMIFS(Table2[NewPointsAway],Table2[GameDate], "&lt;=" &amp; $A173, Table2[AwayTeam], P$1)+SUMIFS(Table2[NewPointsHome],Table2[GameDate], "&lt;=" &amp; $A173, Table2[HomeTeam], P$1)</f>
        <v>16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10</v>
      </c>
      <c r="U173" s="145">
        <f>SUMIFS(Table2[NewPointsAway],Table2[GameDate], "&lt;=" &amp; $A173, Table2[AwayTeam], U$1)+SUMIFS(Table2[NewPointsHome],Table2[GameDate], "&lt;=" &amp; $A173, Table2[HomeTeam], U$1)</f>
        <v>11</v>
      </c>
      <c r="V173" s="145">
        <f>SUMIFS(Table2[NewPointsAway],Table2[GameDate], "&lt;=" &amp; $A173, Table2[AwayTeam], V$1)+SUMIFS(Table2[NewPointsHome],Table2[GameDate], "&lt;=" &amp; $A173, Table2[HomeTeam], V$1)</f>
        <v>11</v>
      </c>
      <c r="W173" s="145">
        <f>SUMIFS(Table2[NewPointsAway],Table2[GameDate], "&lt;=" &amp; $A173, Table2[AwayTeam], W$1)+SUMIFS(Table2[NewPointsHome],Table2[GameDate], "&lt;=" &amp; $A173, Table2[HomeTeam], W$1)</f>
        <v>16</v>
      </c>
      <c r="X173" s="145">
        <f>SUMIFS(Table2[NewPointsAway],Table2[GameDate], "&lt;=" &amp; $A173, Table2[AwayTeam], X$1)+SUMIFS(Table2[NewPointsHome],Table2[GameDate], "&lt;=" &amp; $A173, Table2[HomeTeam], X$1)</f>
        <v>13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10</v>
      </c>
      <c r="AB173" s="145">
        <f>SUMIFS(Table2[NewPointsAway],Table2[GameDate], "&lt;=" &amp; $A173, Table2[AwayTeam], AB$1)+SUMIFS(Table2[NewPointsHome],Table2[GameDate], "&lt;=" &amp; $A173, Table2[HomeTeam], AB$1)</f>
        <v>11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15</v>
      </c>
      <c r="AF173" s="145">
        <f>SUMIFS(Table2[NewPointsAway],Table2[GameDate], "&lt;=" &amp; $A173, Table2[AwayTeam], AF$1)+SUMIFS(Table2[NewPointsHome],Table2[GameDate], "&lt;=" &amp; $A173, Table2[HomeTeam], AF$1)</f>
        <v>14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11</v>
      </c>
      <c r="C174" s="145">
        <f>SUMIFS(Table2[NewPointsAway],Table2[GameDate], "&lt;=" &amp; $A174, Table2[AwayTeam], C$1)+SUMIFS(Table2[NewPointsHome],Table2[GameDate], "&lt;=" &amp; $A174, Table2[HomeTeam], C$1)</f>
        <v>10</v>
      </c>
      <c r="D174" s="145">
        <f>SUMIFS(Table2[NewPointsAway],Table2[GameDate], "&lt;=" &amp; $A174, Table2[AwayTeam], D$1)+SUMIFS(Table2[NewPointsHome],Table2[GameDate], "&lt;=" &amp; $A174, Table2[HomeTeam], D$1)</f>
        <v>10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12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12</v>
      </c>
      <c r="I174" s="145">
        <f>SUMIFS(Table2[NewPointsAway],Table2[GameDate], "&lt;=" &amp; $A174, Table2[AwayTeam], I$1)+SUMIFS(Table2[NewPointsHome],Table2[GameDate], "&lt;=" &amp; $A174, Table2[HomeTeam], I$1)</f>
        <v>16</v>
      </c>
      <c r="J174" s="145">
        <f>SUMIFS(Table2[NewPointsAway],Table2[GameDate], "&lt;=" &amp; $A174, Table2[AwayTeam], J$1)+SUMIFS(Table2[NewPointsHome],Table2[GameDate], "&lt;=" &amp; $A174, Table2[HomeTeam], J$1)</f>
        <v>13</v>
      </c>
      <c r="K174" s="145">
        <f>SUMIFS(Table2[NewPointsAway],Table2[GameDate], "&lt;=" &amp; $A174, Table2[AwayTeam], K$1)+SUMIFS(Table2[NewPointsHome],Table2[GameDate], "&lt;=" &amp; $A174, Table2[HomeTeam], K$1)</f>
        <v>14</v>
      </c>
      <c r="L174" s="145">
        <f>SUMIFS(Table2[NewPointsAway],Table2[GameDate], "&lt;=" &amp; $A174, Table2[AwayTeam], L$1)+SUMIFS(Table2[NewPointsHome],Table2[GameDate], "&lt;=" &amp; $A174, Table2[HomeTeam], L$1)</f>
        <v>12</v>
      </c>
      <c r="M174" s="145">
        <f>SUMIFS(Table2[NewPointsAway],Table2[GameDate], "&lt;=" &amp; $A174, Table2[AwayTeam], M$1)+SUMIFS(Table2[NewPointsHome],Table2[GameDate], "&lt;=" &amp; $A174, Table2[HomeTeam], M$1)</f>
        <v>11</v>
      </c>
      <c r="N174" s="145">
        <f>SUMIFS(Table2[NewPointsAway],Table2[GameDate], "&lt;=" &amp; $A174, Table2[AwayTeam], N$1)+SUMIFS(Table2[NewPointsHome],Table2[GameDate], "&lt;=" &amp; $A174, Table2[HomeTeam], N$1)</f>
        <v>13</v>
      </c>
      <c r="O174" s="145">
        <f>SUMIFS(Table2[NewPointsAway],Table2[GameDate], "&lt;=" &amp; $A174, Table2[AwayTeam], O$1)+SUMIFS(Table2[NewPointsHome],Table2[GameDate], "&lt;=" &amp; $A174, Table2[HomeTeam], O$1)</f>
        <v>9</v>
      </c>
      <c r="P174" s="145">
        <f>SUMIFS(Table2[NewPointsAway],Table2[GameDate], "&lt;=" &amp; $A174, Table2[AwayTeam], P$1)+SUMIFS(Table2[NewPointsHome],Table2[GameDate], "&lt;=" &amp; $A174, Table2[HomeTeam], P$1)</f>
        <v>16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10</v>
      </c>
      <c r="U174" s="145">
        <f>SUMIFS(Table2[NewPointsAway],Table2[GameDate], "&lt;=" &amp; $A174, Table2[AwayTeam], U$1)+SUMIFS(Table2[NewPointsHome],Table2[GameDate], "&lt;=" &amp; $A174, Table2[HomeTeam], U$1)</f>
        <v>11</v>
      </c>
      <c r="V174" s="145">
        <f>SUMIFS(Table2[NewPointsAway],Table2[GameDate], "&lt;=" &amp; $A174, Table2[AwayTeam], V$1)+SUMIFS(Table2[NewPointsHome],Table2[GameDate], "&lt;=" &amp; $A174, Table2[HomeTeam], V$1)</f>
        <v>11</v>
      </c>
      <c r="W174" s="145">
        <f>SUMIFS(Table2[NewPointsAway],Table2[GameDate], "&lt;=" &amp; $A174, Table2[AwayTeam], W$1)+SUMIFS(Table2[NewPointsHome],Table2[GameDate], "&lt;=" &amp; $A174, Table2[HomeTeam], W$1)</f>
        <v>16</v>
      </c>
      <c r="X174" s="145">
        <f>SUMIFS(Table2[NewPointsAway],Table2[GameDate], "&lt;=" &amp; $A174, Table2[AwayTeam], X$1)+SUMIFS(Table2[NewPointsHome],Table2[GameDate], "&lt;=" &amp; $A174, Table2[HomeTeam], X$1)</f>
        <v>13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10</v>
      </c>
      <c r="AB174" s="145">
        <f>SUMIFS(Table2[NewPointsAway],Table2[GameDate], "&lt;=" &amp; $A174, Table2[AwayTeam], AB$1)+SUMIFS(Table2[NewPointsHome],Table2[GameDate], "&lt;=" &amp; $A174, Table2[HomeTeam], AB$1)</f>
        <v>11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15</v>
      </c>
      <c r="AF174" s="145">
        <f>SUMIFS(Table2[NewPointsAway],Table2[GameDate], "&lt;=" &amp; $A174, Table2[AwayTeam], AF$1)+SUMIFS(Table2[NewPointsHome],Table2[GameDate], "&lt;=" &amp; $A174, Table2[HomeTeam], AF$1)</f>
        <v>14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11</v>
      </c>
      <c r="C175" s="145">
        <f>SUMIFS(Table2[NewPointsAway],Table2[GameDate], "&lt;=" &amp; $A175, Table2[AwayTeam], C$1)+SUMIFS(Table2[NewPointsHome],Table2[GameDate], "&lt;=" &amp; $A175, Table2[HomeTeam], C$1)</f>
        <v>10</v>
      </c>
      <c r="D175" s="145">
        <f>SUMIFS(Table2[NewPointsAway],Table2[GameDate], "&lt;=" &amp; $A175, Table2[AwayTeam], D$1)+SUMIFS(Table2[NewPointsHome],Table2[GameDate], "&lt;=" &amp; $A175, Table2[HomeTeam], D$1)</f>
        <v>10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12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12</v>
      </c>
      <c r="I175" s="145">
        <f>SUMIFS(Table2[NewPointsAway],Table2[GameDate], "&lt;=" &amp; $A175, Table2[AwayTeam], I$1)+SUMIFS(Table2[NewPointsHome],Table2[GameDate], "&lt;=" &amp; $A175, Table2[HomeTeam], I$1)</f>
        <v>16</v>
      </c>
      <c r="J175" s="145">
        <f>SUMIFS(Table2[NewPointsAway],Table2[GameDate], "&lt;=" &amp; $A175, Table2[AwayTeam], J$1)+SUMIFS(Table2[NewPointsHome],Table2[GameDate], "&lt;=" &amp; $A175, Table2[HomeTeam], J$1)</f>
        <v>13</v>
      </c>
      <c r="K175" s="145">
        <f>SUMIFS(Table2[NewPointsAway],Table2[GameDate], "&lt;=" &amp; $A175, Table2[AwayTeam], K$1)+SUMIFS(Table2[NewPointsHome],Table2[GameDate], "&lt;=" &amp; $A175, Table2[HomeTeam], K$1)</f>
        <v>14</v>
      </c>
      <c r="L175" s="145">
        <f>SUMIFS(Table2[NewPointsAway],Table2[GameDate], "&lt;=" &amp; $A175, Table2[AwayTeam], L$1)+SUMIFS(Table2[NewPointsHome],Table2[GameDate], "&lt;=" &amp; $A175, Table2[HomeTeam], L$1)</f>
        <v>12</v>
      </c>
      <c r="M175" s="145">
        <f>SUMIFS(Table2[NewPointsAway],Table2[GameDate], "&lt;=" &amp; $A175, Table2[AwayTeam], M$1)+SUMIFS(Table2[NewPointsHome],Table2[GameDate], "&lt;=" &amp; $A175, Table2[HomeTeam], M$1)</f>
        <v>11</v>
      </c>
      <c r="N175" s="145">
        <f>SUMIFS(Table2[NewPointsAway],Table2[GameDate], "&lt;=" &amp; $A175, Table2[AwayTeam], N$1)+SUMIFS(Table2[NewPointsHome],Table2[GameDate], "&lt;=" &amp; $A175, Table2[HomeTeam], N$1)</f>
        <v>13</v>
      </c>
      <c r="O175" s="145">
        <f>SUMIFS(Table2[NewPointsAway],Table2[GameDate], "&lt;=" &amp; $A175, Table2[AwayTeam], O$1)+SUMIFS(Table2[NewPointsHome],Table2[GameDate], "&lt;=" &amp; $A175, Table2[HomeTeam], O$1)</f>
        <v>9</v>
      </c>
      <c r="P175" s="145">
        <f>SUMIFS(Table2[NewPointsAway],Table2[GameDate], "&lt;=" &amp; $A175, Table2[AwayTeam], P$1)+SUMIFS(Table2[NewPointsHome],Table2[GameDate], "&lt;=" &amp; $A175, Table2[HomeTeam], P$1)</f>
        <v>16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10</v>
      </c>
      <c r="U175" s="145">
        <f>SUMIFS(Table2[NewPointsAway],Table2[GameDate], "&lt;=" &amp; $A175, Table2[AwayTeam], U$1)+SUMIFS(Table2[NewPointsHome],Table2[GameDate], "&lt;=" &amp; $A175, Table2[HomeTeam], U$1)</f>
        <v>11</v>
      </c>
      <c r="V175" s="145">
        <f>SUMIFS(Table2[NewPointsAway],Table2[GameDate], "&lt;=" &amp; $A175, Table2[AwayTeam], V$1)+SUMIFS(Table2[NewPointsHome],Table2[GameDate], "&lt;=" &amp; $A175, Table2[HomeTeam], V$1)</f>
        <v>11</v>
      </c>
      <c r="W175" s="145">
        <f>SUMIFS(Table2[NewPointsAway],Table2[GameDate], "&lt;=" &amp; $A175, Table2[AwayTeam], W$1)+SUMIFS(Table2[NewPointsHome],Table2[GameDate], "&lt;=" &amp; $A175, Table2[HomeTeam], W$1)</f>
        <v>16</v>
      </c>
      <c r="X175" s="145">
        <f>SUMIFS(Table2[NewPointsAway],Table2[GameDate], "&lt;=" &amp; $A175, Table2[AwayTeam], X$1)+SUMIFS(Table2[NewPointsHome],Table2[GameDate], "&lt;=" &amp; $A175, Table2[HomeTeam], X$1)</f>
        <v>13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10</v>
      </c>
      <c r="AB175" s="145">
        <f>SUMIFS(Table2[NewPointsAway],Table2[GameDate], "&lt;=" &amp; $A175, Table2[AwayTeam], AB$1)+SUMIFS(Table2[NewPointsHome],Table2[GameDate], "&lt;=" &amp; $A175, Table2[HomeTeam], AB$1)</f>
        <v>11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15</v>
      </c>
      <c r="AF175" s="145">
        <f>SUMIFS(Table2[NewPointsAway],Table2[GameDate], "&lt;=" &amp; $A175, Table2[AwayTeam], AF$1)+SUMIFS(Table2[NewPointsHome],Table2[GameDate], "&lt;=" &amp; $A175, Table2[HomeTeam], AF$1)</f>
        <v>14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11</v>
      </c>
      <c r="C176" s="145">
        <f>SUMIFS(Table2[NewPointsAway],Table2[GameDate], "&lt;=" &amp; $A176, Table2[AwayTeam], C$1)+SUMIFS(Table2[NewPointsHome],Table2[GameDate], "&lt;=" &amp; $A176, Table2[HomeTeam], C$1)</f>
        <v>10</v>
      </c>
      <c r="D176" s="145">
        <f>SUMIFS(Table2[NewPointsAway],Table2[GameDate], "&lt;=" &amp; $A176, Table2[AwayTeam], D$1)+SUMIFS(Table2[NewPointsHome],Table2[GameDate], "&lt;=" &amp; $A176, Table2[HomeTeam], D$1)</f>
        <v>10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12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12</v>
      </c>
      <c r="I176" s="145">
        <f>SUMIFS(Table2[NewPointsAway],Table2[GameDate], "&lt;=" &amp; $A176, Table2[AwayTeam], I$1)+SUMIFS(Table2[NewPointsHome],Table2[GameDate], "&lt;=" &amp; $A176, Table2[HomeTeam], I$1)</f>
        <v>16</v>
      </c>
      <c r="J176" s="145">
        <f>SUMIFS(Table2[NewPointsAway],Table2[GameDate], "&lt;=" &amp; $A176, Table2[AwayTeam], J$1)+SUMIFS(Table2[NewPointsHome],Table2[GameDate], "&lt;=" &amp; $A176, Table2[HomeTeam], J$1)</f>
        <v>13</v>
      </c>
      <c r="K176" s="145">
        <f>SUMIFS(Table2[NewPointsAway],Table2[GameDate], "&lt;=" &amp; $A176, Table2[AwayTeam], K$1)+SUMIFS(Table2[NewPointsHome],Table2[GameDate], "&lt;=" &amp; $A176, Table2[HomeTeam], K$1)</f>
        <v>14</v>
      </c>
      <c r="L176" s="145">
        <f>SUMIFS(Table2[NewPointsAway],Table2[GameDate], "&lt;=" &amp; $A176, Table2[AwayTeam], L$1)+SUMIFS(Table2[NewPointsHome],Table2[GameDate], "&lt;=" &amp; $A176, Table2[HomeTeam], L$1)</f>
        <v>12</v>
      </c>
      <c r="M176" s="145">
        <f>SUMIFS(Table2[NewPointsAway],Table2[GameDate], "&lt;=" &amp; $A176, Table2[AwayTeam], M$1)+SUMIFS(Table2[NewPointsHome],Table2[GameDate], "&lt;=" &amp; $A176, Table2[HomeTeam], M$1)</f>
        <v>11</v>
      </c>
      <c r="N176" s="145">
        <f>SUMIFS(Table2[NewPointsAway],Table2[GameDate], "&lt;=" &amp; $A176, Table2[AwayTeam], N$1)+SUMIFS(Table2[NewPointsHome],Table2[GameDate], "&lt;=" &amp; $A176, Table2[HomeTeam], N$1)</f>
        <v>13</v>
      </c>
      <c r="O176" s="145">
        <f>SUMIFS(Table2[NewPointsAway],Table2[GameDate], "&lt;=" &amp; $A176, Table2[AwayTeam], O$1)+SUMIFS(Table2[NewPointsHome],Table2[GameDate], "&lt;=" &amp; $A176, Table2[HomeTeam], O$1)</f>
        <v>9</v>
      </c>
      <c r="P176" s="145">
        <f>SUMIFS(Table2[NewPointsAway],Table2[GameDate], "&lt;=" &amp; $A176, Table2[AwayTeam], P$1)+SUMIFS(Table2[NewPointsHome],Table2[GameDate], "&lt;=" &amp; $A176, Table2[HomeTeam], P$1)</f>
        <v>16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10</v>
      </c>
      <c r="U176" s="145">
        <f>SUMIFS(Table2[NewPointsAway],Table2[GameDate], "&lt;=" &amp; $A176, Table2[AwayTeam], U$1)+SUMIFS(Table2[NewPointsHome],Table2[GameDate], "&lt;=" &amp; $A176, Table2[HomeTeam], U$1)</f>
        <v>11</v>
      </c>
      <c r="V176" s="145">
        <f>SUMIFS(Table2[NewPointsAway],Table2[GameDate], "&lt;=" &amp; $A176, Table2[AwayTeam], V$1)+SUMIFS(Table2[NewPointsHome],Table2[GameDate], "&lt;=" &amp; $A176, Table2[HomeTeam], V$1)</f>
        <v>11</v>
      </c>
      <c r="W176" s="145">
        <f>SUMIFS(Table2[NewPointsAway],Table2[GameDate], "&lt;=" &amp; $A176, Table2[AwayTeam], W$1)+SUMIFS(Table2[NewPointsHome],Table2[GameDate], "&lt;=" &amp; $A176, Table2[HomeTeam], W$1)</f>
        <v>16</v>
      </c>
      <c r="X176" s="145">
        <f>SUMIFS(Table2[NewPointsAway],Table2[GameDate], "&lt;=" &amp; $A176, Table2[AwayTeam], X$1)+SUMIFS(Table2[NewPointsHome],Table2[GameDate], "&lt;=" &amp; $A176, Table2[HomeTeam], X$1)</f>
        <v>13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10</v>
      </c>
      <c r="AB176" s="145">
        <f>SUMIFS(Table2[NewPointsAway],Table2[GameDate], "&lt;=" &amp; $A176, Table2[AwayTeam], AB$1)+SUMIFS(Table2[NewPointsHome],Table2[GameDate], "&lt;=" &amp; $A176, Table2[HomeTeam], AB$1)</f>
        <v>11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15</v>
      </c>
      <c r="AF176" s="145">
        <f>SUMIFS(Table2[NewPointsAway],Table2[GameDate], "&lt;=" &amp; $A176, Table2[AwayTeam], AF$1)+SUMIFS(Table2[NewPointsHome],Table2[GameDate], "&lt;=" &amp; $A176, Table2[HomeTeam], AF$1)</f>
        <v>14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11</v>
      </c>
      <c r="C177" s="145">
        <f>SUMIFS(Table2[NewPointsAway],Table2[GameDate], "&lt;=" &amp; $A177, Table2[AwayTeam], C$1)+SUMIFS(Table2[NewPointsHome],Table2[GameDate], "&lt;=" &amp; $A177, Table2[HomeTeam], C$1)</f>
        <v>10</v>
      </c>
      <c r="D177" s="145">
        <f>SUMIFS(Table2[NewPointsAway],Table2[GameDate], "&lt;=" &amp; $A177, Table2[AwayTeam], D$1)+SUMIFS(Table2[NewPointsHome],Table2[GameDate], "&lt;=" &amp; $A177, Table2[HomeTeam], D$1)</f>
        <v>10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12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12</v>
      </c>
      <c r="I177" s="145">
        <f>SUMIFS(Table2[NewPointsAway],Table2[GameDate], "&lt;=" &amp; $A177, Table2[AwayTeam], I$1)+SUMIFS(Table2[NewPointsHome],Table2[GameDate], "&lt;=" &amp; $A177, Table2[HomeTeam], I$1)</f>
        <v>16</v>
      </c>
      <c r="J177" s="145">
        <f>SUMIFS(Table2[NewPointsAway],Table2[GameDate], "&lt;=" &amp; $A177, Table2[AwayTeam], J$1)+SUMIFS(Table2[NewPointsHome],Table2[GameDate], "&lt;=" &amp; $A177, Table2[HomeTeam], J$1)</f>
        <v>13</v>
      </c>
      <c r="K177" s="145">
        <f>SUMIFS(Table2[NewPointsAway],Table2[GameDate], "&lt;=" &amp; $A177, Table2[AwayTeam], K$1)+SUMIFS(Table2[NewPointsHome],Table2[GameDate], "&lt;=" &amp; $A177, Table2[HomeTeam], K$1)</f>
        <v>14</v>
      </c>
      <c r="L177" s="145">
        <f>SUMIFS(Table2[NewPointsAway],Table2[GameDate], "&lt;=" &amp; $A177, Table2[AwayTeam], L$1)+SUMIFS(Table2[NewPointsHome],Table2[GameDate], "&lt;=" &amp; $A177, Table2[HomeTeam], L$1)</f>
        <v>12</v>
      </c>
      <c r="M177" s="145">
        <f>SUMIFS(Table2[NewPointsAway],Table2[GameDate], "&lt;=" &amp; $A177, Table2[AwayTeam], M$1)+SUMIFS(Table2[NewPointsHome],Table2[GameDate], "&lt;=" &amp; $A177, Table2[HomeTeam], M$1)</f>
        <v>11</v>
      </c>
      <c r="N177" s="145">
        <f>SUMIFS(Table2[NewPointsAway],Table2[GameDate], "&lt;=" &amp; $A177, Table2[AwayTeam], N$1)+SUMIFS(Table2[NewPointsHome],Table2[GameDate], "&lt;=" &amp; $A177, Table2[HomeTeam], N$1)</f>
        <v>13</v>
      </c>
      <c r="O177" s="145">
        <f>SUMIFS(Table2[NewPointsAway],Table2[GameDate], "&lt;=" &amp; $A177, Table2[AwayTeam], O$1)+SUMIFS(Table2[NewPointsHome],Table2[GameDate], "&lt;=" &amp; $A177, Table2[HomeTeam], O$1)</f>
        <v>9</v>
      </c>
      <c r="P177" s="145">
        <f>SUMIFS(Table2[NewPointsAway],Table2[GameDate], "&lt;=" &amp; $A177, Table2[AwayTeam], P$1)+SUMIFS(Table2[NewPointsHome],Table2[GameDate], "&lt;=" &amp; $A177, Table2[HomeTeam], P$1)</f>
        <v>16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10</v>
      </c>
      <c r="U177" s="145">
        <f>SUMIFS(Table2[NewPointsAway],Table2[GameDate], "&lt;=" &amp; $A177, Table2[AwayTeam], U$1)+SUMIFS(Table2[NewPointsHome],Table2[GameDate], "&lt;=" &amp; $A177, Table2[HomeTeam], U$1)</f>
        <v>11</v>
      </c>
      <c r="V177" s="145">
        <f>SUMIFS(Table2[NewPointsAway],Table2[GameDate], "&lt;=" &amp; $A177, Table2[AwayTeam], V$1)+SUMIFS(Table2[NewPointsHome],Table2[GameDate], "&lt;=" &amp; $A177, Table2[HomeTeam], V$1)</f>
        <v>11</v>
      </c>
      <c r="W177" s="145">
        <f>SUMIFS(Table2[NewPointsAway],Table2[GameDate], "&lt;=" &amp; $A177, Table2[AwayTeam], W$1)+SUMIFS(Table2[NewPointsHome],Table2[GameDate], "&lt;=" &amp; $A177, Table2[HomeTeam], W$1)</f>
        <v>16</v>
      </c>
      <c r="X177" s="145">
        <f>SUMIFS(Table2[NewPointsAway],Table2[GameDate], "&lt;=" &amp; $A177, Table2[AwayTeam], X$1)+SUMIFS(Table2[NewPointsHome],Table2[GameDate], "&lt;=" &amp; $A177, Table2[HomeTeam], X$1)</f>
        <v>13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10</v>
      </c>
      <c r="AB177" s="145">
        <f>SUMIFS(Table2[NewPointsAway],Table2[GameDate], "&lt;=" &amp; $A177, Table2[AwayTeam], AB$1)+SUMIFS(Table2[NewPointsHome],Table2[GameDate], "&lt;=" &amp; $A177, Table2[HomeTeam], AB$1)</f>
        <v>11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15</v>
      </c>
      <c r="AF177" s="145">
        <f>SUMIFS(Table2[NewPointsAway],Table2[GameDate], "&lt;=" &amp; $A177, Table2[AwayTeam], AF$1)+SUMIFS(Table2[NewPointsHome],Table2[GameDate], "&lt;=" &amp; $A177, Table2[HomeTeam], AF$1)</f>
        <v>14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11</v>
      </c>
      <c r="C178" s="145">
        <f>SUMIFS(Table2[NewPointsAway],Table2[GameDate], "&lt;=" &amp; $A178, Table2[AwayTeam], C$1)+SUMIFS(Table2[NewPointsHome],Table2[GameDate], "&lt;=" &amp; $A178, Table2[HomeTeam], C$1)</f>
        <v>10</v>
      </c>
      <c r="D178" s="145">
        <f>SUMIFS(Table2[NewPointsAway],Table2[GameDate], "&lt;=" &amp; $A178, Table2[AwayTeam], D$1)+SUMIFS(Table2[NewPointsHome],Table2[GameDate], "&lt;=" &amp; $A178, Table2[HomeTeam], D$1)</f>
        <v>10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12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12</v>
      </c>
      <c r="I178" s="145">
        <f>SUMIFS(Table2[NewPointsAway],Table2[GameDate], "&lt;=" &amp; $A178, Table2[AwayTeam], I$1)+SUMIFS(Table2[NewPointsHome],Table2[GameDate], "&lt;=" &amp; $A178, Table2[HomeTeam], I$1)</f>
        <v>16</v>
      </c>
      <c r="J178" s="145">
        <f>SUMIFS(Table2[NewPointsAway],Table2[GameDate], "&lt;=" &amp; $A178, Table2[AwayTeam], J$1)+SUMIFS(Table2[NewPointsHome],Table2[GameDate], "&lt;=" &amp; $A178, Table2[HomeTeam], J$1)</f>
        <v>13</v>
      </c>
      <c r="K178" s="145">
        <f>SUMIFS(Table2[NewPointsAway],Table2[GameDate], "&lt;=" &amp; $A178, Table2[AwayTeam], K$1)+SUMIFS(Table2[NewPointsHome],Table2[GameDate], "&lt;=" &amp; $A178, Table2[HomeTeam], K$1)</f>
        <v>14</v>
      </c>
      <c r="L178" s="145">
        <f>SUMIFS(Table2[NewPointsAway],Table2[GameDate], "&lt;=" &amp; $A178, Table2[AwayTeam], L$1)+SUMIFS(Table2[NewPointsHome],Table2[GameDate], "&lt;=" &amp; $A178, Table2[HomeTeam], L$1)</f>
        <v>12</v>
      </c>
      <c r="M178" s="145">
        <f>SUMIFS(Table2[NewPointsAway],Table2[GameDate], "&lt;=" &amp; $A178, Table2[AwayTeam], M$1)+SUMIFS(Table2[NewPointsHome],Table2[GameDate], "&lt;=" &amp; $A178, Table2[HomeTeam], M$1)</f>
        <v>11</v>
      </c>
      <c r="N178" s="145">
        <f>SUMIFS(Table2[NewPointsAway],Table2[GameDate], "&lt;=" &amp; $A178, Table2[AwayTeam], N$1)+SUMIFS(Table2[NewPointsHome],Table2[GameDate], "&lt;=" &amp; $A178, Table2[HomeTeam], N$1)</f>
        <v>13</v>
      </c>
      <c r="O178" s="145">
        <f>SUMIFS(Table2[NewPointsAway],Table2[GameDate], "&lt;=" &amp; $A178, Table2[AwayTeam], O$1)+SUMIFS(Table2[NewPointsHome],Table2[GameDate], "&lt;=" &amp; $A178, Table2[HomeTeam], O$1)</f>
        <v>9</v>
      </c>
      <c r="P178" s="145">
        <f>SUMIFS(Table2[NewPointsAway],Table2[GameDate], "&lt;=" &amp; $A178, Table2[AwayTeam], P$1)+SUMIFS(Table2[NewPointsHome],Table2[GameDate], "&lt;=" &amp; $A178, Table2[HomeTeam], P$1)</f>
        <v>16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10</v>
      </c>
      <c r="U178" s="145">
        <f>SUMIFS(Table2[NewPointsAway],Table2[GameDate], "&lt;=" &amp; $A178, Table2[AwayTeam], U$1)+SUMIFS(Table2[NewPointsHome],Table2[GameDate], "&lt;=" &amp; $A178, Table2[HomeTeam], U$1)</f>
        <v>11</v>
      </c>
      <c r="V178" s="145">
        <f>SUMIFS(Table2[NewPointsAway],Table2[GameDate], "&lt;=" &amp; $A178, Table2[AwayTeam], V$1)+SUMIFS(Table2[NewPointsHome],Table2[GameDate], "&lt;=" &amp; $A178, Table2[HomeTeam], V$1)</f>
        <v>11</v>
      </c>
      <c r="W178" s="145">
        <f>SUMIFS(Table2[NewPointsAway],Table2[GameDate], "&lt;=" &amp; $A178, Table2[AwayTeam], W$1)+SUMIFS(Table2[NewPointsHome],Table2[GameDate], "&lt;=" &amp; $A178, Table2[HomeTeam], W$1)</f>
        <v>16</v>
      </c>
      <c r="X178" s="145">
        <f>SUMIFS(Table2[NewPointsAway],Table2[GameDate], "&lt;=" &amp; $A178, Table2[AwayTeam], X$1)+SUMIFS(Table2[NewPointsHome],Table2[GameDate], "&lt;=" &amp; $A178, Table2[HomeTeam], X$1)</f>
        <v>13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10</v>
      </c>
      <c r="AB178" s="145">
        <f>SUMIFS(Table2[NewPointsAway],Table2[GameDate], "&lt;=" &amp; $A178, Table2[AwayTeam], AB$1)+SUMIFS(Table2[NewPointsHome],Table2[GameDate], "&lt;=" &amp; $A178, Table2[HomeTeam], AB$1)</f>
        <v>11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15</v>
      </c>
      <c r="AF178" s="145">
        <f>SUMIFS(Table2[NewPointsAway],Table2[GameDate], "&lt;=" &amp; $A178, Table2[AwayTeam], AF$1)+SUMIFS(Table2[NewPointsHome],Table2[GameDate], "&lt;=" &amp; $A178, Table2[HomeTeam], AF$1)</f>
        <v>14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11</v>
      </c>
      <c r="C179" s="145">
        <f>SUMIFS(Table2[NewPointsAway],Table2[GameDate], "&lt;=" &amp; $A179, Table2[AwayTeam], C$1)+SUMIFS(Table2[NewPointsHome],Table2[GameDate], "&lt;=" &amp; $A179, Table2[HomeTeam], C$1)</f>
        <v>10</v>
      </c>
      <c r="D179" s="145">
        <f>SUMIFS(Table2[NewPointsAway],Table2[GameDate], "&lt;=" &amp; $A179, Table2[AwayTeam], D$1)+SUMIFS(Table2[NewPointsHome],Table2[GameDate], "&lt;=" &amp; $A179, Table2[HomeTeam], D$1)</f>
        <v>10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12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12</v>
      </c>
      <c r="I179" s="145">
        <f>SUMIFS(Table2[NewPointsAway],Table2[GameDate], "&lt;=" &amp; $A179, Table2[AwayTeam], I$1)+SUMIFS(Table2[NewPointsHome],Table2[GameDate], "&lt;=" &amp; $A179, Table2[HomeTeam], I$1)</f>
        <v>16</v>
      </c>
      <c r="J179" s="145">
        <f>SUMIFS(Table2[NewPointsAway],Table2[GameDate], "&lt;=" &amp; $A179, Table2[AwayTeam], J$1)+SUMIFS(Table2[NewPointsHome],Table2[GameDate], "&lt;=" &amp; $A179, Table2[HomeTeam], J$1)</f>
        <v>13</v>
      </c>
      <c r="K179" s="145">
        <f>SUMIFS(Table2[NewPointsAway],Table2[GameDate], "&lt;=" &amp; $A179, Table2[AwayTeam], K$1)+SUMIFS(Table2[NewPointsHome],Table2[GameDate], "&lt;=" &amp; $A179, Table2[HomeTeam], K$1)</f>
        <v>14</v>
      </c>
      <c r="L179" s="145">
        <f>SUMIFS(Table2[NewPointsAway],Table2[GameDate], "&lt;=" &amp; $A179, Table2[AwayTeam], L$1)+SUMIFS(Table2[NewPointsHome],Table2[GameDate], "&lt;=" &amp; $A179, Table2[HomeTeam], L$1)</f>
        <v>12</v>
      </c>
      <c r="M179" s="145">
        <f>SUMIFS(Table2[NewPointsAway],Table2[GameDate], "&lt;=" &amp; $A179, Table2[AwayTeam], M$1)+SUMIFS(Table2[NewPointsHome],Table2[GameDate], "&lt;=" &amp; $A179, Table2[HomeTeam], M$1)</f>
        <v>11</v>
      </c>
      <c r="N179" s="145">
        <f>SUMIFS(Table2[NewPointsAway],Table2[GameDate], "&lt;=" &amp; $A179, Table2[AwayTeam], N$1)+SUMIFS(Table2[NewPointsHome],Table2[GameDate], "&lt;=" &amp; $A179, Table2[HomeTeam], N$1)</f>
        <v>13</v>
      </c>
      <c r="O179" s="145">
        <f>SUMIFS(Table2[NewPointsAway],Table2[GameDate], "&lt;=" &amp; $A179, Table2[AwayTeam], O$1)+SUMIFS(Table2[NewPointsHome],Table2[GameDate], "&lt;=" &amp; $A179, Table2[HomeTeam], O$1)</f>
        <v>9</v>
      </c>
      <c r="P179" s="145">
        <f>SUMIFS(Table2[NewPointsAway],Table2[GameDate], "&lt;=" &amp; $A179, Table2[AwayTeam], P$1)+SUMIFS(Table2[NewPointsHome],Table2[GameDate], "&lt;=" &amp; $A179, Table2[HomeTeam], P$1)</f>
        <v>16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10</v>
      </c>
      <c r="U179" s="145">
        <f>SUMIFS(Table2[NewPointsAway],Table2[GameDate], "&lt;=" &amp; $A179, Table2[AwayTeam], U$1)+SUMIFS(Table2[NewPointsHome],Table2[GameDate], "&lt;=" &amp; $A179, Table2[HomeTeam], U$1)</f>
        <v>11</v>
      </c>
      <c r="V179" s="145">
        <f>SUMIFS(Table2[NewPointsAway],Table2[GameDate], "&lt;=" &amp; $A179, Table2[AwayTeam], V$1)+SUMIFS(Table2[NewPointsHome],Table2[GameDate], "&lt;=" &amp; $A179, Table2[HomeTeam], V$1)</f>
        <v>11</v>
      </c>
      <c r="W179" s="145">
        <f>SUMIFS(Table2[NewPointsAway],Table2[GameDate], "&lt;=" &amp; $A179, Table2[AwayTeam], W$1)+SUMIFS(Table2[NewPointsHome],Table2[GameDate], "&lt;=" &amp; $A179, Table2[HomeTeam], W$1)</f>
        <v>16</v>
      </c>
      <c r="X179" s="145">
        <f>SUMIFS(Table2[NewPointsAway],Table2[GameDate], "&lt;=" &amp; $A179, Table2[AwayTeam], X$1)+SUMIFS(Table2[NewPointsHome],Table2[GameDate], "&lt;=" &amp; $A179, Table2[HomeTeam], X$1)</f>
        <v>13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10</v>
      </c>
      <c r="AB179" s="145">
        <f>SUMIFS(Table2[NewPointsAway],Table2[GameDate], "&lt;=" &amp; $A179, Table2[AwayTeam], AB$1)+SUMIFS(Table2[NewPointsHome],Table2[GameDate], "&lt;=" &amp; $A179, Table2[HomeTeam], AB$1)</f>
        <v>11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15</v>
      </c>
      <c r="AF179" s="145">
        <f>SUMIFS(Table2[NewPointsAway],Table2[GameDate], "&lt;=" &amp; $A179, Table2[AwayTeam], AF$1)+SUMIFS(Table2[NewPointsHome],Table2[GameDate], "&lt;=" &amp; $A179, Table2[HomeTeam], AF$1)</f>
        <v>14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11</v>
      </c>
      <c r="C180" s="145">
        <f>SUMIFS(Table2[NewPointsAway],Table2[GameDate], "&lt;=" &amp; $A180, Table2[AwayTeam], C$1)+SUMIFS(Table2[NewPointsHome],Table2[GameDate], "&lt;=" &amp; $A180, Table2[HomeTeam], C$1)</f>
        <v>10</v>
      </c>
      <c r="D180" s="145">
        <f>SUMIFS(Table2[NewPointsAway],Table2[GameDate], "&lt;=" &amp; $A180, Table2[AwayTeam], D$1)+SUMIFS(Table2[NewPointsHome],Table2[GameDate], "&lt;=" &amp; $A180, Table2[HomeTeam], D$1)</f>
        <v>10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12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12</v>
      </c>
      <c r="I180" s="145">
        <f>SUMIFS(Table2[NewPointsAway],Table2[GameDate], "&lt;=" &amp; $A180, Table2[AwayTeam], I$1)+SUMIFS(Table2[NewPointsHome],Table2[GameDate], "&lt;=" &amp; $A180, Table2[HomeTeam], I$1)</f>
        <v>16</v>
      </c>
      <c r="J180" s="145">
        <f>SUMIFS(Table2[NewPointsAway],Table2[GameDate], "&lt;=" &amp; $A180, Table2[AwayTeam], J$1)+SUMIFS(Table2[NewPointsHome],Table2[GameDate], "&lt;=" &amp; $A180, Table2[HomeTeam], J$1)</f>
        <v>13</v>
      </c>
      <c r="K180" s="145">
        <f>SUMIFS(Table2[NewPointsAway],Table2[GameDate], "&lt;=" &amp; $A180, Table2[AwayTeam], K$1)+SUMIFS(Table2[NewPointsHome],Table2[GameDate], "&lt;=" &amp; $A180, Table2[HomeTeam], K$1)</f>
        <v>14</v>
      </c>
      <c r="L180" s="145">
        <f>SUMIFS(Table2[NewPointsAway],Table2[GameDate], "&lt;=" &amp; $A180, Table2[AwayTeam], L$1)+SUMIFS(Table2[NewPointsHome],Table2[GameDate], "&lt;=" &amp; $A180, Table2[HomeTeam], L$1)</f>
        <v>12</v>
      </c>
      <c r="M180" s="145">
        <f>SUMIFS(Table2[NewPointsAway],Table2[GameDate], "&lt;=" &amp; $A180, Table2[AwayTeam], M$1)+SUMIFS(Table2[NewPointsHome],Table2[GameDate], "&lt;=" &amp; $A180, Table2[HomeTeam], M$1)</f>
        <v>11</v>
      </c>
      <c r="N180" s="145">
        <f>SUMIFS(Table2[NewPointsAway],Table2[GameDate], "&lt;=" &amp; $A180, Table2[AwayTeam], N$1)+SUMIFS(Table2[NewPointsHome],Table2[GameDate], "&lt;=" &amp; $A180, Table2[HomeTeam], N$1)</f>
        <v>13</v>
      </c>
      <c r="O180" s="145">
        <f>SUMIFS(Table2[NewPointsAway],Table2[GameDate], "&lt;=" &amp; $A180, Table2[AwayTeam], O$1)+SUMIFS(Table2[NewPointsHome],Table2[GameDate], "&lt;=" &amp; $A180, Table2[HomeTeam], O$1)</f>
        <v>9</v>
      </c>
      <c r="P180" s="145">
        <f>SUMIFS(Table2[NewPointsAway],Table2[GameDate], "&lt;=" &amp; $A180, Table2[AwayTeam], P$1)+SUMIFS(Table2[NewPointsHome],Table2[GameDate], "&lt;=" &amp; $A180, Table2[HomeTeam], P$1)</f>
        <v>16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10</v>
      </c>
      <c r="U180" s="145">
        <f>SUMIFS(Table2[NewPointsAway],Table2[GameDate], "&lt;=" &amp; $A180, Table2[AwayTeam], U$1)+SUMIFS(Table2[NewPointsHome],Table2[GameDate], "&lt;=" &amp; $A180, Table2[HomeTeam], U$1)</f>
        <v>11</v>
      </c>
      <c r="V180" s="145">
        <f>SUMIFS(Table2[NewPointsAway],Table2[GameDate], "&lt;=" &amp; $A180, Table2[AwayTeam], V$1)+SUMIFS(Table2[NewPointsHome],Table2[GameDate], "&lt;=" &amp; $A180, Table2[HomeTeam], V$1)</f>
        <v>11</v>
      </c>
      <c r="W180" s="145">
        <f>SUMIFS(Table2[NewPointsAway],Table2[GameDate], "&lt;=" &amp; $A180, Table2[AwayTeam], W$1)+SUMIFS(Table2[NewPointsHome],Table2[GameDate], "&lt;=" &amp; $A180, Table2[HomeTeam], W$1)</f>
        <v>16</v>
      </c>
      <c r="X180" s="145">
        <f>SUMIFS(Table2[NewPointsAway],Table2[GameDate], "&lt;=" &amp; $A180, Table2[AwayTeam], X$1)+SUMIFS(Table2[NewPointsHome],Table2[GameDate], "&lt;=" &amp; $A180, Table2[HomeTeam], X$1)</f>
        <v>13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10</v>
      </c>
      <c r="AB180" s="145">
        <f>SUMIFS(Table2[NewPointsAway],Table2[GameDate], "&lt;=" &amp; $A180, Table2[AwayTeam], AB$1)+SUMIFS(Table2[NewPointsHome],Table2[GameDate], "&lt;=" &amp; $A180, Table2[HomeTeam], AB$1)</f>
        <v>11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15</v>
      </c>
      <c r="AF180" s="145">
        <f>SUMIFS(Table2[NewPointsAway],Table2[GameDate], "&lt;=" &amp; $A180, Table2[AwayTeam], AF$1)+SUMIFS(Table2[NewPointsHome],Table2[GameDate], "&lt;=" &amp; $A180, Table2[HomeTeam], AF$1)</f>
        <v>14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11</v>
      </c>
      <c r="C181" s="145">
        <f>SUMIFS(Table2[NewPointsAway],Table2[GameDate], "&lt;=" &amp; $A181, Table2[AwayTeam], C$1)+SUMIFS(Table2[NewPointsHome],Table2[GameDate], "&lt;=" &amp; $A181, Table2[HomeTeam], C$1)</f>
        <v>10</v>
      </c>
      <c r="D181" s="145">
        <f>SUMIFS(Table2[NewPointsAway],Table2[GameDate], "&lt;=" &amp; $A181, Table2[AwayTeam], D$1)+SUMIFS(Table2[NewPointsHome],Table2[GameDate], "&lt;=" &amp; $A181, Table2[HomeTeam], D$1)</f>
        <v>10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12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12</v>
      </c>
      <c r="I181" s="145">
        <f>SUMIFS(Table2[NewPointsAway],Table2[GameDate], "&lt;=" &amp; $A181, Table2[AwayTeam], I$1)+SUMIFS(Table2[NewPointsHome],Table2[GameDate], "&lt;=" &amp; $A181, Table2[HomeTeam], I$1)</f>
        <v>16</v>
      </c>
      <c r="J181" s="145">
        <f>SUMIFS(Table2[NewPointsAway],Table2[GameDate], "&lt;=" &amp; $A181, Table2[AwayTeam], J$1)+SUMIFS(Table2[NewPointsHome],Table2[GameDate], "&lt;=" &amp; $A181, Table2[HomeTeam], J$1)</f>
        <v>13</v>
      </c>
      <c r="K181" s="145">
        <f>SUMIFS(Table2[NewPointsAway],Table2[GameDate], "&lt;=" &amp; $A181, Table2[AwayTeam], K$1)+SUMIFS(Table2[NewPointsHome],Table2[GameDate], "&lt;=" &amp; $A181, Table2[HomeTeam], K$1)</f>
        <v>14</v>
      </c>
      <c r="L181" s="145">
        <f>SUMIFS(Table2[NewPointsAway],Table2[GameDate], "&lt;=" &amp; $A181, Table2[AwayTeam], L$1)+SUMIFS(Table2[NewPointsHome],Table2[GameDate], "&lt;=" &amp; $A181, Table2[HomeTeam], L$1)</f>
        <v>12</v>
      </c>
      <c r="M181" s="145">
        <f>SUMIFS(Table2[NewPointsAway],Table2[GameDate], "&lt;=" &amp; $A181, Table2[AwayTeam], M$1)+SUMIFS(Table2[NewPointsHome],Table2[GameDate], "&lt;=" &amp; $A181, Table2[HomeTeam], M$1)</f>
        <v>11</v>
      </c>
      <c r="N181" s="145">
        <f>SUMIFS(Table2[NewPointsAway],Table2[GameDate], "&lt;=" &amp; $A181, Table2[AwayTeam], N$1)+SUMIFS(Table2[NewPointsHome],Table2[GameDate], "&lt;=" &amp; $A181, Table2[HomeTeam], N$1)</f>
        <v>13</v>
      </c>
      <c r="O181" s="145">
        <f>SUMIFS(Table2[NewPointsAway],Table2[GameDate], "&lt;=" &amp; $A181, Table2[AwayTeam], O$1)+SUMIFS(Table2[NewPointsHome],Table2[GameDate], "&lt;=" &amp; $A181, Table2[HomeTeam], O$1)</f>
        <v>9</v>
      </c>
      <c r="P181" s="145">
        <f>SUMIFS(Table2[NewPointsAway],Table2[GameDate], "&lt;=" &amp; $A181, Table2[AwayTeam], P$1)+SUMIFS(Table2[NewPointsHome],Table2[GameDate], "&lt;=" &amp; $A181, Table2[HomeTeam], P$1)</f>
        <v>16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10</v>
      </c>
      <c r="U181" s="145">
        <f>SUMIFS(Table2[NewPointsAway],Table2[GameDate], "&lt;=" &amp; $A181, Table2[AwayTeam], U$1)+SUMIFS(Table2[NewPointsHome],Table2[GameDate], "&lt;=" &amp; $A181, Table2[HomeTeam], U$1)</f>
        <v>11</v>
      </c>
      <c r="V181" s="145">
        <f>SUMIFS(Table2[NewPointsAway],Table2[GameDate], "&lt;=" &amp; $A181, Table2[AwayTeam], V$1)+SUMIFS(Table2[NewPointsHome],Table2[GameDate], "&lt;=" &amp; $A181, Table2[HomeTeam], V$1)</f>
        <v>11</v>
      </c>
      <c r="W181" s="145">
        <f>SUMIFS(Table2[NewPointsAway],Table2[GameDate], "&lt;=" &amp; $A181, Table2[AwayTeam], W$1)+SUMIFS(Table2[NewPointsHome],Table2[GameDate], "&lt;=" &amp; $A181, Table2[HomeTeam], W$1)</f>
        <v>16</v>
      </c>
      <c r="X181" s="145">
        <f>SUMIFS(Table2[NewPointsAway],Table2[GameDate], "&lt;=" &amp; $A181, Table2[AwayTeam], X$1)+SUMIFS(Table2[NewPointsHome],Table2[GameDate], "&lt;=" &amp; $A181, Table2[HomeTeam], X$1)</f>
        <v>13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10</v>
      </c>
      <c r="AB181" s="145">
        <f>SUMIFS(Table2[NewPointsAway],Table2[GameDate], "&lt;=" &amp; $A181, Table2[AwayTeam], AB$1)+SUMIFS(Table2[NewPointsHome],Table2[GameDate], "&lt;=" &amp; $A181, Table2[HomeTeam], AB$1)</f>
        <v>11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15</v>
      </c>
      <c r="AF181" s="145">
        <f>SUMIFS(Table2[NewPointsAway],Table2[GameDate], "&lt;=" &amp; $A181, Table2[AwayTeam], AF$1)+SUMIFS(Table2[NewPointsHome],Table2[GameDate], "&lt;=" &amp; $A181, Table2[HomeTeam], AF$1)</f>
        <v>14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11</v>
      </c>
      <c r="C182" s="145">
        <f>SUMIFS(Table2[NewPointsAway],Table2[GameDate], "&lt;=" &amp; $A182, Table2[AwayTeam], C$1)+SUMIFS(Table2[NewPointsHome],Table2[GameDate], "&lt;=" &amp; $A182, Table2[HomeTeam], C$1)</f>
        <v>10</v>
      </c>
      <c r="D182" s="145">
        <f>SUMIFS(Table2[NewPointsAway],Table2[GameDate], "&lt;=" &amp; $A182, Table2[AwayTeam], D$1)+SUMIFS(Table2[NewPointsHome],Table2[GameDate], "&lt;=" &amp; $A182, Table2[HomeTeam], D$1)</f>
        <v>10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12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12</v>
      </c>
      <c r="I182" s="145">
        <f>SUMIFS(Table2[NewPointsAway],Table2[GameDate], "&lt;=" &amp; $A182, Table2[AwayTeam], I$1)+SUMIFS(Table2[NewPointsHome],Table2[GameDate], "&lt;=" &amp; $A182, Table2[HomeTeam], I$1)</f>
        <v>16</v>
      </c>
      <c r="J182" s="145">
        <f>SUMIFS(Table2[NewPointsAway],Table2[GameDate], "&lt;=" &amp; $A182, Table2[AwayTeam], J$1)+SUMIFS(Table2[NewPointsHome],Table2[GameDate], "&lt;=" &amp; $A182, Table2[HomeTeam], J$1)</f>
        <v>13</v>
      </c>
      <c r="K182" s="145">
        <f>SUMIFS(Table2[NewPointsAway],Table2[GameDate], "&lt;=" &amp; $A182, Table2[AwayTeam], K$1)+SUMIFS(Table2[NewPointsHome],Table2[GameDate], "&lt;=" &amp; $A182, Table2[HomeTeam], K$1)</f>
        <v>14</v>
      </c>
      <c r="L182" s="145">
        <f>SUMIFS(Table2[NewPointsAway],Table2[GameDate], "&lt;=" &amp; $A182, Table2[AwayTeam], L$1)+SUMIFS(Table2[NewPointsHome],Table2[GameDate], "&lt;=" &amp; $A182, Table2[HomeTeam], L$1)</f>
        <v>12</v>
      </c>
      <c r="M182" s="145">
        <f>SUMIFS(Table2[NewPointsAway],Table2[GameDate], "&lt;=" &amp; $A182, Table2[AwayTeam], M$1)+SUMIFS(Table2[NewPointsHome],Table2[GameDate], "&lt;=" &amp; $A182, Table2[HomeTeam], M$1)</f>
        <v>11</v>
      </c>
      <c r="N182" s="145">
        <f>SUMIFS(Table2[NewPointsAway],Table2[GameDate], "&lt;=" &amp; $A182, Table2[AwayTeam], N$1)+SUMIFS(Table2[NewPointsHome],Table2[GameDate], "&lt;=" &amp; $A182, Table2[HomeTeam], N$1)</f>
        <v>13</v>
      </c>
      <c r="O182" s="145">
        <f>SUMIFS(Table2[NewPointsAway],Table2[GameDate], "&lt;=" &amp; $A182, Table2[AwayTeam], O$1)+SUMIFS(Table2[NewPointsHome],Table2[GameDate], "&lt;=" &amp; $A182, Table2[HomeTeam], O$1)</f>
        <v>9</v>
      </c>
      <c r="P182" s="145">
        <f>SUMIFS(Table2[NewPointsAway],Table2[GameDate], "&lt;=" &amp; $A182, Table2[AwayTeam], P$1)+SUMIFS(Table2[NewPointsHome],Table2[GameDate], "&lt;=" &amp; $A182, Table2[HomeTeam], P$1)</f>
        <v>16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10</v>
      </c>
      <c r="U182" s="145">
        <f>SUMIFS(Table2[NewPointsAway],Table2[GameDate], "&lt;=" &amp; $A182, Table2[AwayTeam], U$1)+SUMIFS(Table2[NewPointsHome],Table2[GameDate], "&lt;=" &amp; $A182, Table2[HomeTeam], U$1)</f>
        <v>11</v>
      </c>
      <c r="V182" s="145">
        <f>SUMIFS(Table2[NewPointsAway],Table2[GameDate], "&lt;=" &amp; $A182, Table2[AwayTeam], V$1)+SUMIFS(Table2[NewPointsHome],Table2[GameDate], "&lt;=" &amp; $A182, Table2[HomeTeam], V$1)</f>
        <v>11</v>
      </c>
      <c r="W182" s="145">
        <f>SUMIFS(Table2[NewPointsAway],Table2[GameDate], "&lt;=" &amp; $A182, Table2[AwayTeam], W$1)+SUMIFS(Table2[NewPointsHome],Table2[GameDate], "&lt;=" &amp; $A182, Table2[HomeTeam], W$1)</f>
        <v>16</v>
      </c>
      <c r="X182" s="145">
        <f>SUMIFS(Table2[NewPointsAway],Table2[GameDate], "&lt;=" &amp; $A182, Table2[AwayTeam], X$1)+SUMIFS(Table2[NewPointsHome],Table2[GameDate], "&lt;=" &amp; $A182, Table2[HomeTeam], X$1)</f>
        <v>13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10</v>
      </c>
      <c r="AB182" s="145">
        <f>SUMIFS(Table2[NewPointsAway],Table2[GameDate], "&lt;=" &amp; $A182, Table2[AwayTeam], AB$1)+SUMIFS(Table2[NewPointsHome],Table2[GameDate], "&lt;=" &amp; $A182, Table2[HomeTeam], AB$1)</f>
        <v>11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15</v>
      </c>
      <c r="AF182" s="145">
        <f>SUMIFS(Table2[NewPointsAway],Table2[GameDate], "&lt;=" &amp; $A182, Table2[AwayTeam], AF$1)+SUMIFS(Table2[NewPointsHome],Table2[GameDate], "&lt;=" &amp; $A182, Table2[HomeTeam], AF$1)</f>
        <v>14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11</v>
      </c>
      <c r="C183" s="145">
        <f>SUMIFS(Table2[NewPointsAway],Table2[GameDate], "&lt;=" &amp; $A183, Table2[AwayTeam], C$1)+SUMIFS(Table2[NewPointsHome],Table2[GameDate], "&lt;=" &amp; $A183, Table2[HomeTeam], C$1)</f>
        <v>10</v>
      </c>
      <c r="D183" s="145">
        <f>SUMIFS(Table2[NewPointsAway],Table2[GameDate], "&lt;=" &amp; $A183, Table2[AwayTeam], D$1)+SUMIFS(Table2[NewPointsHome],Table2[GameDate], "&lt;=" &amp; $A183, Table2[HomeTeam], D$1)</f>
        <v>10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12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12</v>
      </c>
      <c r="I183" s="145">
        <f>SUMIFS(Table2[NewPointsAway],Table2[GameDate], "&lt;=" &amp; $A183, Table2[AwayTeam], I$1)+SUMIFS(Table2[NewPointsHome],Table2[GameDate], "&lt;=" &amp; $A183, Table2[HomeTeam], I$1)</f>
        <v>16</v>
      </c>
      <c r="J183" s="145">
        <f>SUMIFS(Table2[NewPointsAway],Table2[GameDate], "&lt;=" &amp; $A183, Table2[AwayTeam], J$1)+SUMIFS(Table2[NewPointsHome],Table2[GameDate], "&lt;=" &amp; $A183, Table2[HomeTeam], J$1)</f>
        <v>13</v>
      </c>
      <c r="K183" s="145">
        <f>SUMIFS(Table2[NewPointsAway],Table2[GameDate], "&lt;=" &amp; $A183, Table2[AwayTeam], K$1)+SUMIFS(Table2[NewPointsHome],Table2[GameDate], "&lt;=" &amp; $A183, Table2[HomeTeam], K$1)</f>
        <v>14</v>
      </c>
      <c r="L183" s="145">
        <f>SUMIFS(Table2[NewPointsAway],Table2[GameDate], "&lt;=" &amp; $A183, Table2[AwayTeam], L$1)+SUMIFS(Table2[NewPointsHome],Table2[GameDate], "&lt;=" &amp; $A183, Table2[HomeTeam], L$1)</f>
        <v>12</v>
      </c>
      <c r="M183" s="145">
        <f>SUMIFS(Table2[NewPointsAway],Table2[GameDate], "&lt;=" &amp; $A183, Table2[AwayTeam], M$1)+SUMIFS(Table2[NewPointsHome],Table2[GameDate], "&lt;=" &amp; $A183, Table2[HomeTeam], M$1)</f>
        <v>11</v>
      </c>
      <c r="N183" s="145">
        <f>SUMIFS(Table2[NewPointsAway],Table2[GameDate], "&lt;=" &amp; $A183, Table2[AwayTeam], N$1)+SUMIFS(Table2[NewPointsHome],Table2[GameDate], "&lt;=" &amp; $A183, Table2[HomeTeam], N$1)</f>
        <v>13</v>
      </c>
      <c r="O183" s="145">
        <f>SUMIFS(Table2[NewPointsAway],Table2[GameDate], "&lt;=" &amp; $A183, Table2[AwayTeam], O$1)+SUMIFS(Table2[NewPointsHome],Table2[GameDate], "&lt;=" &amp; $A183, Table2[HomeTeam], O$1)</f>
        <v>9</v>
      </c>
      <c r="P183" s="145">
        <f>SUMIFS(Table2[NewPointsAway],Table2[GameDate], "&lt;=" &amp; $A183, Table2[AwayTeam], P$1)+SUMIFS(Table2[NewPointsHome],Table2[GameDate], "&lt;=" &amp; $A183, Table2[HomeTeam], P$1)</f>
        <v>16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10</v>
      </c>
      <c r="U183" s="145">
        <f>SUMIFS(Table2[NewPointsAway],Table2[GameDate], "&lt;=" &amp; $A183, Table2[AwayTeam], U$1)+SUMIFS(Table2[NewPointsHome],Table2[GameDate], "&lt;=" &amp; $A183, Table2[HomeTeam], U$1)</f>
        <v>11</v>
      </c>
      <c r="V183" s="145">
        <f>SUMIFS(Table2[NewPointsAway],Table2[GameDate], "&lt;=" &amp; $A183, Table2[AwayTeam], V$1)+SUMIFS(Table2[NewPointsHome],Table2[GameDate], "&lt;=" &amp; $A183, Table2[HomeTeam], V$1)</f>
        <v>11</v>
      </c>
      <c r="W183" s="145">
        <f>SUMIFS(Table2[NewPointsAway],Table2[GameDate], "&lt;=" &amp; $A183, Table2[AwayTeam], W$1)+SUMIFS(Table2[NewPointsHome],Table2[GameDate], "&lt;=" &amp; $A183, Table2[HomeTeam], W$1)</f>
        <v>16</v>
      </c>
      <c r="X183" s="145">
        <f>SUMIFS(Table2[NewPointsAway],Table2[GameDate], "&lt;=" &amp; $A183, Table2[AwayTeam], X$1)+SUMIFS(Table2[NewPointsHome],Table2[GameDate], "&lt;=" &amp; $A183, Table2[HomeTeam], X$1)</f>
        <v>13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10</v>
      </c>
      <c r="AB183" s="145">
        <f>SUMIFS(Table2[NewPointsAway],Table2[GameDate], "&lt;=" &amp; $A183, Table2[AwayTeam], AB$1)+SUMIFS(Table2[NewPointsHome],Table2[GameDate], "&lt;=" &amp; $A183, Table2[HomeTeam], AB$1)</f>
        <v>11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15</v>
      </c>
      <c r="AF183" s="145">
        <f>SUMIFS(Table2[NewPointsAway],Table2[GameDate], "&lt;=" &amp; $A183, Table2[AwayTeam], AF$1)+SUMIFS(Table2[NewPointsHome],Table2[GameDate], "&lt;=" &amp; $A183, Table2[HomeTeam], AF$1)</f>
        <v>14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11</v>
      </c>
      <c r="C184" s="145">
        <f>SUMIFS(Table2[NewPointsAway],Table2[GameDate], "&lt;=" &amp; $A184, Table2[AwayTeam], C$1)+SUMIFS(Table2[NewPointsHome],Table2[GameDate], "&lt;=" &amp; $A184, Table2[HomeTeam], C$1)</f>
        <v>10</v>
      </c>
      <c r="D184" s="145">
        <f>SUMIFS(Table2[NewPointsAway],Table2[GameDate], "&lt;=" &amp; $A184, Table2[AwayTeam], D$1)+SUMIFS(Table2[NewPointsHome],Table2[GameDate], "&lt;=" &amp; $A184, Table2[HomeTeam], D$1)</f>
        <v>10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12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12</v>
      </c>
      <c r="I184" s="145">
        <f>SUMIFS(Table2[NewPointsAway],Table2[GameDate], "&lt;=" &amp; $A184, Table2[AwayTeam], I$1)+SUMIFS(Table2[NewPointsHome],Table2[GameDate], "&lt;=" &amp; $A184, Table2[HomeTeam], I$1)</f>
        <v>16</v>
      </c>
      <c r="J184" s="145">
        <f>SUMIFS(Table2[NewPointsAway],Table2[GameDate], "&lt;=" &amp; $A184, Table2[AwayTeam], J$1)+SUMIFS(Table2[NewPointsHome],Table2[GameDate], "&lt;=" &amp; $A184, Table2[HomeTeam], J$1)</f>
        <v>13</v>
      </c>
      <c r="K184" s="145">
        <f>SUMIFS(Table2[NewPointsAway],Table2[GameDate], "&lt;=" &amp; $A184, Table2[AwayTeam], K$1)+SUMIFS(Table2[NewPointsHome],Table2[GameDate], "&lt;=" &amp; $A184, Table2[HomeTeam], K$1)</f>
        <v>14</v>
      </c>
      <c r="L184" s="145">
        <f>SUMIFS(Table2[NewPointsAway],Table2[GameDate], "&lt;=" &amp; $A184, Table2[AwayTeam], L$1)+SUMIFS(Table2[NewPointsHome],Table2[GameDate], "&lt;=" &amp; $A184, Table2[HomeTeam], L$1)</f>
        <v>12</v>
      </c>
      <c r="M184" s="145">
        <f>SUMIFS(Table2[NewPointsAway],Table2[GameDate], "&lt;=" &amp; $A184, Table2[AwayTeam], M$1)+SUMIFS(Table2[NewPointsHome],Table2[GameDate], "&lt;=" &amp; $A184, Table2[HomeTeam], M$1)</f>
        <v>11</v>
      </c>
      <c r="N184" s="145">
        <f>SUMIFS(Table2[NewPointsAway],Table2[GameDate], "&lt;=" &amp; $A184, Table2[AwayTeam], N$1)+SUMIFS(Table2[NewPointsHome],Table2[GameDate], "&lt;=" &amp; $A184, Table2[HomeTeam], N$1)</f>
        <v>13</v>
      </c>
      <c r="O184" s="145">
        <f>SUMIFS(Table2[NewPointsAway],Table2[GameDate], "&lt;=" &amp; $A184, Table2[AwayTeam], O$1)+SUMIFS(Table2[NewPointsHome],Table2[GameDate], "&lt;=" &amp; $A184, Table2[HomeTeam], O$1)</f>
        <v>9</v>
      </c>
      <c r="P184" s="145">
        <f>SUMIFS(Table2[NewPointsAway],Table2[GameDate], "&lt;=" &amp; $A184, Table2[AwayTeam], P$1)+SUMIFS(Table2[NewPointsHome],Table2[GameDate], "&lt;=" &amp; $A184, Table2[HomeTeam], P$1)</f>
        <v>16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10</v>
      </c>
      <c r="U184" s="145">
        <f>SUMIFS(Table2[NewPointsAway],Table2[GameDate], "&lt;=" &amp; $A184, Table2[AwayTeam], U$1)+SUMIFS(Table2[NewPointsHome],Table2[GameDate], "&lt;=" &amp; $A184, Table2[HomeTeam], U$1)</f>
        <v>11</v>
      </c>
      <c r="V184" s="145">
        <f>SUMIFS(Table2[NewPointsAway],Table2[GameDate], "&lt;=" &amp; $A184, Table2[AwayTeam], V$1)+SUMIFS(Table2[NewPointsHome],Table2[GameDate], "&lt;=" &amp; $A184, Table2[HomeTeam], V$1)</f>
        <v>11</v>
      </c>
      <c r="W184" s="145">
        <f>SUMIFS(Table2[NewPointsAway],Table2[GameDate], "&lt;=" &amp; $A184, Table2[AwayTeam], W$1)+SUMIFS(Table2[NewPointsHome],Table2[GameDate], "&lt;=" &amp; $A184, Table2[HomeTeam], W$1)</f>
        <v>16</v>
      </c>
      <c r="X184" s="145">
        <f>SUMIFS(Table2[NewPointsAway],Table2[GameDate], "&lt;=" &amp; $A184, Table2[AwayTeam], X$1)+SUMIFS(Table2[NewPointsHome],Table2[GameDate], "&lt;=" &amp; $A184, Table2[HomeTeam], X$1)</f>
        <v>13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10</v>
      </c>
      <c r="AB184" s="145">
        <f>SUMIFS(Table2[NewPointsAway],Table2[GameDate], "&lt;=" &amp; $A184, Table2[AwayTeam], AB$1)+SUMIFS(Table2[NewPointsHome],Table2[GameDate], "&lt;=" &amp; $A184, Table2[HomeTeam], AB$1)</f>
        <v>11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15</v>
      </c>
      <c r="AF184" s="145">
        <f>SUMIFS(Table2[NewPointsAway],Table2[GameDate], "&lt;=" &amp; $A184, Table2[AwayTeam], AF$1)+SUMIFS(Table2[NewPointsHome],Table2[GameDate], "&lt;=" &amp; $A184, Table2[HomeTeam], AF$1)</f>
        <v>14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11</v>
      </c>
      <c r="C185" s="145">
        <f>SUMIFS(Table2[NewPointsAway],Table2[GameDate], "&lt;=" &amp; $A185, Table2[AwayTeam], C$1)+SUMIFS(Table2[NewPointsHome],Table2[GameDate], "&lt;=" &amp; $A185, Table2[HomeTeam], C$1)</f>
        <v>10</v>
      </c>
      <c r="D185" s="145">
        <f>SUMIFS(Table2[NewPointsAway],Table2[GameDate], "&lt;=" &amp; $A185, Table2[AwayTeam], D$1)+SUMIFS(Table2[NewPointsHome],Table2[GameDate], "&lt;=" &amp; $A185, Table2[HomeTeam], D$1)</f>
        <v>10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12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12</v>
      </c>
      <c r="I185" s="145">
        <f>SUMIFS(Table2[NewPointsAway],Table2[GameDate], "&lt;=" &amp; $A185, Table2[AwayTeam], I$1)+SUMIFS(Table2[NewPointsHome],Table2[GameDate], "&lt;=" &amp; $A185, Table2[HomeTeam], I$1)</f>
        <v>16</v>
      </c>
      <c r="J185" s="145">
        <f>SUMIFS(Table2[NewPointsAway],Table2[GameDate], "&lt;=" &amp; $A185, Table2[AwayTeam], J$1)+SUMIFS(Table2[NewPointsHome],Table2[GameDate], "&lt;=" &amp; $A185, Table2[HomeTeam], J$1)</f>
        <v>13</v>
      </c>
      <c r="K185" s="145">
        <f>SUMIFS(Table2[NewPointsAway],Table2[GameDate], "&lt;=" &amp; $A185, Table2[AwayTeam], K$1)+SUMIFS(Table2[NewPointsHome],Table2[GameDate], "&lt;=" &amp; $A185, Table2[HomeTeam], K$1)</f>
        <v>14</v>
      </c>
      <c r="L185" s="145">
        <f>SUMIFS(Table2[NewPointsAway],Table2[GameDate], "&lt;=" &amp; $A185, Table2[AwayTeam], L$1)+SUMIFS(Table2[NewPointsHome],Table2[GameDate], "&lt;=" &amp; $A185, Table2[HomeTeam], L$1)</f>
        <v>12</v>
      </c>
      <c r="M185" s="145">
        <f>SUMIFS(Table2[NewPointsAway],Table2[GameDate], "&lt;=" &amp; $A185, Table2[AwayTeam], M$1)+SUMIFS(Table2[NewPointsHome],Table2[GameDate], "&lt;=" &amp; $A185, Table2[HomeTeam], M$1)</f>
        <v>11</v>
      </c>
      <c r="N185" s="145">
        <f>SUMIFS(Table2[NewPointsAway],Table2[GameDate], "&lt;=" &amp; $A185, Table2[AwayTeam], N$1)+SUMIFS(Table2[NewPointsHome],Table2[GameDate], "&lt;=" &amp; $A185, Table2[HomeTeam], N$1)</f>
        <v>13</v>
      </c>
      <c r="O185" s="145">
        <f>SUMIFS(Table2[NewPointsAway],Table2[GameDate], "&lt;=" &amp; $A185, Table2[AwayTeam], O$1)+SUMIFS(Table2[NewPointsHome],Table2[GameDate], "&lt;=" &amp; $A185, Table2[HomeTeam], O$1)</f>
        <v>9</v>
      </c>
      <c r="P185" s="145">
        <f>SUMIFS(Table2[NewPointsAway],Table2[GameDate], "&lt;=" &amp; $A185, Table2[AwayTeam], P$1)+SUMIFS(Table2[NewPointsHome],Table2[GameDate], "&lt;=" &amp; $A185, Table2[HomeTeam], P$1)</f>
        <v>16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10</v>
      </c>
      <c r="U185" s="145">
        <f>SUMIFS(Table2[NewPointsAway],Table2[GameDate], "&lt;=" &amp; $A185, Table2[AwayTeam], U$1)+SUMIFS(Table2[NewPointsHome],Table2[GameDate], "&lt;=" &amp; $A185, Table2[HomeTeam], U$1)</f>
        <v>11</v>
      </c>
      <c r="V185" s="145">
        <f>SUMIFS(Table2[NewPointsAway],Table2[GameDate], "&lt;=" &amp; $A185, Table2[AwayTeam], V$1)+SUMIFS(Table2[NewPointsHome],Table2[GameDate], "&lt;=" &amp; $A185, Table2[HomeTeam], V$1)</f>
        <v>11</v>
      </c>
      <c r="W185" s="145">
        <f>SUMIFS(Table2[NewPointsAway],Table2[GameDate], "&lt;=" &amp; $A185, Table2[AwayTeam], W$1)+SUMIFS(Table2[NewPointsHome],Table2[GameDate], "&lt;=" &amp; $A185, Table2[HomeTeam], W$1)</f>
        <v>16</v>
      </c>
      <c r="X185" s="145">
        <f>SUMIFS(Table2[NewPointsAway],Table2[GameDate], "&lt;=" &amp; $A185, Table2[AwayTeam], X$1)+SUMIFS(Table2[NewPointsHome],Table2[GameDate], "&lt;=" &amp; $A185, Table2[HomeTeam], X$1)</f>
        <v>13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10</v>
      </c>
      <c r="AB185" s="145">
        <f>SUMIFS(Table2[NewPointsAway],Table2[GameDate], "&lt;=" &amp; $A185, Table2[AwayTeam], AB$1)+SUMIFS(Table2[NewPointsHome],Table2[GameDate], "&lt;=" &amp; $A185, Table2[HomeTeam], AB$1)</f>
        <v>11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15</v>
      </c>
      <c r="AF185" s="145">
        <f>SUMIFS(Table2[NewPointsAway],Table2[GameDate], "&lt;=" &amp; $A185, Table2[AwayTeam], AF$1)+SUMIFS(Table2[NewPointsHome],Table2[GameDate], "&lt;=" &amp; $A185, Table2[HomeTeam], AF$1)</f>
        <v>14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11</v>
      </c>
      <c r="C186" s="145">
        <f>SUMIFS(Table2[NewPointsAway],Table2[GameDate], "&lt;=" &amp; $A186, Table2[AwayTeam], C$1)+SUMIFS(Table2[NewPointsHome],Table2[GameDate], "&lt;=" &amp; $A186, Table2[HomeTeam], C$1)</f>
        <v>10</v>
      </c>
      <c r="D186" s="145">
        <f>SUMIFS(Table2[NewPointsAway],Table2[GameDate], "&lt;=" &amp; $A186, Table2[AwayTeam], D$1)+SUMIFS(Table2[NewPointsHome],Table2[GameDate], "&lt;=" &amp; $A186, Table2[HomeTeam], D$1)</f>
        <v>10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12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12</v>
      </c>
      <c r="I186" s="145">
        <f>SUMIFS(Table2[NewPointsAway],Table2[GameDate], "&lt;=" &amp; $A186, Table2[AwayTeam], I$1)+SUMIFS(Table2[NewPointsHome],Table2[GameDate], "&lt;=" &amp; $A186, Table2[HomeTeam], I$1)</f>
        <v>16</v>
      </c>
      <c r="J186" s="145">
        <f>SUMIFS(Table2[NewPointsAway],Table2[GameDate], "&lt;=" &amp; $A186, Table2[AwayTeam], J$1)+SUMIFS(Table2[NewPointsHome],Table2[GameDate], "&lt;=" &amp; $A186, Table2[HomeTeam], J$1)</f>
        <v>13</v>
      </c>
      <c r="K186" s="145">
        <f>SUMIFS(Table2[NewPointsAway],Table2[GameDate], "&lt;=" &amp; $A186, Table2[AwayTeam], K$1)+SUMIFS(Table2[NewPointsHome],Table2[GameDate], "&lt;=" &amp; $A186, Table2[HomeTeam], K$1)</f>
        <v>14</v>
      </c>
      <c r="L186" s="145">
        <f>SUMIFS(Table2[NewPointsAway],Table2[GameDate], "&lt;=" &amp; $A186, Table2[AwayTeam], L$1)+SUMIFS(Table2[NewPointsHome],Table2[GameDate], "&lt;=" &amp; $A186, Table2[HomeTeam], L$1)</f>
        <v>12</v>
      </c>
      <c r="M186" s="145">
        <f>SUMIFS(Table2[NewPointsAway],Table2[GameDate], "&lt;=" &amp; $A186, Table2[AwayTeam], M$1)+SUMIFS(Table2[NewPointsHome],Table2[GameDate], "&lt;=" &amp; $A186, Table2[HomeTeam], M$1)</f>
        <v>11</v>
      </c>
      <c r="N186" s="145">
        <f>SUMIFS(Table2[NewPointsAway],Table2[GameDate], "&lt;=" &amp; $A186, Table2[AwayTeam], N$1)+SUMIFS(Table2[NewPointsHome],Table2[GameDate], "&lt;=" &amp; $A186, Table2[HomeTeam], N$1)</f>
        <v>13</v>
      </c>
      <c r="O186" s="145">
        <f>SUMIFS(Table2[NewPointsAway],Table2[GameDate], "&lt;=" &amp; $A186, Table2[AwayTeam], O$1)+SUMIFS(Table2[NewPointsHome],Table2[GameDate], "&lt;=" &amp; $A186, Table2[HomeTeam], O$1)</f>
        <v>9</v>
      </c>
      <c r="P186" s="145">
        <f>SUMIFS(Table2[NewPointsAway],Table2[GameDate], "&lt;=" &amp; $A186, Table2[AwayTeam], P$1)+SUMIFS(Table2[NewPointsHome],Table2[GameDate], "&lt;=" &amp; $A186, Table2[HomeTeam], P$1)</f>
        <v>16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10</v>
      </c>
      <c r="U186" s="145">
        <f>SUMIFS(Table2[NewPointsAway],Table2[GameDate], "&lt;=" &amp; $A186, Table2[AwayTeam], U$1)+SUMIFS(Table2[NewPointsHome],Table2[GameDate], "&lt;=" &amp; $A186, Table2[HomeTeam], U$1)</f>
        <v>11</v>
      </c>
      <c r="V186" s="145">
        <f>SUMIFS(Table2[NewPointsAway],Table2[GameDate], "&lt;=" &amp; $A186, Table2[AwayTeam], V$1)+SUMIFS(Table2[NewPointsHome],Table2[GameDate], "&lt;=" &amp; $A186, Table2[HomeTeam], V$1)</f>
        <v>11</v>
      </c>
      <c r="W186" s="145">
        <f>SUMIFS(Table2[NewPointsAway],Table2[GameDate], "&lt;=" &amp; $A186, Table2[AwayTeam], W$1)+SUMIFS(Table2[NewPointsHome],Table2[GameDate], "&lt;=" &amp; $A186, Table2[HomeTeam], W$1)</f>
        <v>16</v>
      </c>
      <c r="X186" s="145">
        <f>SUMIFS(Table2[NewPointsAway],Table2[GameDate], "&lt;=" &amp; $A186, Table2[AwayTeam], X$1)+SUMIFS(Table2[NewPointsHome],Table2[GameDate], "&lt;=" &amp; $A186, Table2[HomeTeam], X$1)</f>
        <v>13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10</v>
      </c>
      <c r="AB186" s="145">
        <f>SUMIFS(Table2[NewPointsAway],Table2[GameDate], "&lt;=" &amp; $A186, Table2[AwayTeam], AB$1)+SUMIFS(Table2[NewPointsHome],Table2[GameDate], "&lt;=" &amp; $A186, Table2[HomeTeam], AB$1)</f>
        <v>11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15</v>
      </c>
      <c r="AF186" s="145">
        <f>SUMIFS(Table2[NewPointsAway],Table2[GameDate], "&lt;=" &amp; $A186, Table2[AwayTeam], AF$1)+SUMIFS(Table2[NewPointsHome],Table2[GameDate], "&lt;=" &amp; $A186, Table2[HomeTeam], AF$1)</f>
        <v>14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11</v>
      </c>
      <c r="C187" s="145">
        <f>SUMIFS(Table2[NewPointsAway],Table2[GameDate], "&lt;=" &amp; $A187, Table2[AwayTeam], C$1)+SUMIFS(Table2[NewPointsHome],Table2[GameDate], "&lt;=" &amp; $A187, Table2[HomeTeam], C$1)</f>
        <v>10</v>
      </c>
      <c r="D187" s="145">
        <f>SUMIFS(Table2[NewPointsAway],Table2[GameDate], "&lt;=" &amp; $A187, Table2[AwayTeam], D$1)+SUMIFS(Table2[NewPointsHome],Table2[GameDate], "&lt;=" &amp; $A187, Table2[HomeTeam], D$1)</f>
        <v>10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12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12</v>
      </c>
      <c r="I187" s="145">
        <f>SUMIFS(Table2[NewPointsAway],Table2[GameDate], "&lt;=" &amp; $A187, Table2[AwayTeam], I$1)+SUMIFS(Table2[NewPointsHome],Table2[GameDate], "&lt;=" &amp; $A187, Table2[HomeTeam], I$1)</f>
        <v>16</v>
      </c>
      <c r="J187" s="145">
        <f>SUMIFS(Table2[NewPointsAway],Table2[GameDate], "&lt;=" &amp; $A187, Table2[AwayTeam], J$1)+SUMIFS(Table2[NewPointsHome],Table2[GameDate], "&lt;=" &amp; $A187, Table2[HomeTeam], J$1)</f>
        <v>13</v>
      </c>
      <c r="K187" s="145">
        <f>SUMIFS(Table2[NewPointsAway],Table2[GameDate], "&lt;=" &amp; $A187, Table2[AwayTeam], K$1)+SUMIFS(Table2[NewPointsHome],Table2[GameDate], "&lt;=" &amp; $A187, Table2[HomeTeam], K$1)</f>
        <v>14</v>
      </c>
      <c r="L187" s="145">
        <f>SUMIFS(Table2[NewPointsAway],Table2[GameDate], "&lt;=" &amp; $A187, Table2[AwayTeam], L$1)+SUMIFS(Table2[NewPointsHome],Table2[GameDate], "&lt;=" &amp; $A187, Table2[HomeTeam], L$1)</f>
        <v>12</v>
      </c>
      <c r="M187" s="145">
        <f>SUMIFS(Table2[NewPointsAway],Table2[GameDate], "&lt;=" &amp; $A187, Table2[AwayTeam], M$1)+SUMIFS(Table2[NewPointsHome],Table2[GameDate], "&lt;=" &amp; $A187, Table2[HomeTeam], M$1)</f>
        <v>11</v>
      </c>
      <c r="N187" s="145">
        <f>SUMIFS(Table2[NewPointsAway],Table2[GameDate], "&lt;=" &amp; $A187, Table2[AwayTeam], N$1)+SUMIFS(Table2[NewPointsHome],Table2[GameDate], "&lt;=" &amp; $A187, Table2[HomeTeam], N$1)</f>
        <v>13</v>
      </c>
      <c r="O187" s="145">
        <f>SUMIFS(Table2[NewPointsAway],Table2[GameDate], "&lt;=" &amp; $A187, Table2[AwayTeam], O$1)+SUMIFS(Table2[NewPointsHome],Table2[GameDate], "&lt;=" &amp; $A187, Table2[HomeTeam], O$1)</f>
        <v>9</v>
      </c>
      <c r="P187" s="145">
        <f>SUMIFS(Table2[NewPointsAway],Table2[GameDate], "&lt;=" &amp; $A187, Table2[AwayTeam], P$1)+SUMIFS(Table2[NewPointsHome],Table2[GameDate], "&lt;=" &amp; $A187, Table2[HomeTeam], P$1)</f>
        <v>16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10</v>
      </c>
      <c r="U187" s="145">
        <f>SUMIFS(Table2[NewPointsAway],Table2[GameDate], "&lt;=" &amp; $A187, Table2[AwayTeam], U$1)+SUMIFS(Table2[NewPointsHome],Table2[GameDate], "&lt;=" &amp; $A187, Table2[HomeTeam], U$1)</f>
        <v>11</v>
      </c>
      <c r="V187" s="145">
        <f>SUMIFS(Table2[NewPointsAway],Table2[GameDate], "&lt;=" &amp; $A187, Table2[AwayTeam], V$1)+SUMIFS(Table2[NewPointsHome],Table2[GameDate], "&lt;=" &amp; $A187, Table2[HomeTeam], V$1)</f>
        <v>11</v>
      </c>
      <c r="W187" s="145">
        <f>SUMIFS(Table2[NewPointsAway],Table2[GameDate], "&lt;=" &amp; $A187, Table2[AwayTeam], W$1)+SUMIFS(Table2[NewPointsHome],Table2[GameDate], "&lt;=" &amp; $A187, Table2[HomeTeam], W$1)</f>
        <v>16</v>
      </c>
      <c r="X187" s="145">
        <f>SUMIFS(Table2[NewPointsAway],Table2[GameDate], "&lt;=" &amp; $A187, Table2[AwayTeam], X$1)+SUMIFS(Table2[NewPointsHome],Table2[GameDate], "&lt;=" &amp; $A187, Table2[HomeTeam], X$1)</f>
        <v>13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10</v>
      </c>
      <c r="AB187" s="145">
        <f>SUMIFS(Table2[NewPointsAway],Table2[GameDate], "&lt;=" &amp; $A187, Table2[AwayTeam], AB$1)+SUMIFS(Table2[NewPointsHome],Table2[GameDate], "&lt;=" &amp; $A187, Table2[HomeTeam], AB$1)</f>
        <v>11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15</v>
      </c>
      <c r="AF187" s="145">
        <f>SUMIFS(Table2[NewPointsAway],Table2[GameDate], "&lt;=" &amp; $A187, Table2[AwayTeam], AF$1)+SUMIFS(Table2[NewPointsHome],Table2[GameDate], "&lt;=" &amp; $A187, Table2[HomeTeam], AF$1)</f>
        <v>14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11</v>
      </c>
      <c r="C188" s="145">
        <f>SUMIFS(Table2[NewPointsAway],Table2[GameDate], "&lt;=" &amp; $A188, Table2[AwayTeam], C$1)+SUMIFS(Table2[NewPointsHome],Table2[GameDate], "&lt;=" &amp; $A188, Table2[HomeTeam], C$1)</f>
        <v>10</v>
      </c>
      <c r="D188" s="145">
        <f>SUMIFS(Table2[NewPointsAway],Table2[GameDate], "&lt;=" &amp; $A188, Table2[AwayTeam], D$1)+SUMIFS(Table2[NewPointsHome],Table2[GameDate], "&lt;=" &amp; $A188, Table2[HomeTeam], D$1)</f>
        <v>10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12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12</v>
      </c>
      <c r="I188" s="145">
        <f>SUMIFS(Table2[NewPointsAway],Table2[GameDate], "&lt;=" &amp; $A188, Table2[AwayTeam], I$1)+SUMIFS(Table2[NewPointsHome],Table2[GameDate], "&lt;=" &amp; $A188, Table2[HomeTeam], I$1)</f>
        <v>16</v>
      </c>
      <c r="J188" s="145">
        <f>SUMIFS(Table2[NewPointsAway],Table2[GameDate], "&lt;=" &amp; $A188, Table2[AwayTeam], J$1)+SUMIFS(Table2[NewPointsHome],Table2[GameDate], "&lt;=" &amp; $A188, Table2[HomeTeam], J$1)</f>
        <v>13</v>
      </c>
      <c r="K188" s="145">
        <f>SUMIFS(Table2[NewPointsAway],Table2[GameDate], "&lt;=" &amp; $A188, Table2[AwayTeam], K$1)+SUMIFS(Table2[NewPointsHome],Table2[GameDate], "&lt;=" &amp; $A188, Table2[HomeTeam], K$1)</f>
        <v>14</v>
      </c>
      <c r="L188" s="145">
        <f>SUMIFS(Table2[NewPointsAway],Table2[GameDate], "&lt;=" &amp; $A188, Table2[AwayTeam], L$1)+SUMIFS(Table2[NewPointsHome],Table2[GameDate], "&lt;=" &amp; $A188, Table2[HomeTeam], L$1)</f>
        <v>12</v>
      </c>
      <c r="M188" s="145">
        <f>SUMIFS(Table2[NewPointsAway],Table2[GameDate], "&lt;=" &amp; $A188, Table2[AwayTeam], M$1)+SUMIFS(Table2[NewPointsHome],Table2[GameDate], "&lt;=" &amp; $A188, Table2[HomeTeam], M$1)</f>
        <v>11</v>
      </c>
      <c r="N188" s="145">
        <f>SUMIFS(Table2[NewPointsAway],Table2[GameDate], "&lt;=" &amp; $A188, Table2[AwayTeam], N$1)+SUMIFS(Table2[NewPointsHome],Table2[GameDate], "&lt;=" &amp; $A188, Table2[HomeTeam], N$1)</f>
        <v>13</v>
      </c>
      <c r="O188" s="145">
        <f>SUMIFS(Table2[NewPointsAway],Table2[GameDate], "&lt;=" &amp; $A188, Table2[AwayTeam], O$1)+SUMIFS(Table2[NewPointsHome],Table2[GameDate], "&lt;=" &amp; $A188, Table2[HomeTeam], O$1)</f>
        <v>9</v>
      </c>
      <c r="P188" s="145">
        <f>SUMIFS(Table2[NewPointsAway],Table2[GameDate], "&lt;=" &amp; $A188, Table2[AwayTeam], P$1)+SUMIFS(Table2[NewPointsHome],Table2[GameDate], "&lt;=" &amp; $A188, Table2[HomeTeam], P$1)</f>
        <v>16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10</v>
      </c>
      <c r="U188" s="145">
        <f>SUMIFS(Table2[NewPointsAway],Table2[GameDate], "&lt;=" &amp; $A188, Table2[AwayTeam], U$1)+SUMIFS(Table2[NewPointsHome],Table2[GameDate], "&lt;=" &amp; $A188, Table2[HomeTeam], U$1)</f>
        <v>11</v>
      </c>
      <c r="V188" s="145">
        <f>SUMIFS(Table2[NewPointsAway],Table2[GameDate], "&lt;=" &amp; $A188, Table2[AwayTeam], V$1)+SUMIFS(Table2[NewPointsHome],Table2[GameDate], "&lt;=" &amp; $A188, Table2[HomeTeam], V$1)</f>
        <v>11</v>
      </c>
      <c r="W188" s="145">
        <f>SUMIFS(Table2[NewPointsAway],Table2[GameDate], "&lt;=" &amp; $A188, Table2[AwayTeam], W$1)+SUMIFS(Table2[NewPointsHome],Table2[GameDate], "&lt;=" &amp; $A188, Table2[HomeTeam], W$1)</f>
        <v>16</v>
      </c>
      <c r="X188" s="145">
        <f>SUMIFS(Table2[NewPointsAway],Table2[GameDate], "&lt;=" &amp; $A188, Table2[AwayTeam], X$1)+SUMIFS(Table2[NewPointsHome],Table2[GameDate], "&lt;=" &amp; $A188, Table2[HomeTeam], X$1)</f>
        <v>13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10</v>
      </c>
      <c r="AB188" s="145">
        <f>SUMIFS(Table2[NewPointsAway],Table2[GameDate], "&lt;=" &amp; $A188, Table2[AwayTeam], AB$1)+SUMIFS(Table2[NewPointsHome],Table2[GameDate], "&lt;=" &amp; $A188, Table2[HomeTeam], AB$1)</f>
        <v>11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15</v>
      </c>
      <c r="AF188" s="145">
        <f>SUMIFS(Table2[NewPointsAway],Table2[GameDate], "&lt;=" &amp; $A188, Table2[AwayTeam], AF$1)+SUMIFS(Table2[NewPointsHome],Table2[GameDate], "&lt;=" &amp; $A188, Table2[HomeTeam], AF$1)</f>
        <v>14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11</v>
      </c>
      <c r="C189" s="145">
        <f>SUMIFS(Table2[NewPointsAway],Table2[GameDate], "&lt;=" &amp; $A189, Table2[AwayTeam], C$1)+SUMIFS(Table2[NewPointsHome],Table2[GameDate], "&lt;=" &amp; $A189, Table2[HomeTeam], C$1)</f>
        <v>10</v>
      </c>
      <c r="D189" s="145">
        <f>SUMIFS(Table2[NewPointsAway],Table2[GameDate], "&lt;=" &amp; $A189, Table2[AwayTeam], D$1)+SUMIFS(Table2[NewPointsHome],Table2[GameDate], "&lt;=" &amp; $A189, Table2[HomeTeam], D$1)</f>
        <v>10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12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12</v>
      </c>
      <c r="I189" s="145">
        <f>SUMIFS(Table2[NewPointsAway],Table2[GameDate], "&lt;=" &amp; $A189, Table2[AwayTeam], I$1)+SUMIFS(Table2[NewPointsHome],Table2[GameDate], "&lt;=" &amp; $A189, Table2[HomeTeam], I$1)</f>
        <v>16</v>
      </c>
      <c r="J189" s="145">
        <f>SUMIFS(Table2[NewPointsAway],Table2[GameDate], "&lt;=" &amp; $A189, Table2[AwayTeam], J$1)+SUMIFS(Table2[NewPointsHome],Table2[GameDate], "&lt;=" &amp; $A189, Table2[HomeTeam], J$1)</f>
        <v>13</v>
      </c>
      <c r="K189" s="145">
        <f>SUMIFS(Table2[NewPointsAway],Table2[GameDate], "&lt;=" &amp; $A189, Table2[AwayTeam], K$1)+SUMIFS(Table2[NewPointsHome],Table2[GameDate], "&lt;=" &amp; $A189, Table2[HomeTeam], K$1)</f>
        <v>14</v>
      </c>
      <c r="L189" s="145">
        <f>SUMIFS(Table2[NewPointsAway],Table2[GameDate], "&lt;=" &amp; $A189, Table2[AwayTeam], L$1)+SUMIFS(Table2[NewPointsHome],Table2[GameDate], "&lt;=" &amp; $A189, Table2[HomeTeam], L$1)</f>
        <v>12</v>
      </c>
      <c r="M189" s="145">
        <f>SUMIFS(Table2[NewPointsAway],Table2[GameDate], "&lt;=" &amp; $A189, Table2[AwayTeam], M$1)+SUMIFS(Table2[NewPointsHome],Table2[GameDate], "&lt;=" &amp; $A189, Table2[HomeTeam], M$1)</f>
        <v>11</v>
      </c>
      <c r="N189" s="145">
        <f>SUMIFS(Table2[NewPointsAway],Table2[GameDate], "&lt;=" &amp; $A189, Table2[AwayTeam], N$1)+SUMIFS(Table2[NewPointsHome],Table2[GameDate], "&lt;=" &amp; $A189, Table2[HomeTeam], N$1)</f>
        <v>13</v>
      </c>
      <c r="O189" s="145">
        <f>SUMIFS(Table2[NewPointsAway],Table2[GameDate], "&lt;=" &amp; $A189, Table2[AwayTeam], O$1)+SUMIFS(Table2[NewPointsHome],Table2[GameDate], "&lt;=" &amp; $A189, Table2[HomeTeam], O$1)</f>
        <v>9</v>
      </c>
      <c r="P189" s="145">
        <f>SUMIFS(Table2[NewPointsAway],Table2[GameDate], "&lt;=" &amp; $A189, Table2[AwayTeam], P$1)+SUMIFS(Table2[NewPointsHome],Table2[GameDate], "&lt;=" &amp; $A189, Table2[HomeTeam], P$1)</f>
        <v>16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10</v>
      </c>
      <c r="U189" s="145">
        <f>SUMIFS(Table2[NewPointsAway],Table2[GameDate], "&lt;=" &amp; $A189, Table2[AwayTeam], U$1)+SUMIFS(Table2[NewPointsHome],Table2[GameDate], "&lt;=" &amp; $A189, Table2[HomeTeam], U$1)</f>
        <v>11</v>
      </c>
      <c r="V189" s="145">
        <f>SUMIFS(Table2[NewPointsAway],Table2[GameDate], "&lt;=" &amp; $A189, Table2[AwayTeam], V$1)+SUMIFS(Table2[NewPointsHome],Table2[GameDate], "&lt;=" &amp; $A189, Table2[HomeTeam], V$1)</f>
        <v>11</v>
      </c>
      <c r="W189" s="145">
        <f>SUMIFS(Table2[NewPointsAway],Table2[GameDate], "&lt;=" &amp; $A189, Table2[AwayTeam], W$1)+SUMIFS(Table2[NewPointsHome],Table2[GameDate], "&lt;=" &amp; $A189, Table2[HomeTeam], W$1)</f>
        <v>16</v>
      </c>
      <c r="X189" s="145">
        <f>SUMIFS(Table2[NewPointsAway],Table2[GameDate], "&lt;=" &amp; $A189, Table2[AwayTeam], X$1)+SUMIFS(Table2[NewPointsHome],Table2[GameDate], "&lt;=" &amp; $A189, Table2[HomeTeam], X$1)</f>
        <v>13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10</v>
      </c>
      <c r="AB189" s="145">
        <f>SUMIFS(Table2[NewPointsAway],Table2[GameDate], "&lt;=" &amp; $A189, Table2[AwayTeam], AB$1)+SUMIFS(Table2[NewPointsHome],Table2[GameDate], "&lt;=" &amp; $A189, Table2[HomeTeam], AB$1)</f>
        <v>11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15</v>
      </c>
      <c r="AF189" s="145">
        <f>SUMIFS(Table2[NewPointsAway],Table2[GameDate], "&lt;=" &amp; $A189, Table2[AwayTeam], AF$1)+SUMIFS(Table2[NewPointsHome],Table2[GameDate], "&lt;=" &amp; $A189, Table2[HomeTeam], AF$1)</f>
        <v>14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11</v>
      </c>
      <c r="C190" s="145">
        <f>SUMIFS(Table2[NewPointsAway],Table2[GameDate], "&lt;=" &amp; $A190, Table2[AwayTeam], C$1)+SUMIFS(Table2[NewPointsHome],Table2[GameDate], "&lt;=" &amp; $A190, Table2[HomeTeam], C$1)</f>
        <v>10</v>
      </c>
      <c r="D190" s="145">
        <f>SUMIFS(Table2[NewPointsAway],Table2[GameDate], "&lt;=" &amp; $A190, Table2[AwayTeam], D$1)+SUMIFS(Table2[NewPointsHome],Table2[GameDate], "&lt;=" &amp; $A190, Table2[HomeTeam], D$1)</f>
        <v>10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12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12</v>
      </c>
      <c r="I190" s="145">
        <f>SUMIFS(Table2[NewPointsAway],Table2[GameDate], "&lt;=" &amp; $A190, Table2[AwayTeam], I$1)+SUMIFS(Table2[NewPointsHome],Table2[GameDate], "&lt;=" &amp; $A190, Table2[HomeTeam], I$1)</f>
        <v>16</v>
      </c>
      <c r="J190" s="145">
        <f>SUMIFS(Table2[NewPointsAway],Table2[GameDate], "&lt;=" &amp; $A190, Table2[AwayTeam], J$1)+SUMIFS(Table2[NewPointsHome],Table2[GameDate], "&lt;=" &amp; $A190, Table2[HomeTeam], J$1)</f>
        <v>13</v>
      </c>
      <c r="K190" s="145">
        <f>SUMIFS(Table2[NewPointsAway],Table2[GameDate], "&lt;=" &amp; $A190, Table2[AwayTeam], K$1)+SUMIFS(Table2[NewPointsHome],Table2[GameDate], "&lt;=" &amp; $A190, Table2[HomeTeam], K$1)</f>
        <v>14</v>
      </c>
      <c r="L190" s="145">
        <f>SUMIFS(Table2[NewPointsAway],Table2[GameDate], "&lt;=" &amp; $A190, Table2[AwayTeam], L$1)+SUMIFS(Table2[NewPointsHome],Table2[GameDate], "&lt;=" &amp; $A190, Table2[HomeTeam], L$1)</f>
        <v>12</v>
      </c>
      <c r="M190" s="145">
        <f>SUMIFS(Table2[NewPointsAway],Table2[GameDate], "&lt;=" &amp; $A190, Table2[AwayTeam], M$1)+SUMIFS(Table2[NewPointsHome],Table2[GameDate], "&lt;=" &amp; $A190, Table2[HomeTeam], M$1)</f>
        <v>11</v>
      </c>
      <c r="N190" s="145">
        <f>SUMIFS(Table2[NewPointsAway],Table2[GameDate], "&lt;=" &amp; $A190, Table2[AwayTeam], N$1)+SUMIFS(Table2[NewPointsHome],Table2[GameDate], "&lt;=" &amp; $A190, Table2[HomeTeam], N$1)</f>
        <v>13</v>
      </c>
      <c r="O190" s="145">
        <f>SUMIFS(Table2[NewPointsAway],Table2[GameDate], "&lt;=" &amp; $A190, Table2[AwayTeam], O$1)+SUMIFS(Table2[NewPointsHome],Table2[GameDate], "&lt;=" &amp; $A190, Table2[HomeTeam], O$1)</f>
        <v>9</v>
      </c>
      <c r="P190" s="145">
        <f>SUMIFS(Table2[NewPointsAway],Table2[GameDate], "&lt;=" &amp; $A190, Table2[AwayTeam], P$1)+SUMIFS(Table2[NewPointsHome],Table2[GameDate], "&lt;=" &amp; $A190, Table2[HomeTeam], P$1)</f>
        <v>16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10</v>
      </c>
      <c r="U190" s="145">
        <f>SUMIFS(Table2[NewPointsAway],Table2[GameDate], "&lt;=" &amp; $A190, Table2[AwayTeam], U$1)+SUMIFS(Table2[NewPointsHome],Table2[GameDate], "&lt;=" &amp; $A190, Table2[HomeTeam], U$1)</f>
        <v>11</v>
      </c>
      <c r="V190" s="145">
        <f>SUMIFS(Table2[NewPointsAway],Table2[GameDate], "&lt;=" &amp; $A190, Table2[AwayTeam], V$1)+SUMIFS(Table2[NewPointsHome],Table2[GameDate], "&lt;=" &amp; $A190, Table2[HomeTeam], V$1)</f>
        <v>11</v>
      </c>
      <c r="W190" s="145">
        <f>SUMIFS(Table2[NewPointsAway],Table2[GameDate], "&lt;=" &amp; $A190, Table2[AwayTeam], W$1)+SUMIFS(Table2[NewPointsHome],Table2[GameDate], "&lt;=" &amp; $A190, Table2[HomeTeam], W$1)</f>
        <v>16</v>
      </c>
      <c r="X190" s="145">
        <f>SUMIFS(Table2[NewPointsAway],Table2[GameDate], "&lt;=" &amp; $A190, Table2[AwayTeam], X$1)+SUMIFS(Table2[NewPointsHome],Table2[GameDate], "&lt;=" &amp; $A190, Table2[HomeTeam], X$1)</f>
        <v>13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10</v>
      </c>
      <c r="AB190" s="145">
        <f>SUMIFS(Table2[NewPointsAway],Table2[GameDate], "&lt;=" &amp; $A190, Table2[AwayTeam], AB$1)+SUMIFS(Table2[NewPointsHome],Table2[GameDate], "&lt;=" &amp; $A190, Table2[HomeTeam], AB$1)</f>
        <v>11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15</v>
      </c>
      <c r="AF190" s="145">
        <f>SUMIFS(Table2[NewPointsAway],Table2[GameDate], "&lt;=" &amp; $A190, Table2[AwayTeam], AF$1)+SUMIFS(Table2[NewPointsHome],Table2[GameDate], "&lt;=" &amp; $A190, Table2[HomeTeam], AF$1)</f>
        <v>14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11</v>
      </c>
      <c r="C191" s="145">
        <f>SUMIFS(Table2[NewPointsAway],Table2[GameDate], "&lt;=" &amp; $A191, Table2[AwayTeam], C$1)+SUMIFS(Table2[NewPointsHome],Table2[GameDate], "&lt;=" &amp; $A191, Table2[HomeTeam], C$1)</f>
        <v>10</v>
      </c>
      <c r="D191" s="145">
        <f>SUMIFS(Table2[NewPointsAway],Table2[GameDate], "&lt;=" &amp; $A191, Table2[AwayTeam], D$1)+SUMIFS(Table2[NewPointsHome],Table2[GameDate], "&lt;=" &amp; $A191, Table2[HomeTeam], D$1)</f>
        <v>10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12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12</v>
      </c>
      <c r="I191" s="145">
        <f>SUMIFS(Table2[NewPointsAway],Table2[GameDate], "&lt;=" &amp; $A191, Table2[AwayTeam], I$1)+SUMIFS(Table2[NewPointsHome],Table2[GameDate], "&lt;=" &amp; $A191, Table2[HomeTeam], I$1)</f>
        <v>16</v>
      </c>
      <c r="J191" s="145">
        <f>SUMIFS(Table2[NewPointsAway],Table2[GameDate], "&lt;=" &amp; $A191, Table2[AwayTeam], J$1)+SUMIFS(Table2[NewPointsHome],Table2[GameDate], "&lt;=" &amp; $A191, Table2[HomeTeam], J$1)</f>
        <v>13</v>
      </c>
      <c r="K191" s="145">
        <f>SUMIFS(Table2[NewPointsAway],Table2[GameDate], "&lt;=" &amp; $A191, Table2[AwayTeam], K$1)+SUMIFS(Table2[NewPointsHome],Table2[GameDate], "&lt;=" &amp; $A191, Table2[HomeTeam], K$1)</f>
        <v>14</v>
      </c>
      <c r="L191" s="145">
        <f>SUMIFS(Table2[NewPointsAway],Table2[GameDate], "&lt;=" &amp; $A191, Table2[AwayTeam], L$1)+SUMIFS(Table2[NewPointsHome],Table2[GameDate], "&lt;=" &amp; $A191, Table2[HomeTeam], L$1)</f>
        <v>12</v>
      </c>
      <c r="M191" s="145">
        <f>SUMIFS(Table2[NewPointsAway],Table2[GameDate], "&lt;=" &amp; $A191, Table2[AwayTeam], M$1)+SUMIFS(Table2[NewPointsHome],Table2[GameDate], "&lt;=" &amp; $A191, Table2[HomeTeam], M$1)</f>
        <v>11</v>
      </c>
      <c r="N191" s="145">
        <f>SUMIFS(Table2[NewPointsAway],Table2[GameDate], "&lt;=" &amp; $A191, Table2[AwayTeam], N$1)+SUMIFS(Table2[NewPointsHome],Table2[GameDate], "&lt;=" &amp; $A191, Table2[HomeTeam], N$1)</f>
        <v>13</v>
      </c>
      <c r="O191" s="145">
        <f>SUMIFS(Table2[NewPointsAway],Table2[GameDate], "&lt;=" &amp; $A191, Table2[AwayTeam], O$1)+SUMIFS(Table2[NewPointsHome],Table2[GameDate], "&lt;=" &amp; $A191, Table2[HomeTeam], O$1)</f>
        <v>9</v>
      </c>
      <c r="P191" s="145">
        <f>SUMIFS(Table2[NewPointsAway],Table2[GameDate], "&lt;=" &amp; $A191, Table2[AwayTeam], P$1)+SUMIFS(Table2[NewPointsHome],Table2[GameDate], "&lt;=" &amp; $A191, Table2[HomeTeam], P$1)</f>
        <v>16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10</v>
      </c>
      <c r="U191" s="145">
        <f>SUMIFS(Table2[NewPointsAway],Table2[GameDate], "&lt;=" &amp; $A191, Table2[AwayTeam], U$1)+SUMIFS(Table2[NewPointsHome],Table2[GameDate], "&lt;=" &amp; $A191, Table2[HomeTeam], U$1)</f>
        <v>11</v>
      </c>
      <c r="V191" s="145">
        <f>SUMIFS(Table2[NewPointsAway],Table2[GameDate], "&lt;=" &amp; $A191, Table2[AwayTeam], V$1)+SUMIFS(Table2[NewPointsHome],Table2[GameDate], "&lt;=" &amp; $A191, Table2[HomeTeam], V$1)</f>
        <v>11</v>
      </c>
      <c r="W191" s="145">
        <f>SUMIFS(Table2[NewPointsAway],Table2[GameDate], "&lt;=" &amp; $A191, Table2[AwayTeam], W$1)+SUMIFS(Table2[NewPointsHome],Table2[GameDate], "&lt;=" &amp; $A191, Table2[HomeTeam], W$1)</f>
        <v>16</v>
      </c>
      <c r="X191" s="145">
        <f>SUMIFS(Table2[NewPointsAway],Table2[GameDate], "&lt;=" &amp; $A191, Table2[AwayTeam], X$1)+SUMIFS(Table2[NewPointsHome],Table2[GameDate], "&lt;=" &amp; $A191, Table2[HomeTeam], X$1)</f>
        <v>13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10</v>
      </c>
      <c r="AB191" s="145">
        <f>SUMIFS(Table2[NewPointsAway],Table2[GameDate], "&lt;=" &amp; $A191, Table2[AwayTeam], AB$1)+SUMIFS(Table2[NewPointsHome],Table2[GameDate], "&lt;=" &amp; $A191, Table2[HomeTeam], AB$1)</f>
        <v>11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15</v>
      </c>
      <c r="AF191" s="145">
        <f>SUMIFS(Table2[NewPointsAway],Table2[GameDate], "&lt;=" &amp; $A191, Table2[AwayTeam], AF$1)+SUMIFS(Table2[NewPointsHome],Table2[GameDate], "&lt;=" &amp; $A191, Table2[HomeTeam], AF$1)</f>
        <v>14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11</v>
      </c>
      <c r="C192" s="145">
        <f>SUMIFS(Table2[NewPointsAway],Table2[GameDate], "&lt;=" &amp; $A192, Table2[AwayTeam], C$1)+SUMIFS(Table2[NewPointsHome],Table2[GameDate], "&lt;=" &amp; $A192, Table2[HomeTeam], C$1)</f>
        <v>10</v>
      </c>
      <c r="D192" s="145">
        <f>SUMIFS(Table2[NewPointsAway],Table2[GameDate], "&lt;=" &amp; $A192, Table2[AwayTeam], D$1)+SUMIFS(Table2[NewPointsHome],Table2[GameDate], "&lt;=" &amp; $A192, Table2[HomeTeam], D$1)</f>
        <v>10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12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12</v>
      </c>
      <c r="I192" s="145">
        <f>SUMIFS(Table2[NewPointsAway],Table2[GameDate], "&lt;=" &amp; $A192, Table2[AwayTeam], I$1)+SUMIFS(Table2[NewPointsHome],Table2[GameDate], "&lt;=" &amp; $A192, Table2[HomeTeam], I$1)</f>
        <v>16</v>
      </c>
      <c r="J192" s="145">
        <f>SUMIFS(Table2[NewPointsAway],Table2[GameDate], "&lt;=" &amp; $A192, Table2[AwayTeam], J$1)+SUMIFS(Table2[NewPointsHome],Table2[GameDate], "&lt;=" &amp; $A192, Table2[HomeTeam], J$1)</f>
        <v>13</v>
      </c>
      <c r="K192" s="145">
        <f>SUMIFS(Table2[NewPointsAway],Table2[GameDate], "&lt;=" &amp; $A192, Table2[AwayTeam], K$1)+SUMIFS(Table2[NewPointsHome],Table2[GameDate], "&lt;=" &amp; $A192, Table2[HomeTeam], K$1)</f>
        <v>14</v>
      </c>
      <c r="L192" s="145">
        <f>SUMIFS(Table2[NewPointsAway],Table2[GameDate], "&lt;=" &amp; $A192, Table2[AwayTeam], L$1)+SUMIFS(Table2[NewPointsHome],Table2[GameDate], "&lt;=" &amp; $A192, Table2[HomeTeam], L$1)</f>
        <v>12</v>
      </c>
      <c r="M192" s="145">
        <f>SUMIFS(Table2[NewPointsAway],Table2[GameDate], "&lt;=" &amp; $A192, Table2[AwayTeam], M$1)+SUMIFS(Table2[NewPointsHome],Table2[GameDate], "&lt;=" &amp; $A192, Table2[HomeTeam], M$1)</f>
        <v>11</v>
      </c>
      <c r="N192" s="145">
        <f>SUMIFS(Table2[NewPointsAway],Table2[GameDate], "&lt;=" &amp; $A192, Table2[AwayTeam], N$1)+SUMIFS(Table2[NewPointsHome],Table2[GameDate], "&lt;=" &amp; $A192, Table2[HomeTeam], N$1)</f>
        <v>13</v>
      </c>
      <c r="O192" s="145">
        <f>SUMIFS(Table2[NewPointsAway],Table2[GameDate], "&lt;=" &amp; $A192, Table2[AwayTeam], O$1)+SUMIFS(Table2[NewPointsHome],Table2[GameDate], "&lt;=" &amp; $A192, Table2[HomeTeam], O$1)</f>
        <v>9</v>
      </c>
      <c r="P192" s="145">
        <f>SUMIFS(Table2[NewPointsAway],Table2[GameDate], "&lt;=" &amp; $A192, Table2[AwayTeam], P$1)+SUMIFS(Table2[NewPointsHome],Table2[GameDate], "&lt;=" &amp; $A192, Table2[HomeTeam], P$1)</f>
        <v>16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10</v>
      </c>
      <c r="U192" s="145">
        <f>SUMIFS(Table2[NewPointsAway],Table2[GameDate], "&lt;=" &amp; $A192, Table2[AwayTeam], U$1)+SUMIFS(Table2[NewPointsHome],Table2[GameDate], "&lt;=" &amp; $A192, Table2[HomeTeam], U$1)</f>
        <v>11</v>
      </c>
      <c r="V192" s="145">
        <f>SUMIFS(Table2[NewPointsAway],Table2[GameDate], "&lt;=" &amp; $A192, Table2[AwayTeam], V$1)+SUMIFS(Table2[NewPointsHome],Table2[GameDate], "&lt;=" &amp; $A192, Table2[HomeTeam], V$1)</f>
        <v>11</v>
      </c>
      <c r="W192" s="145">
        <f>SUMIFS(Table2[NewPointsAway],Table2[GameDate], "&lt;=" &amp; $A192, Table2[AwayTeam], W$1)+SUMIFS(Table2[NewPointsHome],Table2[GameDate], "&lt;=" &amp; $A192, Table2[HomeTeam], W$1)</f>
        <v>16</v>
      </c>
      <c r="X192" s="145">
        <f>SUMIFS(Table2[NewPointsAway],Table2[GameDate], "&lt;=" &amp; $A192, Table2[AwayTeam], X$1)+SUMIFS(Table2[NewPointsHome],Table2[GameDate], "&lt;=" &amp; $A192, Table2[HomeTeam], X$1)</f>
        <v>13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10</v>
      </c>
      <c r="AB192" s="145">
        <f>SUMIFS(Table2[NewPointsAway],Table2[GameDate], "&lt;=" &amp; $A192, Table2[AwayTeam], AB$1)+SUMIFS(Table2[NewPointsHome],Table2[GameDate], "&lt;=" &amp; $A192, Table2[HomeTeam], AB$1)</f>
        <v>11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15</v>
      </c>
      <c r="AF192" s="145">
        <f>SUMIFS(Table2[NewPointsAway],Table2[GameDate], "&lt;=" &amp; $A192, Table2[AwayTeam], AF$1)+SUMIFS(Table2[NewPointsHome],Table2[GameDate], "&lt;=" &amp; $A192, Table2[HomeTeam], AF$1)</f>
        <v>14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11</v>
      </c>
      <c r="C193" s="145">
        <f>SUMIFS(Table2[NewPointsAway],Table2[GameDate], "&lt;=" &amp; $A193, Table2[AwayTeam], C$1)+SUMIFS(Table2[NewPointsHome],Table2[GameDate], "&lt;=" &amp; $A193, Table2[HomeTeam], C$1)</f>
        <v>10</v>
      </c>
      <c r="D193" s="145">
        <f>SUMIFS(Table2[NewPointsAway],Table2[GameDate], "&lt;=" &amp; $A193, Table2[AwayTeam], D$1)+SUMIFS(Table2[NewPointsHome],Table2[GameDate], "&lt;=" &amp; $A193, Table2[HomeTeam], D$1)</f>
        <v>10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12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12</v>
      </c>
      <c r="I193" s="145">
        <f>SUMIFS(Table2[NewPointsAway],Table2[GameDate], "&lt;=" &amp; $A193, Table2[AwayTeam], I$1)+SUMIFS(Table2[NewPointsHome],Table2[GameDate], "&lt;=" &amp; $A193, Table2[HomeTeam], I$1)</f>
        <v>16</v>
      </c>
      <c r="J193" s="145">
        <f>SUMIFS(Table2[NewPointsAway],Table2[GameDate], "&lt;=" &amp; $A193, Table2[AwayTeam], J$1)+SUMIFS(Table2[NewPointsHome],Table2[GameDate], "&lt;=" &amp; $A193, Table2[HomeTeam], J$1)</f>
        <v>13</v>
      </c>
      <c r="K193" s="145">
        <f>SUMIFS(Table2[NewPointsAway],Table2[GameDate], "&lt;=" &amp; $A193, Table2[AwayTeam], K$1)+SUMIFS(Table2[NewPointsHome],Table2[GameDate], "&lt;=" &amp; $A193, Table2[HomeTeam], K$1)</f>
        <v>14</v>
      </c>
      <c r="L193" s="145">
        <f>SUMIFS(Table2[NewPointsAway],Table2[GameDate], "&lt;=" &amp; $A193, Table2[AwayTeam], L$1)+SUMIFS(Table2[NewPointsHome],Table2[GameDate], "&lt;=" &amp; $A193, Table2[HomeTeam], L$1)</f>
        <v>12</v>
      </c>
      <c r="M193" s="145">
        <f>SUMIFS(Table2[NewPointsAway],Table2[GameDate], "&lt;=" &amp; $A193, Table2[AwayTeam], M$1)+SUMIFS(Table2[NewPointsHome],Table2[GameDate], "&lt;=" &amp; $A193, Table2[HomeTeam], M$1)</f>
        <v>11</v>
      </c>
      <c r="N193" s="145">
        <f>SUMIFS(Table2[NewPointsAway],Table2[GameDate], "&lt;=" &amp; $A193, Table2[AwayTeam], N$1)+SUMIFS(Table2[NewPointsHome],Table2[GameDate], "&lt;=" &amp; $A193, Table2[HomeTeam], N$1)</f>
        <v>13</v>
      </c>
      <c r="O193" s="145">
        <f>SUMIFS(Table2[NewPointsAway],Table2[GameDate], "&lt;=" &amp; $A193, Table2[AwayTeam], O$1)+SUMIFS(Table2[NewPointsHome],Table2[GameDate], "&lt;=" &amp; $A193, Table2[HomeTeam], O$1)</f>
        <v>9</v>
      </c>
      <c r="P193" s="145">
        <f>SUMIFS(Table2[NewPointsAway],Table2[GameDate], "&lt;=" &amp; $A193, Table2[AwayTeam], P$1)+SUMIFS(Table2[NewPointsHome],Table2[GameDate], "&lt;=" &amp; $A193, Table2[HomeTeam], P$1)</f>
        <v>16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10</v>
      </c>
      <c r="U193" s="145">
        <f>SUMIFS(Table2[NewPointsAway],Table2[GameDate], "&lt;=" &amp; $A193, Table2[AwayTeam], U$1)+SUMIFS(Table2[NewPointsHome],Table2[GameDate], "&lt;=" &amp; $A193, Table2[HomeTeam], U$1)</f>
        <v>11</v>
      </c>
      <c r="V193" s="145">
        <f>SUMIFS(Table2[NewPointsAway],Table2[GameDate], "&lt;=" &amp; $A193, Table2[AwayTeam], V$1)+SUMIFS(Table2[NewPointsHome],Table2[GameDate], "&lt;=" &amp; $A193, Table2[HomeTeam], V$1)</f>
        <v>11</v>
      </c>
      <c r="W193" s="145">
        <f>SUMIFS(Table2[NewPointsAway],Table2[GameDate], "&lt;=" &amp; $A193, Table2[AwayTeam], W$1)+SUMIFS(Table2[NewPointsHome],Table2[GameDate], "&lt;=" &amp; $A193, Table2[HomeTeam], W$1)</f>
        <v>16</v>
      </c>
      <c r="X193" s="145">
        <f>SUMIFS(Table2[NewPointsAway],Table2[GameDate], "&lt;=" &amp; $A193, Table2[AwayTeam], X$1)+SUMIFS(Table2[NewPointsHome],Table2[GameDate], "&lt;=" &amp; $A193, Table2[HomeTeam], X$1)</f>
        <v>13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10</v>
      </c>
      <c r="AB193" s="145">
        <f>SUMIFS(Table2[NewPointsAway],Table2[GameDate], "&lt;=" &amp; $A193, Table2[AwayTeam], AB$1)+SUMIFS(Table2[NewPointsHome],Table2[GameDate], "&lt;=" &amp; $A193, Table2[HomeTeam], AB$1)</f>
        <v>11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15</v>
      </c>
      <c r="AF193" s="145">
        <f>SUMIFS(Table2[NewPointsAway],Table2[GameDate], "&lt;=" &amp; $A193, Table2[AwayTeam], AF$1)+SUMIFS(Table2[NewPointsHome],Table2[GameDate], "&lt;=" &amp; $A193, Table2[HomeTeam], AF$1)</f>
        <v>14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11</v>
      </c>
      <c r="C194" s="145">
        <f>SUMIFS(Table2[NewPointsAway],Table2[GameDate], "&lt;=" &amp; $A194, Table2[AwayTeam], C$1)+SUMIFS(Table2[NewPointsHome],Table2[GameDate], "&lt;=" &amp; $A194, Table2[HomeTeam], C$1)</f>
        <v>10</v>
      </c>
      <c r="D194" s="145">
        <f>SUMIFS(Table2[NewPointsAway],Table2[GameDate], "&lt;=" &amp; $A194, Table2[AwayTeam], D$1)+SUMIFS(Table2[NewPointsHome],Table2[GameDate], "&lt;=" &amp; $A194, Table2[HomeTeam], D$1)</f>
        <v>10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12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12</v>
      </c>
      <c r="I194" s="145">
        <f>SUMIFS(Table2[NewPointsAway],Table2[GameDate], "&lt;=" &amp; $A194, Table2[AwayTeam], I$1)+SUMIFS(Table2[NewPointsHome],Table2[GameDate], "&lt;=" &amp; $A194, Table2[HomeTeam], I$1)</f>
        <v>16</v>
      </c>
      <c r="J194" s="145">
        <f>SUMIFS(Table2[NewPointsAway],Table2[GameDate], "&lt;=" &amp; $A194, Table2[AwayTeam], J$1)+SUMIFS(Table2[NewPointsHome],Table2[GameDate], "&lt;=" &amp; $A194, Table2[HomeTeam], J$1)</f>
        <v>13</v>
      </c>
      <c r="K194" s="145">
        <f>SUMIFS(Table2[NewPointsAway],Table2[GameDate], "&lt;=" &amp; $A194, Table2[AwayTeam], K$1)+SUMIFS(Table2[NewPointsHome],Table2[GameDate], "&lt;=" &amp; $A194, Table2[HomeTeam], K$1)</f>
        <v>14</v>
      </c>
      <c r="L194" s="145">
        <f>SUMIFS(Table2[NewPointsAway],Table2[GameDate], "&lt;=" &amp; $A194, Table2[AwayTeam], L$1)+SUMIFS(Table2[NewPointsHome],Table2[GameDate], "&lt;=" &amp; $A194, Table2[HomeTeam], L$1)</f>
        <v>12</v>
      </c>
      <c r="M194" s="145">
        <f>SUMIFS(Table2[NewPointsAway],Table2[GameDate], "&lt;=" &amp; $A194, Table2[AwayTeam], M$1)+SUMIFS(Table2[NewPointsHome],Table2[GameDate], "&lt;=" &amp; $A194, Table2[HomeTeam], M$1)</f>
        <v>11</v>
      </c>
      <c r="N194" s="145">
        <f>SUMIFS(Table2[NewPointsAway],Table2[GameDate], "&lt;=" &amp; $A194, Table2[AwayTeam], N$1)+SUMIFS(Table2[NewPointsHome],Table2[GameDate], "&lt;=" &amp; $A194, Table2[HomeTeam], N$1)</f>
        <v>13</v>
      </c>
      <c r="O194" s="145">
        <f>SUMIFS(Table2[NewPointsAway],Table2[GameDate], "&lt;=" &amp; $A194, Table2[AwayTeam], O$1)+SUMIFS(Table2[NewPointsHome],Table2[GameDate], "&lt;=" &amp; $A194, Table2[HomeTeam], O$1)</f>
        <v>9</v>
      </c>
      <c r="P194" s="145">
        <f>SUMIFS(Table2[NewPointsAway],Table2[GameDate], "&lt;=" &amp; $A194, Table2[AwayTeam], P$1)+SUMIFS(Table2[NewPointsHome],Table2[GameDate], "&lt;=" &amp; $A194, Table2[HomeTeam], P$1)</f>
        <v>16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10</v>
      </c>
      <c r="U194" s="145">
        <f>SUMIFS(Table2[NewPointsAway],Table2[GameDate], "&lt;=" &amp; $A194, Table2[AwayTeam], U$1)+SUMIFS(Table2[NewPointsHome],Table2[GameDate], "&lt;=" &amp; $A194, Table2[HomeTeam], U$1)</f>
        <v>11</v>
      </c>
      <c r="V194" s="145">
        <f>SUMIFS(Table2[NewPointsAway],Table2[GameDate], "&lt;=" &amp; $A194, Table2[AwayTeam], V$1)+SUMIFS(Table2[NewPointsHome],Table2[GameDate], "&lt;=" &amp; $A194, Table2[HomeTeam], V$1)</f>
        <v>11</v>
      </c>
      <c r="W194" s="145">
        <f>SUMIFS(Table2[NewPointsAway],Table2[GameDate], "&lt;=" &amp; $A194, Table2[AwayTeam], W$1)+SUMIFS(Table2[NewPointsHome],Table2[GameDate], "&lt;=" &amp; $A194, Table2[HomeTeam], W$1)</f>
        <v>16</v>
      </c>
      <c r="X194" s="145">
        <f>SUMIFS(Table2[NewPointsAway],Table2[GameDate], "&lt;=" &amp; $A194, Table2[AwayTeam], X$1)+SUMIFS(Table2[NewPointsHome],Table2[GameDate], "&lt;=" &amp; $A194, Table2[HomeTeam], X$1)</f>
        <v>13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10</v>
      </c>
      <c r="AB194" s="145">
        <f>SUMIFS(Table2[NewPointsAway],Table2[GameDate], "&lt;=" &amp; $A194, Table2[AwayTeam], AB$1)+SUMIFS(Table2[NewPointsHome],Table2[GameDate], "&lt;=" &amp; $A194, Table2[HomeTeam], AB$1)</f>
        <v>11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15</v>
      </c>
      <c r="AF194" s="145">
        <f>SUMIFS(Table2[NewPointsAway],Table2[GameDate], "&lt;=" &amp; $A194, Table2[AwayTeam], AF$1)+SUMIFS(Table2[NewPointsHome],Table2[GameDate], "&lt;=" &amp; $A194, Table2[HomeTeam], AF$1)</f>
        <v>14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11</v>
      </c>
      <c r="C195" s="145">
        <f>SUMIFS(Table2[NewPointsAway],Table2[GameDate], "&lt;=" &amp; $A195, Table2[AwayTeam], C$1)+SUMIFS(Table2[NewPointsHome],Table2[GameDate], "&lt;=" &amp; $A195, Table2[HomeTeam], C$1)</f>
        <v>10</v>
      </c>
      <c r="D195" s="145">
        <f>SUMIFS(Table2[NewPointsAway],Table2[GameDate], "&lt;=" &amp; $A195, Table2[AwayTeam], D$1)+SUMIFS(Table2[NewPointsHome],Table2[GameDate], "&lt;=" &amp; $A195, Table2[HomeTeam], D$1)</f>
        <v>10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12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12</v>
      </c>
      <c r="I195" s="145">
        <f>SUMIFS(Table2[NewPointsAway],Table2[GameDate], "&lt;=" &amp; $A195, Table2[AwayTeam], I$1)+SUMIFS(Table2[NewPointsHome],Table2[GameDate], "&lt;=" &amp; $A195, Table2[HomeTeam], I$1)</f>
        <v>16</v>
      </c>
      <c r="J195" s="145">
        <f>SUMIFS(Table2[NewPointsAway],Table2[GameDate], "&lt;=" &amp; $A195, Table2[AwayTeam], J$1)+SUMIFS(Table2[NewPointsHome],Table2[GameDate], "&lt;=" &amp; $A195, Table2[HomeTeam], J$1)</f>
        <v>13</v>
      </c>
      <c r="K195" s="145">
        <f>SUMIFS(Table2[NewPointsAway],Table2[GameDate], "&lt;=" &amp; $A195, Table2[AwayTeam], K$1)+SUMIFS(Table2[NewPointsHome],Table2[GameDate], "&lt;=" &amp; $A195, Table2[HomeTeam], K$1)</f>
        <v>14</v>
      </c>
      <c r="L195" s="145">
        <f>SUMIFS(Table2[NewPointsAway],Table2[GameDate], "&lt;=" &amp; $A195, Table2[AwayTeam], L$1)+SUMIFS(Table2[NewPointsHome],Table2[GameDate], "&lt;=" &amp; $A195, Table2[HomeTeam], L$1)</f>
        <v>12</v>
      </c>
      <c r="M195" s="145">
        <f>SUMIFS(Table2[NewPointsAway],Table2[GameDate], "&lt;=" &amp; $A195, Table2[AwayTeam], M$1)+SUMIFS(Table2[NewPointsHome],Table2[GameDate], "&lt;=" &amp; $A195, Table2[HomeTeam], M$1)</f>
        <v>11</v>
      </c>
      <c r="N195" s="145">
        <f>SUMIFS(Table2[NewPointsAway],Table2[GameDate], "&lt;=" &amp; $A195, Table2[AwayTeam], N$1)+SUMIFS(Table2[NewPointsHome],Table2[GameDate], "&lt;=" &amp; $A195, Table2[HomeTeam], N$1)</f>
        <v>13</v>
      </c>
      <c r="O195" s="145">
        <f>SUMIFS(Table2[NewPointsAway],Table2[GameDate], "&lt;=" &amp; $A195, Table2[AwayTeam], O$1)+SUMIFS(Table2[NewPointsHome],Table2[GameDate], "&lt;=" &amp; $A195, Table2[HomeTeam], O$1)</f>
        <v>9</v>
      </c>
      <c r="P195" s="145">
        <f>SUMIFS(Table2[NewPointsAway],Table2[GameDate], "&lt;=" &amp; $A195, Table2[AwayTeam], P$1)+SUMIFS(Table2[NewPointsHome],Table2[GameDate], "&lt;=" &amp; $A195, Table2[HomeTeam], P$1)</f>
        <v>16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10</v>
      </c>
      <c r="U195" s="145">
        <f>SUMIFS(Table2[NewPointsAway],Table2[GameDate], "&lt;=" &amp; $A195, Table2[AwayTeam], U$1)+SUMIFS(Table2[NewPointsHome],Table2[GameDate], "&lt;=" &amp; $A195, Table2[HomeTeam], U$1)</f>
        <v>11</v>
      </c>
      <c r="V195" s="145">
        <f>SUMIFS(Table2[NewPointsAway],Table2[GameDate], "&lt;=" &amp; $A195, Table2[AwayTeam], V$1)+SUMIFS(Table2[NewPointsHome],Table2[GameDate], "&lt;=" &amp; $A195, Table2[HomeTeam], V$1)</f>
        <v>11</v>
      </c>
      <c r="W195" s="145">
        <f>SUMIFS(Table2[NewPointsAway],Table2[GameDate], "&lt;=" &amp; $A195, Table2[AwayTeam], W$1)+SUMIFS(Table2[NewPointsHome],Table2[GameDate], "&lt;=" &amp; $A195, Table2[HomeTeam], W$1)</f>
        <v>16</v>
      </c>
      <c r="X195" s="145">
        <f>SUMIFS(Table2[NewPointsAway],Table2[GameDate], "&lt;=" &amp; $A195, Table2[AwayTeam], X$1)+SUMIFS(Table2[NewPointsHome],Table2[GameDate], "&lt;=" &amp; $A195, Table2[HomeTeam], X$1)</f>
        <v>13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10</v>
      </c>
      <c r="AB195" s="145">
        <f>SUMIFS(Table2[NewPointsAway],Table2[GameDate], "&lt;=" &amp; $A195, Table2[AwayTeam], AB$1)+SUMIFS(Table2[NewPointsHome],Table2[GameDate], "&lt;=" &amp; $A195, Table2[HomeTeam], AB$1)</f>
        <v>11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15</v>
      </c>
      <c r="AF195" s="145">
        <f>SUMIFS(Table2[NewPointsAway],Table2[GameDate], "&lt;=" &amp; $A195, Table2[AwayTeam], AF$1)+SUMIFS(Table2[NewPointsHome],Table2[GameDate], "&lt;=" &amp; $A195, Table2[HomeTeam], AF$1)</f>
        <v>14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11</v>
      </c>
      <c r="C196" s="145">
        <f>SUMIFS(Table2[NewPointsAway],Table2[GameDate], "&lt;=" &amp; $A196, Table2[AwayTeam], C$1)+SUMIFS(Table2[NewPointsHome],Table2[GameDate], "&lt;=" &amp; $A196, Table2[HomeTeam], C$1)</f>
        <v>10</v>
      </c>
      <c r="D196" s="145">
        <f>SUMIFS(Table2[NewPointsAway],Table2[GameDate], "&lt;=" &amp; $A196, Table2[AwayTeam], D$1)+SUMIFS(Table2[NewPointsHome],Table2[GameDate], "&lt;=" &amp; $A196, Table2[HomeTeam], D$1)</f>
        <v>10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12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12</v>
      </c>
      <c r="I196" s="145">
        <f>SUMIFS(Table2[NewPointsAway],Table2[GameDate], "&lt;=" &amp; $A196, Table2[AwayTeam], I$1)+SUMIFS(Table2[NewPointsHome],Table2[GameDate], "&lt;=" &amp; $A196, Table2[HomeTeam], I$1)</f>
        <v>16</v>
      </c>
      <c r="J196" s="145">
        <f>SUMIFS(Table2[NewPointsAway],Table2[GameDate], "&lt;=" &amp; $A196, Table2[AwayTeam], J$1)+SUMIFS(Table2[NewPointsHome],Table2[GameDate], "&lt;=" &amp; $A196, Table2[HomeTeam], J$1)</f>
        <v>13</v>
      </c>
      <c r="K196" s="145">
        <f>SUMIFS(Table2[NewPointsAway],Table2[GameDate], "&lt;=" &amp; $A196, Table2[AwayTeam], K$1)+SUMIFS(Table2[NewPointsHome],Table2[GameDate], "&lt;=" &amp; $A196, Table2[HomeTeam], K$1)</f>
        <v>14</v>
      </c>
      <c r="L196" s="145">
        <f>SUMIFS(Table2[NewPointsAway],Table2[GameDate], "&lt;=" &amp; $A196, Table2[AwayTeam], L$1)+SUMIFS(Table2[NewPointsHome],Table2[GameDate], "&lt;=" &amp; $A196, Table2[HomeTeam], L$1)</f>
        <v>12</v>
      </c>
      <c r="M196" s="145">
        <f>SUMIFS(Table2[NewPointsAway],Table2[GameDate], "&lt;=" &amp; $A196, Table2[AwayTeam], M$1)+SUMIFS(Table2[NewPointsHome],Table2[GameDate], "&lt;=" &amp; $A196, Table2[HomeTeam], M$1)</f>
        <v>11</v>
      </c>
      <c r="N196" s="145">
        <f>SUMIFS(Table2[NewPointsAway],Table2[GameDate], "&lt;=" &amp; $A196, Table2[AwayTeam], N$1)+SUMIFS(Table2[NewPointsHome],Table2[GameDate], "&lt;=" &amp; $A196, Table2[HomeTeam], N$1)</f>
        <v>13</v>
      </c>
      <c r="O196" s="145">
        <f>SUMIFS(Table2[NewPointsAway],Table2[GameDate], "&lt;=" &amp; $A196, Table2[AwayTeam], O$1)+SUMIFS(Table2[NewPointsHome],Table2[GameDate], "&lt;=" &amp; $A196, Table2[HomeTeam], O$1)</f>
        <v>9</v>
      </c>
      <c r="P196" s="145">
        <f>SUMIFS(Table2[NewPointsAway],Table2[GameDate], "&lt;=" &amp; $A196, Table2[AwayTeam], P$1)+SUMIFS(Table2[NewPointsHome],Table2[GameDate], "&lt;=" &amp; $A196, Table2[HomeTeam], P$1)</f>
        <v>16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10</v>
      </c>
      <c r="U196" s="145">
        <f>SUMIFS(Table2[NewPointsAway],Table2[GameDate], "&lt;=" &amp; $A196, Table2[AwayTeam], U$1)+SUMIFS(Table2[NewPointsHome],Table2[GameDate], "&lt;=" &amp; $A196, Table2[HomeTeam], U$1)</f>
        <v>11</v>
      </c>
      <c r="V196" s="145">
        <f>SUMIFS(Table2[NewPointsAway],Table2[GameDate], "&lt;=" &amp; $A196, Table2[AwayTeam], V$1)+SUMIFS(Table2[NewPointsHome],Table2[GameDate], "&lt;=" &amp; $A196, Table2[HomeTeam], V$1)</f>
        <v>11</v>
      </c>
      <c r="W196" s="145">
        <f>SUMIFS(Table2[NewPointsAway],Table2[GameDate], "&lt;=" &amp; $A196, Table2[AwayTeam], W$1)+SUMIFS(Table2[NewPointsHome],Table2[GameDate], "&lt;=" &amp; $A196, Table2[HomeTeam], W$1)</f>
        <v>16</v>
      </c>
      <c r="X196" s="145">
        <f>SUMIFS(Table2[NewPointsAway],Table2[GameDate], "&lt;=" &amp; $A196, Table2[AwayTeam], X$1)+SUMIFS(Table2[NewPointsHome],Table2[GameDate], "&lt;=" &amp; $A196, Table2[HomeTeam], X$1)</f>
        <v>13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10</v>
      </c>
      <c r="AB196" s="145">
        <f>SUMIFS(Table2[NewPointsAway],Table2[GameDate], "&lt;=" &amp; $A196, Table2[AwayTeam], AB$1)+SUMIFS(Table2[NewPointsHome],Table2[GameDate], "&lt;=" &amp; $A196, Table2[HomeTeam], AB$1)</f>
        <v>11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15</v>
      </c>
      <c r="AF196" s="145">
        <f>SUMIFS(Table2[NewPointsAway],Table2[GameDate], "&lt;=" &amp; $A196, Table2[AwayTeam], AF$1)+SUMIFS(Table2[NewPointsHome],Table2[GameDate], "&lt;=" &amp; $A196, Table2[HomeTeam], AF$1)</f>
        <v>14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11</v>
      </c>
      <c r="C197" s="145">
        <f>SUMIFS(Table2[NewPointsAway],Table2[GameDate], "&lt;=" &amp; $A197, Table2[AwayTeam], C$1)+SUMIFS(Table2[NewPointsHome],Table2[GameDate], "&lt;=" &amp; $A197, Table2[HomeTeam], C$1)</f>
        <v>10</v>
      </c>
      <c r="D197" s="145">
        <f>SUMIFS(Table2[NewPointsAway],Table2[GameDate], "&lt;=" &amp; $A197, Table2[AwayTeam], D$1)+SUMIFS(Table2[NewPointsHome],Table2[GameDate], "&lt;=" &amp; $A197, Table2[HomeTeam], D$1)</f>
        <v>10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12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12</v>
      </c>
      <c r="I197" s="145">
        <f>SUMIFS(Table2[NewPointsAway],Table2[GameDate], "&lt;=" &amp; $A197, Table2[AwayTeam], I$1)+SUMIFS(Table2[NewPointsHome],Table2[GameDate], "&lt;=" &amp; $A197, Table2[HomeTeam], I$1)</f>
        <v>16</v>
      </c>
      <c r="J197" s="145">
        <f>SUMIFS(Table2[NewPointsAway],Table2[GameDate], "&lt;=" &amp; $A197, Table2[AwayTeam], J$1)+SUMIFS(Table2[NewPointsHome],Table2[GameDate], "&lt;=" &amp; $A197, Table2[HomeTeam], J$1)</f>
        <v>13</v>
      </c>
      <c r="K197" s="145">
        <f>SUMIFS(Table2[NewPointsAway],Table2[GameDate], "&lt;=" &amp; $A197, Table2[AwayTeam], K$1)+SUMIFS(Table2[NewPointsHome],Table2[GameDate], "&lt;=" &amp; $A197, Table2[HomeTeam], K$1)</f>
        <v>14</v>
      </c>
      <c r="L197" s="145">
        <f>SUMIFS(Table2[NewPointsAway],Table2[GameDate], "&lt;=" &amp; $A197, Table2[AwayTeam], L$1)+SUMIFS(Table2[NewPointsHome],Table2[GameDate], "&lt;=" &amp; $A197, Table2[HomeTeam], L$1)</f>
        <v>12</v>
      </c>
      <c r="M197" s="145">
        <f>SUMIFS(Table2[NewPointsAway],Table2[GameDate], "&lt;=" &amp; $A197, Table2[AwayTeam], M$1)+SUMIFS(Table2[NewPointsHome],Table2[GameDate], "&lt;=" &amp; $A197, Table2[HomeTeam], M$1)</f>
        <v>11</v>
      </c>
      <c r="N197" s="145">
        <f>SUMIFS(Table2[NewPointsAway],Table2[GameDate], "&lt;=" &amp; $A197, Table2[AwayTeam], N$1)+SUMIFS(Table2[NewPointsHome],Table2[GameDate], "&lt;=" &amp; $A197, Table2[HomeTeam], N$1)</f>
        <v>13</v>
      </c>
      <c r="O197" s="145">
        <f>SUMIFS(Table2[NewPointsAway],Table2[GameDate], "&lt;=" &amp; $A197, Table2[AwayTeam], O$1)+SUMIFS(Table2[NewPointsHome],Table2[GameDate], "&lt;=" &amp; $A197, Table2[HomeTeam], O$1)</f>
        <v>9</v>
      </c>
      <c r="P197" s="145">
        <f>SUMIFS(Table2[NewPointsAway],Table2[GameDate], "&lt;=" &amp; $A197, Table2[AwayTeam], P$1)+SUMIFS(Table2[NewPointsHome],Table2[GameDate], "&lt;=" &amp; $A197, Table2[HomeTeam], P$1)</f>
        <v>16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10</v>
      </c>
      <c r="U197" s="145">
        <f>SUMIFS(Table2[NewPointsAway],Table2[GameDate], "&lt;=" &amp; $A197, Table2[AwayTeam], U$1)+SUMIFS(Table2[NewPointsHome],Table2[GameDate], "&lt;=" &amp; $A197, Table2[HomeTeam], U$1)</f>
        <v>11</v>
      </c>
      <c r="V197" s="145">
        <f>SUMIFS(Table2[NewPointsAway],Table2[GameDate], "&lt;=" &amp; $A197, Table2[AwayTeam], V$1)+SUMIFS(Table2[NewPointsHome],Table2[GameDate], "&lt;=" &amp; $A197, Table2[HomeTeam], V$1)</f>
        <v>11</v>
      </c>
      <c r="W197" s="145">
        <f>SUMIFS(Table2[NewPointsAway],Table2[GameDate], "&lt;=" &amp; $A197, Table2[AwayTeam], W$1)+SUMIFS(Table2[NewPointsHome],Table2[GameDate], "&lt;=" &amp; $A197, Table2[HomeTeam], W$1)</f>
        <v>16</v>
      </c>
      <c r="X197" s="145">
        <f>SUMIFS(Table2[NewPointsAway],Table2[GameDate], "&lt;=" &amp; $A197, Table2[AwayTeam], X$1)+SUMIFS(Table2[NewPointsHome],Table2[GameDate], "&lt;=" &amp; $A197, Table2[HomeTeam], X$1)</f>
        <v>13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10</v>
      </c>
      <c r="AB197" s="145">
        <f>SUMIFS(Table2[NewPointsAway],Table2[GameDate], "&lt;=" &amp; $A197, Table2[AwayTeam], AB$1)+SUMIFS(Table2[NewPointsHome],Table2[GameDate], "&lt;=" &amp; $A197, Table2[HomeTeam], AB$1)</f>
        <v>11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15</v>
      </c>
      <c r="AF197" s="145">
        <f>SUMIFS(Table2[NewPointsAway],Table2[GameDate], "&lt;=" &amp; $A197, Table2[AwayTeam], AF$1)+SUMIFS(Table2[NewPointsHome],Table2[GameDate], "&lt;=" &amp; $A197, Table2[HomeTeam], AF$1)</f>
        <v>14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11</v>
      </c>
      <c r="C198" s="145">
        <f>SUMIFS(Table2[NewPointsAway],Table2[GameDate], "&lt;=" &amp; $A198, Table2[AwayTeam], C$1)+SUMIFS(Table2[NewPointsHome],Table2[GameDate], "&lt;=" &amp; $A198, Table2[HomeTeam], C$1)</f>
        <v>10</v>
      </c>
      <c r="D198" s="145">
        <f>SUMIFS(Table2[NewPointsAway],Table2[GameDate], "&lt;=" &amp; $A198, Table2[AwayTeam], D$1)+SUMIFS(Table2[NewPointsHome],Table2[GameDate], "&lt;=" &amp; $A198, Table2[HomeTeam], D$1)</f>
        <v>10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12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12</v>
      </c>
      <c r="I198" s="145">
        <f>SUMIFS(Table2[NewPointsAway],Table2[GameDate], "&lt;=" &amp; $A198, Table2[AwayTeam], I$1)+SUMIFS(Table2[NewPointsHome],Table2[GameDate], "&lt;=" &amp; $A198, Table2[HomeTeam], I$1)</f>
        <v>16</v>
      </c>
      <c r="J198" s="145">
        <f>SUMIFS(Table2[NewPointsAway],Table2[GameDate], "&lt;=" &amp; $A198, Table2[AwayTeam], J$1)+SUMIFS(Table2[NewPointsHome],Table2[GameDate], "&lt;=" &amp; $A198, Table2[HomeTeam], J$1)</f>
        <v>13</v>
      </c>
      <c r="K198" s="145">
        <f>SUMIFS(Table2[NewPointsAway],Table2[GameDate], "&lt;=" &amp; $A198, Table2[AwayTeam], K$1)+SUMIFS(Table2[NewPointsHome],Table2[GameDate], "&lt;=" &amp; $A198, Table2[HomeTeam], K$1)</f>
        <v>14</v>
      </c>
      <c r="L198" s="145">
        <f>SUMIFS(Table2[NewPointsAway],Table2[GameDate], "&lt;=" &amp; $A198, Table2[AwayTeam], L$1)+SUMIFS(Table2[NewPointsHome],Table2[GameDate], "&lt;=" &amp; $A198, Table2[HomeTeam], L$1)</f>
        <v>12</v>
      </c>
      <c r="M198" s="145">
        <f>SUMIFS(Table2[NewPointsAway],Table2[GameDate], "&lt;=" &amp; $A198, Table2[AwayTeam], M$1)+SUMIFS(Table2[NewPointsHome],Table2[GameDate], "&lt;=" &amp; $A198, Table2[HomeTeam], M$1)</f>
        <v>11</v>
      </c>
      <c r="N198" s="145">
        <f>SUMIFS(Table2[NewPointsAway],Table2[GameDate], "&lt;=" &amp; $A198, Table2[AwayTeam], N$1)+SUMIFS(Table2[NewPointsHome],Table2[GameDate], "&lt;=" &amp; $A198, Table2[HomeTeam], N$1)</f>
        <v>13</v>
      </c>
      <c r="O198" s="145">
        <f>SUMIFS(Table2[NewPointsAway],Table2[GameDate], "&lt;=" &amp; $A198, Table2[AwayTeam], O$1)+SUMIFS(Table2[NewPointsHome],Table2[GameDate], "&lt;=" &amp; $A198, Table2[HomeTeam], O$1)</f>
        <v>9</v>
      </c>
      <c r="P198" s="145">
        <f>SUMIFS(Table2[NewPointsAway],Table2[GameDate], "&lt;=" &amp; $A198, Table2[AwayTeam], P$1)+SUMIFS(Table2[NewPointsHome],Table2[GameDate], "&lt;=" &amp; $A198, Table2[HomeTeam], P$1)</f>
        <v>16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10</v>
      </c>
      <c r="U198" s="145">
        <f>SUMIFS(Table2[NewPointsAway],Table2[GameDate], "&lt;=" &amp; $A198, Table2[AwayTeam], U$1)+SUMIFS(Table2[NewPointsHome],Table2[GameDate], "&lt;=" &amp; $A198, Table2[HomeTeam], U$1)</f>
        <v>11</v>
      </c>
      <c r="V198" s="145">
        <f>SUMIFS(Table2[NewPointsAway],Table2[GameDate], "&lt;=" &amp; $A198, Table2[AwayTeam], V$1)+SUMIFS(Table2[NewPointsHome],Table2[GameDate], "&lt;=" &amp; $A198, Table2[HomeTeam], V$1)</f>
        <v>11</v>
      </c>
      <c r="W198" s="145">
        <f>SUMIFS(Table2[NewPointsAway],Table2[GameDate], "&lt;=" &amp; $A198, Table2[AwayTeam], W$1)+SUMIFS(Table2[NewPointsHome],Table2[GameDate], "&lt;=" &amp; $A198, Table2[HomeTeam], W$1)</f>
        <v>16</v>
      </c>
      <c r="X198" s="145">
        <f>SUMIFS(Table2[NewPointsAway],Table2[GameDate], "&lt;=" &amp; $A198, Table2[AwayTeam], X$1)+SUMIFS(Table2[NewPointsHome],Table2[GameDate], "&lt;=" &amp; $A198, Table2[HomeTeam], X$1)</f>
        <v>13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10</v>
      </c>
      <c r="AB198" s="145">
        <f>SUMIFS(Table2[NewPointsAway],Table2[GameDate], "&lt;=" &amp; $A198, Table2[AwayTeam], AB$1)+SUMIFS(Table2[NewPointsHome],Table2[GameDate], "&lt;=" &amp; $A198, Table2[HomeTeam], AB$1)</f>
        <v>11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15</v>
      </c>
      <c r="AF198" s="145">
        <f>SUMIFS(Table2[NewPointsAway],Table2[GameDate], "&lt;=" &amp; $A198, Table2[AwayTeam], AF$1)+SUMIFS(Table2[NewPointsHome],Table2[GameDate], "&lt;=" &amp; $A198, Table2[HomeTeam], AF$1)</f>
        <v>14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11</v>
      </c>
      <c r="C199" s="145">
        <f>SUMIFS(Table2[NewPointsAway],Table2[GameDate], "&lt;=" &amp; $A199, Table2[AwayTeam], C$1)+SUMIFS(Table2[NewPointsHome],Table2[GameDate], "&lt;=" &amp; $A199, Table2[HomeTeam], C$1)</f>
        <v>10</v>
      </c>
      <c r="D199" s="145">
        <f>SUMIFS(Table2[NewPointsAway],Table2[GameDate], "&lt;=" &amp; $A199, Table2[AwayTeam], D$1)+SUMIFS(Table2[NewPointsHome],Table2[GameDate], "&lt;=" &amp; $A199, Table2[HomeTeam], D$1)</f>
        <v>10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12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12</v>
      </c>
      <c r="I199" s="145">
        <f>SUMIFS(Table2[NewPointsAway],Table2[GameDate], "&lt;=" &amp; $A199, Table2[AwayTeam], I$1)+SUMIFS(Table2[NewPointsHome],Table2[GameDate], "&lt;=" &amp; $A199, Table2[HomeTeam], I$1)</f>
        <v>16</v>
      </c>
      <c r="J199" s="145">
        <f>SUMIFS(Table2[NewPointsAway],Table2[GameDate], "&lt;=" &amp; $A199, Table2[AwayTeam], J$1)+SUMIFS(Table2[NewPointsHome],Table2[GameDate], "&lt;=" &amp; $A199, Table2[HomeTeam], J$1)</f>
        <v>13</v>
      </c>
      <c r="K199" s="145">
        <f>SUMIFS(Table2[NewPointsAway],Table2[GameDate], "&lt;=" &amp; $A199, Table2[AwayTeam], K$1)+SUMIFS(Table2[NewPointsHome],Table2[GameDate], "&lt;=" &amp; $A199, Table2[HomeTeam], K$1)</f>
        <v>14</v>
      </c>
      <c r="L199" s="145">
        <f>SUMIFS(Table2[NewPointsAway],Table2[GameDate], "&lt;=" &amp; $A199, Table2[AwayTeam], L$1)+SUMIFS(Table2[NewPointsHome],Table2[GameDate], "&lt;=" &amp; $A199, Table2[HomeTeam], L$1)</f>
        <v>12</v>
      </c>
      <c r="M199" s="145">
        <f>SUMIFS(Table2[NewPointsAway],Table2[GameDate], "&lt;=" &amp; $A199, Table2[AwayTeam], M$1)+SUMIFS(Table2[NewPointsHome],Table2[GameDate], "&lt;=" &amp; $A199, Table2[HomeTeam], M$1)</f>
        <v>11</v>
      </c>
      <c r="N199" s="145">
        <f>SUMIFS(Table2[NewPointsAway],Table2[GameDate], "&lt;=" &amp; $A199, Table2[AwayTeam], N$1)+SUMIFS(Table2[NewPointsHome],Table2[GameDate], "&lt;=" &amp; $A199, Table2[HomeTeam], N$1)</f>
        <v>13</v>
      </c>
      <c r="O199" s="145">
        <f>SUMIFS(Table2[NewPointsAway],Table2[GameDate], "&lt;=" &amp; $A199, Table2[AwayTeam], O$1)+SUMIFS(Table2[NewPointsHome],Table2[GameDate], "&lt;=" &amp; $A199, Table2[HomeTeam], O$1)</f>
        <v>9</v>
      </c>
      <c r="P199" s="145">
        <f>SUMIFS(Table2[NewPointsAway],Table2[GameDate], "&lt;=" &amp; $A199, Table2[AwayTeam], P$1)+SUMIFS(Table2[NewPointsHome],Table2[GameDate], "&lt;=" &amp; $A199, Table2[HomeTeam], P$1)</f>
        <v>16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10</v>
      </c>
      <c r="U199" s="145">
        <f>SUMIFS(Table2[NewPointsAway],Table2[GameDate], "&lt;=" &amp; $A199, Table2[AwayTeam], U$1)+SUMIFS(Table2[NewPointsHome],Table2[GameDate], "&lt;=" &amp; $A199, Table2[HomeTeam], U$1)</f>
        <v>11</v>
      </c>
      <c r="V199" s="145">
        <f>SUMIFS(Table2[NewPointsAway],Table2[GameDate], "&lt;=" &amp; $A199, Table2[AwayTeam], V$1)+SUMIFS(Table2[NewPointsHome],Table2[GameDate], "&lt;=" &amp; $A199, Table2[HomeTeam], V$1)</f>
        <v>11</v>
      </c>
      <c r="W199" s="145">
        <f>SUMIFS(Table2[NewPointsAway],Table2[GameDate], "&lt;=" &amp; $A199, Table2[AwayTeam], W$1)+SUMIFS(Table2[NewPointsHome],Table2[GameDate], "&lt;=" &amp; $A199, Table2[HomeTeam], W$1)</f>
        <v>16</v>
      </c>
      <c r="X199" s="145">
        <f>SUMIFS(Table2[NewPointsAway],Table2[GameDate], "&lt;=" &amp; $A199, Table2[AwayTeam], X$1)+SUMIFS(Table2[NewPointsHome],Table2[GameDate], "&lt;=" &amp; $A199, Table2[HomeTeam], X$1)</f>
        <v>13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10</v>
      </c>
      <c r="AB199" s="145">
        <f>SUMIFS(Table2[NewPointsAway],Table2[GameDate], "&lt;=" &amp; $A199, Table2[AwayTeam], AB$1)+SUMIFS(Table2[NewPointsHome],Table2[GameDate], "&lt;=" &amp; $A199, Table2[HomeTeam], AB$1)</f>
        <v>11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15</v>
      </c>
      <c r="AF199" s="145">
        <f>SUMIFS(Table2[NewPointsAway],Table2[GameDate], "&lt;=" &amp; $A199, Table2[AwayTeam], AF$1)+SUMIFS(Table2[NewPointsHome],Table2[GameDate], "&lt;=" &amp; $A199, Table2[HomeTeam], AF$1)</f>
        <v>14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11</v>
      </c>
      <c r="C200" s="145">
        <f>SUMIFS(Table2[NewPointsAway],Table2[GameDate], "&lt;=" &amp; $A200, Table2[AwayTeam], C$1)+SUMIFS(Table2[NewPointsHome],Table2[GameDate], "&lt;=" &amp; $A200, Table2[HomeTeam], C$1)</f>
        <v>10</v>
      </c>
      <c r="D200" s="145">
        <f>SUMIFS(Table2[NewPointsAway],Table2[GameDate], "&lt;=" &amp; $A200, Table2[AwayTeam], D$1)+SUMIFS(Table2[NewPointsHome],Table2[GameDate], "&lt;=" &amp; $A200, Table2[HomeTeam], D$1)</f>
        <v>10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12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12</v>
      </c>
      <c r="I200" s="145">
        <f>SUMIFS(Table2[NewPointsAway],Table2[GameDate], "&lt;=" &amp; $A200, Table2[AwayTeam], I$1)+SUMIFS(Table2[NewPointsHome],Table2[GameDate], "&lt;=" &amp; $A200, Table2[HomeTeam], I$1)</f>
        <v>16</v>
      </c>
      <c r="J200" s="145">
        <f>SUMIFS(Table2[NewPointsAway],Table2[GameDate], "&lt;=" &amp; $A200, Table2[AwayTeam], J$1)+SUMIFS(Table2[NewPointsHome],Table2[GameDate], "&lt;=" &amp; $A200, Table2[HomeTeam], J$1)</f>
        <v>13</v>
      </c>
      <c r="K200" s="145">
        <f>SUMIFS(Table2[NewPointsAway],Table2[GameDate], "&lt;=" &amp; $A200, Table2[AwayTeam], K$1)+SUMIFS(Table2[NewPointsHome],Table2[GameDate], "&lt;=" &amp; $A200, Table2[HomeTeam], K$1)</f>
        <v>14</v>
      </c>
      <c r="L200" s="145">
        <f>SUMIFS(Table2[NewPointsAway],Table2[GameDate], "&lt;=" &amp; $A200, Table2[AwayTeam], L$1)+SUMIFS(Table2[NewPointsHome],Table2[GameDate], "&lt;=" &amp; $A200, Table2[HomeTeam], L$1)</f>
        <v>12</v>
      </c>
      <c r="M200" s="145">
        <f>SUMIFS(Table2[NewPointsAway],Table2[GameDate], "&lt;=" &amp; $A200, Table2[AwayTeam], M$1)+SUMIFS(Table2[NewPointsHome],Table2[GameDate], "&lt;=" &amp; $A200, Table2[HomeTeam], M$1)</f>
        <v>11</v>
      </c>
      <c r="N200" s="145">
        <f>SUMIFS(Table2[NewPointsAway],Table2[GameDate], "&lt;=" &amp; $A200, Table2[AwayTeam], N$1)+SUMIFS(Table2[NewPointsHome],Table2[GameDate], "&lt;=" &amp; $A200, Table2[HomeTeam], N$1)</f>
        <v>13</v>
      </c>
      <c r="O200" s="145">
        <f>SUMIFS(Table2[NewPointsAway],Table2[GameDate], "&lt;=" &amp; $A200, Table2[AwayTeam], O$1)+SUMIFS(Table2[NewPointsHome],Table2[GameDate], "&lt;=" &amp; $A200, Table2[HomeTeam], O$1)</f>
        <v>9</v>
      </c>
      <c r="P200" s="145">
        <f>SUMIFS(Table2[NewPointsAway],Table2[GameDate], "&lt;=" &amp; $A200, Table2[AwayTeam], P$1)+SUMIFS(Table2[NewPointsHome],Table2[GameDate], "&lt;=" &amp; $A200, Table2[HomeTeam], P$1)</f>
        <v>16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10</v>
      </c>
      <c r="U200" s="145">
        <f>SUMIFS(Table2[NewPointsAway],Table2[GameDate], "&lt;=" &amp; $A200, Table2[AwayTeam], U$1)+SUMIFS(Table2[NewPointsHome],Table2[GameDate], "&lt;=" &amp; $A200, Table2[HomeTeam], U$1)</f>
        <v>11</v>
      </c>
      <c r="V200" s="145">
        <f>SUMIFS(Table2[NewPointsAway],Table2[GameDate], "&lt;=" &amp; $A200, Table2[AwayTeam], V$1)+SUMIFS(Table2[NewPointsHome],Table2[GameDate], "&lt;=" &amp; $A200, Table2[HomeTeam], V$1)</f>
        <v>11</v>
      </c>
      <c r="W200" s="145">
        <f>SUMIFS(Table2[NewPointsAway],Table2[GameDate], "&lt;=" &amp; $A200, Table2[AwayTeam], W$1)+SUMIFS(Table2[NewPointsHome],Table2[GameDate], "&lt;=" &amp; $A200, Table2[HomeTeam], W$1)</f>
        <v>16</v>
      </c>
      <c r="X200" s="145">
        <f>SUMIFS(Table2[NewPointsAway],Table2[GameDate], "&lt;=" &amp; $A200, Table2[AwayTeam], X$1)+SUMIFS(Table2[NewPointsHome],Table2[GameDate], "&lt;=" &amp; $A200, Table2[HomeTeam], X$1)</f>
        <v>13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10</v>
      </c>
      <c r="AB200" s="145">
        <f>SUMIFS(Table2[NewPointsAway],Table2[GameDate], "&lt;=" &amp; $A200, Table2[AwayTeam], AB$1)+SUMIFS(Table2[NewPointsHome],Table2[GameDate], "&lt;=" &amp; $A200, Table2[HomeTeam], AB$1)</f>
        <v>11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15</v>
      </c>
      <c r="AF200" s="145">
        <f>SUMIFS(Table2[NewPointsAway],Table2[GameDate], "&lt;=" &amp; $A200, Table2[AwayTeam], AF$1)+SUMIFS(Table2[NewPointsHome],Table2[GameDate], "&lt;=" &amp; $A200, Table2[HomeTeam], AF$1)</f>
        <v>14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11</v>
      </c>
      <c r="C201" s="145">
        <f>SUMIFS(Table2[NewPointsAway],Table2[GameDate], "&lt;=" &amp; $A201, Table2[AwayTeam], C$1)+SUMIFS(Table2[NewPointsHome],Table2[GameDate], "&lt;=" &amp; $A201, Table2[HomeTeam], C$1)</f>
        <v>10</v>
      </c>
      <c r="D201" s="145">
        <f>SUMIFS(Table2[NewPointsAway],Table2[GameDate], "&lt;=" &amp; $A201, Table2[AwayTeam], D$1)+SUMIFS(Table2[NewPointsHome],Table2[GameDate], "&lt;=" &amp; $A201, Table2[HomeTeam], D$1)</f>
        <v>10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12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12</v>
      </c>
      <c r="I201" s="145">
        <f>SUMIFS(Table2[NewPointsAway],Table2[GameDate], "&lt;=" &amp; $A201, Table2[AwayTeam], I$1)+SUMIFS(Table2[NewPointsHome],Table2[GameDate], "&lt;=" &amp; $A201, Table2[HomeTeam], I$1)</f>
        <v>16</v>
      </c>
      <c r="J201" s="145">
        <f>SUMIFS(Table2[NewPointsAway],Table2[GameDate], "&lt;=" &amp; $A201, Table2[AwayTeam], J$1)+SUMIFS(Table2[NewPointsHome],Table2[GameDate], "&lt;=" &amp; $A201, Table2[HomeTeam], J$1)</f>
        <v>13</v>
      </c>
      <c r="K201" s="145">
        <f>SUMIFS(Table2[NewPointsAway],Table2[GameDate], "&lt;=" &amp; $A201, Table2[AwayTeam], K$1)+SUMIFS(Table2[NewPointsHome],Table2[GameDate], "&lt;=" &amp; $A201, Table2[HomeTeam], K$1)</f>
        <v>14</v>
      </c>
      <c r="L201" s="145">
        <f>SUMIFS(Table2[NewPointsAway],Table2[GameDate], "&lt;=" &amp; $A201, Table2[AwayTeam], L$1)+SUMIFS(Table2[NewPointsHome],Table2[GameDate], "&lt;=" &amp; $A201, Table2[HomeTeam], L$1)</f>
        <v>12</v>
      </c>
      <c r="M201" s="145">
        <f>SUMIFS(Table2[NewPointsAway],Table2[GameDate], "&lt;=" &amp; $A201, Table2[AwayTeam], M$1)+SUMIFS(Table2[NewPointsHome],Table2[GameDate], "&lt;=" &amp; $A201, Table2[HomeTeam], M$1)</f>
        <v>11</v>
      </c>
      <c r="N201" s="145">
        <f>SUMIFS(Table2[NewPointsAway],Table2[GameDate], "&lt;=" &amp; $A201, Table2[AwayTeam], N$1)+SUMIFS(Table2[NewPointsHome],Table2[GameDate], "&lt;=" &amp; $A201, Table2[HomeTeam], N$1)</f>
        <v>13</v>
      </c>
      <c r="O201" s="145">
        <f>SUMIFS(Table2[NewPointsAway],Table2[GameDate], "&lt;=" &amp; $A201, Table2[AwayTeam], O$1)+SUMIFS(Table2[NewPointsHome],Table2[GameDate], "&lt;=" &amp; $A201, Table2[HomeTeam], O$1)</f>
        <v>9</v>
      </c>
      <c r="P201" s="145">
        <f>SUMIFS(Table2[NewPointsAway],Table2[GameDate], "&lt;=" &amp; $A201, Table2[AwayTeam], P$1)+SUMIFS(Table2[NewPointsHome],Table2[GameDate], "&lt;=" &amp; $A201, Table2[HomeTeam], P$1)</f>
        <v>16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10</v>
      </c>
      <c r="U201" s="145">
        <f>SUMIFS(Table2[NewPointsAway],Table2[GameDate], "&lt;=" &amp; $A201, Table2[AwayTeam], U$1)+SUMIFS(Table2[NewPointsHome],Table2[GameDate], "&lt;=" &amp; $A201, Table2[HomeTeam], U$1)</f>
        <v>11</v>
      </c>
      <c r="V201" s="145">
        <f>SUMIFS(Table2[NewPointsAway],Table2[GameDate], "&lt;=" &amp; $A201, Table2[AwayTeam], V$1)+SUMIFS(Table2[NewPointsHome],Table2[GameDate], "&lt;=" &amp; $A201, Table2[HomeTeam], V$1)</f>
        <v>11</v>
      </c>
      <c r="W201" s="145">
        <f>SUMIFS(Table2[NewPointsAway],Table2[GameDate], "&lt;=" &amp; $A201, Table2[AwayTeam], W$1)+SUMIFS(Table2[NewPointsHome],Table2[GameDate], "&lt;=" &amp; $A201, Table2[HomeTeam], W$1)</f>
        <v>16</v>
      </c>
      <c r="X201" s="145">
        <f>SUMIFS(Table2[NewPointsAway],Table2[GameDate], "&lt;=" &amp; $A201, Table2[AwayTeam], X$1)+SUMIFS(Table2[NewPointsHome],Table2[GameDate], "&lt;=" &amp; $A201, Table2[HomeTeam], X$1)</f>
        <v>13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10</v>
      </c>
      <c r="AB201" s="145">
        <f>SUMIFS(Table2[NewPointsAway],Table2[GameDate], "&lt;=" &amp; $A201, Table2[AwayTeam], AB$1)+SUMIFS(Table2[NewPointsHome],Table2[GameDate], "&lt;=" &amp; $A201, Table2[HomeTeam], AB$1)</f>
        <v>11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15</v>
      </c>
      <c r="AF201" s="145">
        <f>SUMIFS(Table2[NewPointsAway],Table2[GameDate], "&lt;=" &amp; $A201, Table2[AwayTeam], AF$1)+SUMIFS(Table2[NewPointsHome],Table2[GameDate], "&lt;=" &amp; $A201, Table2[HomeTeam], AF$1)</f>
        <v>14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AK16" sqref="AK1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16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14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14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14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14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14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14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14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14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14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14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14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14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14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14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14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14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14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14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14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14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14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14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14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14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14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14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14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14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14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14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14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14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14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14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14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14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14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14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14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14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14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14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14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14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14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14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14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14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14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14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14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14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14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14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14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14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14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14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14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14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14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14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14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14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14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14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14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14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14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14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14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14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14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14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14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14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14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14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14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14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14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14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14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14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14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14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14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14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14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14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14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14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14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14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14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14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14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14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14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14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14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14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14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14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14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14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14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14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14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14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14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14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14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14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14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14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14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14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14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14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14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14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14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14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14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14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14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14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14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14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14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14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14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14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14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14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14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14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14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14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14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14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14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14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14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14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14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14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14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14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14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14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14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14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14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14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14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14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14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14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14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14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14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14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14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14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14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14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14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14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14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14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14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14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14</v>
      </c>
    </row>
    <row r="4" spans="1:275" x14ac:dyDescent="0.25">
      <c r="A4" t="s">
        <v>29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5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5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9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9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11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11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11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11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11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11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11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11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11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11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11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11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11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11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11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11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11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11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11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11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11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11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11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11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11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11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11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11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11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11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11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11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11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11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11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11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11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11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11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11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11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11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11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11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11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11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11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11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11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11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11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11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11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11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11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11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11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11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11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11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11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11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11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11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11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11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11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11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11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11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11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11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11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11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11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11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11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11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11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11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11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11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11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11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11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11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11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11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11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11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11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11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11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11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11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11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11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11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11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11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11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11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11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11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11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11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11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11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11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11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11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11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11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11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11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11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11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11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11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11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11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11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11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11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11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11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11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11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11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11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11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11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11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11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11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11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11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11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11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11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11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11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11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11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11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11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11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11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11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11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11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11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11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11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11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11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11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11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11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11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11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11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11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11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11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11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11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11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11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11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11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11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11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11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11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11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11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11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11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11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11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11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11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11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11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11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11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11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11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11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11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11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11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11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11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11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11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11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11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11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11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11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11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11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11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11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11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11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11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11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11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11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11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11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11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11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11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11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11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11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11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11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11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11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11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11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11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11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11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11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11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11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11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11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11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11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11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11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11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11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11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11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11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11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11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11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11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11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11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11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11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11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11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11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11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11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11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11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11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11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11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11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11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11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11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11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11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11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11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11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11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11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11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11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11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11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11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11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11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11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11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11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11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11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11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11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11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11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11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11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11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11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11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11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11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11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11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11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11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11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11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11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11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11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11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11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11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11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11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11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11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11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11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11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11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11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11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11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11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11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11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11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11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11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11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11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11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11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11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11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11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11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11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11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11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11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11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11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11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11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11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11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11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11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11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11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11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11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11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11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11</v>
      </c>
    </row>
    <row r="6" spans="1:275" x14ac:dyDescent="0.25">
      <c r="A6" t="s">
        <v>13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2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8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8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8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10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10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10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11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11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11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11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11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11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11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11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11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11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11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11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11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11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11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11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11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11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11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11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11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11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11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11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11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11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11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11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11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11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11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11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11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11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11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11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11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11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11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11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11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11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11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11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11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11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11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11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11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11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11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11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11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11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11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11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11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11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11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11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11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11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11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11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11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11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11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11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11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11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11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11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11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11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11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11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11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11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11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11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11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11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11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11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11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11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11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11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11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11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11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11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11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11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11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11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11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11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11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11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11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11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11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11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11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11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11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11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11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11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11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11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11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11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11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11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11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11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11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11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11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11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11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11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11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11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11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11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11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11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11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11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11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11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11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11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11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11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11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11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11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11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11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11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11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11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11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11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11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11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11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11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11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11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11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11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11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11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11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11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11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11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11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11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11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11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11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11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11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11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11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11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11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11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11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8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10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10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10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10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10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10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10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10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10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10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10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10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10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10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10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10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10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10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10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10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10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10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10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10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10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10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10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10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10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10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10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10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10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10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10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10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10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10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10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10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10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10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10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10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10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10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10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10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10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10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10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10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10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10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10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10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10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10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10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10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10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10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10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10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10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10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10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10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10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10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10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10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10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10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10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10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10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10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10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10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10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10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10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10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10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10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10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10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10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10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10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10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10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10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10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10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10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10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10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10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10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10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10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10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10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10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10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10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10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10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10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10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10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10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10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10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10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10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10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10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10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10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10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10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10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10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10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10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10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10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10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10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10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10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10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10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10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10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10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10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10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10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10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10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10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10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10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10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10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10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10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10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10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10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10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10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10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10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10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10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10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10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10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10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10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10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10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10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10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10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10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10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10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10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10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10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10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10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10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10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10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10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10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10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10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10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10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10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10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10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10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10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10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10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10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10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10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10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10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10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10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10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10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10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10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10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10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10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10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10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10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10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10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10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10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10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10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10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10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10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10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10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10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10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10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10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10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10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10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10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10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10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10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10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10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10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10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10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10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10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10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10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10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10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10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10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10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10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10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10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10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10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10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10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10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10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10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10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10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10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10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10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10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10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10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10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10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10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10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10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10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10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10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10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10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10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10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10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10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10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10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10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10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10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10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10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10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10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10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10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10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10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10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10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10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10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10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10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10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10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10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10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10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10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10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10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10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10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10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10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10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10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10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10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10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10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10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10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10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10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10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10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10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10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10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10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10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10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10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10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10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10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10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10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10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10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10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10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10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10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10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10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10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10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10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10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10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10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10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10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10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10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10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10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10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10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10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10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10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10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10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10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10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10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10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10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10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10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10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10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10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10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10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10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10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10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10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10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10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10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10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10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10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10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10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10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10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10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10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10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10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10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10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10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10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10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10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10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10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10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10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10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10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10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10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10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10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10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10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10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10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10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10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10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10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10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10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10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10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10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10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10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10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10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10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10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10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10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10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10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10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10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10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10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10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10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10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10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10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10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10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10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10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10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10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10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10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10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10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10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10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10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10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10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10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10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10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10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10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10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10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10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10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10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10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10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10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10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10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10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10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10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10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10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10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10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10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10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10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10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10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10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10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10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10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10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10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10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10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10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10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10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10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10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10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10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10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10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10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10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10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10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10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10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10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10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10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10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10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10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10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10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10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10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10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10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10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10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10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10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10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10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10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10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10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15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16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35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2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2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2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2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2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6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6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8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8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8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10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12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12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12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12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12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12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12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12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12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12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12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12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12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12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12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12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12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12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12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12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12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12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12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12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12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12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12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12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12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12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12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12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12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12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12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12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12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12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12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12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12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12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12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12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12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12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12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12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12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12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12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12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12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12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12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12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12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12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12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12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12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12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12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12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12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12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12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12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12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12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12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12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12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12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12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12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12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12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12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12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12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12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12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12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12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12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12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12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12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12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12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12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12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12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12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12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12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12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12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12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12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12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12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12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12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12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12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12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12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12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12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12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12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12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12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12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12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12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12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12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12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12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12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12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12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12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12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12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12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12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12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12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12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12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12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12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12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12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12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12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12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12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12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12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12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12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12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12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12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12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12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12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12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12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12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12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12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12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12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12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12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12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12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12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12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12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12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12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12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12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12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12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12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12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11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11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11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11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11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11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11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11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11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11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11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11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11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11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11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11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11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11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11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11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11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11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11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11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11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11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11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11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11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11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11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11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11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11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11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11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11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11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11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11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11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11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11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11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11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11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11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11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11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11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11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11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11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11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11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11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11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11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11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11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11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11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11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11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11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11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11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11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11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11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11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11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11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11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11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11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11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11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11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11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11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11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11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11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11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11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11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11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11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11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11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11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11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11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11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11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11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11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11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11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11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11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11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11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11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11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11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11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11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11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11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11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11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11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11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11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11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11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11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11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11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11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11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11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11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11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11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11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11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11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11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11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11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11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11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11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11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11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11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11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11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11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11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11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11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11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11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11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11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11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11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11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11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11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11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11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11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11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11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11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11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11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11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11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11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11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11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11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11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11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11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11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11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11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11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10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10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10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10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10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10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10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10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10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10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10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10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10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10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10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10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10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10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10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10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10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10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10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10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10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10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10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10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10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10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10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10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10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10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10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10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10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10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10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10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10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10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10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10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10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10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10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10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10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10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10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10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10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10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10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10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10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10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10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10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10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10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10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10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10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10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10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10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10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10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10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10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10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10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10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10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10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10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10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10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10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10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10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10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10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10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10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10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10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10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10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10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10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10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10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10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10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10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10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10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10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10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10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10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10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10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10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10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10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10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10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10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10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10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10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10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10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10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10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10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10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10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10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10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10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10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10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10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10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10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10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10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10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10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10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10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10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10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10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10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10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10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10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10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10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10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10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10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10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10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10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10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10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10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10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10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10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10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10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10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10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10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10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10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10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10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10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10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10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10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10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10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10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10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10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8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8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9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9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9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9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9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9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9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9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9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9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9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9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9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9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9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9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9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9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9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9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9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9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9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9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9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9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9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9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9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9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9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9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9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9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9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9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9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9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9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9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9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9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9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9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9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9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9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9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9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9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9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9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9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9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9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9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9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9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9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9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9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9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9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9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9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9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9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9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9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9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9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9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9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9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9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9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9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9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9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9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9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9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9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9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9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9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9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9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9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9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9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9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9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9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9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9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9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9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9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9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9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9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9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9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9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9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9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9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9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9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9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9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9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9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9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9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9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9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9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9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9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9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9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9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9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9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9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9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9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9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9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9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9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9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9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9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9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9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9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9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9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9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9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9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9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9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9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9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9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9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9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9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9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9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9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9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9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9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9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9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9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9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9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9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9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9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9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9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9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9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9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9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9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9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9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9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9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9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16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13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13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13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13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13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13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13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13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13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13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13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13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13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13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13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13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13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13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13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13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13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13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13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13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13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13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13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13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13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13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13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13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13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13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13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13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13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13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13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13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13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13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13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13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13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13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13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13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13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13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13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13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13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13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13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13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13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13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13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13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13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13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13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13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13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13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13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13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13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13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13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13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13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13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13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13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13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13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13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13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13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13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13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13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13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13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13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13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13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13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13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13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13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13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13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13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13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13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13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13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13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13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13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13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13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13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13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13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13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13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13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13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13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13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13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13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13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13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13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13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13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13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13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13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13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13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13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13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13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13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13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13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13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13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13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13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13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13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13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13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13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13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13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13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13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13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13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13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13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13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13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13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13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13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13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13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13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13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13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13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13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13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13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13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13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13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13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13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13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13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13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13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13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13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13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12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12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12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12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12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12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12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12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12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12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12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12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12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12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12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12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12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12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12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12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12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12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12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12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12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12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12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12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12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12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12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12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12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12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12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12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12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12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12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12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12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12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12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12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12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12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12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12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12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12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12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12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12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12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12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12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12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12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12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12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12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12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12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12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12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12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12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12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12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12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12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12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12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12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12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12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12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12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12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12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12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12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12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12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12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12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12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12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12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12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12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12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12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12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12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12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12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12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12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12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12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12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12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12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12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12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12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12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12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12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12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12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12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12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12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12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12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12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12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12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12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12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12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12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12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12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12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12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12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12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12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12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12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12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12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12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12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12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12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12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12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12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12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12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12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12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12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12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12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12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12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12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12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12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12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12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12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12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12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12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12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12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12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12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12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12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12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12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12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12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12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12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12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12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12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9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9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9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9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9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9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9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9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9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9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9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9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9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9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9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9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9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9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9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9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9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9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9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9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9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9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9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9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9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9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9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9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9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9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9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9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9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9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9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9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9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9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9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9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9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9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9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9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9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9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9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9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9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9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9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9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9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9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9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9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9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9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9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9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9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9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9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9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9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9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9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9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9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9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9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9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9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9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9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9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9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9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9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9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9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9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9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9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9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9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9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9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9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9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9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9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9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9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9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9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9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9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9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9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9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9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9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9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9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9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9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9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9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9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9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9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9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9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9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9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9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9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9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9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9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9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9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9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9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9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9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9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9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9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9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9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9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9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9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9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9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9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9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9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9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9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9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9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9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9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9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9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9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9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9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9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9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9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9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9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9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9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9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9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9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9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9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9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9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9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9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9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9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9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9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15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15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15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15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15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15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15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15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15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15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15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15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15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15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15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15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15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15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15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15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15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15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15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15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15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15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15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15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15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15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15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15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15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15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15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15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15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15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15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15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15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15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15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15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15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15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15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15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15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15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15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15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15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15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15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15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15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15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15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15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15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15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15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15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15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15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15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15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15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15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15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15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15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15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15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15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15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15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15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15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15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15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15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15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15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15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15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15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15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15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15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15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15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15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15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15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15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15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15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15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15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15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15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15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15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15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15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15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15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15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15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15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15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15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15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15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15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15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15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15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15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15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15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15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15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15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15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15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15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15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15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15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15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15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15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15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15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15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15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15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15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15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15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15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15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15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15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15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15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15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15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15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15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15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15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15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15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15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15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15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15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15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15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15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15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15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15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15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15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15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15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15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15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15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15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13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13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13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13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13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13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13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13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13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13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13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13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13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13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13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13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13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13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13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13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13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13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13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13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13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13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13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13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13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13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13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13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13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13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13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13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13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13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13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13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13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13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13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13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13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13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13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13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13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13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13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13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13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13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13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13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13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13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13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13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13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13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13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13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13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13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13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13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13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13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13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13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13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13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13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13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13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13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13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13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13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13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13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13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13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13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13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13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13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13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13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13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13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13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13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13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13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13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13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13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13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13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13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13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13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13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13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13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13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13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13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13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13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13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13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13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13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13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13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13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13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13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13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13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13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13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13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13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13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13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13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13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13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13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13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13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13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13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13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13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13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13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13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13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13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13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13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13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13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13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13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13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13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13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13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13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13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13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13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13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13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13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13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13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13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13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13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13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13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13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13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13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13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13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13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4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4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6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6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13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13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13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13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13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13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13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13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13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13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13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13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13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13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13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13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13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13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13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13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13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13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13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13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13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13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13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13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13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13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13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13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13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13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13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13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13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13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13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13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13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13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13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13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13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13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13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13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13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13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13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13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13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13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13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13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13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13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13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13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13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13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13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13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13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13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13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13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13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13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13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13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13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13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13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13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13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13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13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13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13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13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13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13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13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13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13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13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13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13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13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13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13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13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13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13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13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13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13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13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13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13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13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13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13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13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13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13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13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13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13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13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13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13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13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13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13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13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13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13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13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13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13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13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13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13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13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13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13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13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13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13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13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13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13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13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13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13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13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13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13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13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13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13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13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13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13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13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13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13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13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13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13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13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13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13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13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13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13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13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13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13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13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13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13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13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13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13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13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13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13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13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13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13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13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10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10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12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12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12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12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12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12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12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12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12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12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12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12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12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12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12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12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12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12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12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12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12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12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12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12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12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12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12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12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12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12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12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12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12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12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12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12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12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12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12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12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12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12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12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12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12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12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12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12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12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12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12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12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12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12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12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12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12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12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12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12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12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12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12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12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12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12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12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12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12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12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12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12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12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12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12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12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12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12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12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12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12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12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12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12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12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12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12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12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12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12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12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12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12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12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12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12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12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12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12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12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12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12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12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12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12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12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12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12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12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12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12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12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12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12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12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12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12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12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12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12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12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12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12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12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12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12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12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12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12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12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12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12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12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12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12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12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12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12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12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12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12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12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12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12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12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12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12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12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12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12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12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12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12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12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12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12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12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12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12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12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12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12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12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12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12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12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12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12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12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12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12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12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12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12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12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9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9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9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9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11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11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11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11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11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11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11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11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11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11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11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11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11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11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11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11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11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11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11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11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11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11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11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11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11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11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11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11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11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11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11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11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11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11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11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11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11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11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11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11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11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11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11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11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11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11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11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11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11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11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11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11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11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11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11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11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11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11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11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11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11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11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11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11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11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11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11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11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11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11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11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11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11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11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11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11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11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11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11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11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11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11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11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11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11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11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11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11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11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11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11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11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11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11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11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11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11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11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11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11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11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11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11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11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11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11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11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11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11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11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11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11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11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11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11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11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11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11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11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11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11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11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11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11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11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11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11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11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11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11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11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11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11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11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11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11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11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11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11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11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11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11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11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11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11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11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11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11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11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11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11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11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11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11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11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11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11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11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11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11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11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11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11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11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11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11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11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11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11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11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11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11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11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11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11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10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10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10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10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10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10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10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10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10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10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10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10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10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10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10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10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10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10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10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10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10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10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10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10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10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10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10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10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10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10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10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10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10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10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10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10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10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10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10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10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10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10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10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10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10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10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10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10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10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10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10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10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10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10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10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10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10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10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10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10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10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10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10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10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10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10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10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10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10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10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10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10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10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10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10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10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10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10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10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10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10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10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10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10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10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10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10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10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10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10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10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10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10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10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10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10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10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10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10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10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10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10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10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10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10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10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10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10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10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10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10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10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10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10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10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10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10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10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10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10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10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10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10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10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10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10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10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10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10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10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10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10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10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10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10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10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10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10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10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10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10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10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10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10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10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10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10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10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10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10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10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10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10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10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10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10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10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10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10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10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10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10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10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10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10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10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10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10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10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10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10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10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10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10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10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10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10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10.4375</v>
      </c>
      <c r="AC34">
        <f>SUBTOTAL(101,Table4[2025-10-28])</f>
        <v>11.59375</v>
      </c>
      <c r="AD34">
        <f>SUBTOTAL(101,Table4[2025-10-29])</f>
        <v>11.65625</v>
      </c>
      <c r="AE34">
        <f>SUBTOTAL(101,Table4[2025-10-30])</f>
        <v>11.65625</v>
      </c>
      <c r="AF34">
        <f>SUBTOTAL(101,Table4[2025-10-31])</f>
        <v>11.65625</v>
      </c>
      <c r="AG34">
        <f>SUBTOTAL(101,Table4[2025-11-01])</f>
        <v>11.65625</v>
      </c>
      <c r="AH34">
        <f>SUBTOTAL(101,Table4[2025-11-02])</f>
        <v>11.65625</v>
      </c>
      <c r="AI34">
        <f>SUBTOTAL(101,Table4[2025-11-03])</f>
        <v>11.65625</v>
      </c>
      <c r="AJ34">
        <f>SUBTOTAL(101,Table4[2025-11-04])</f>
        <v>11.65625</v>
      </c>
      <c r="AK34">
        <f>SUBTOTAL(101,Table4[2025-11-05])</f>
        <v>11.65625</v>
      </c>
      <c r="AL34">
        <f>SUBTOTAL(101,Table4[2025-11-06])</f>
        <v>11.65625</v>
      </c>
      <c r="AM34">
        <f>SUBTOTAL(101,Table4[2025-11-07])</f>
        <v>11.65625</v>
      </c>
      <c r="AN34">
        <f>SUBTOTAL(101,Table4[2025-11-08])</f>
        <v>11.65625</v>
      </c>
      <c r="AO34">
        <f>SUBTOTAL(101,Table4[2025-11-09])</f>
        <v>11.65625</v>
      </c>
      <c r="AP34">
        <f>SUBTOTAL(101,Table4[2025-11-10])</f>
        <v>11.65625</v>
      </c>
      <c r="AQ34">
        <f>SUBTOTAL(101,Table4[2025-11-11])</f>
        <v>11.65625</v>
      </c>
      <c r="AR34">
        <f>SUBTOTAL(101,Table4[2025-11-12])</f>
        <v>11.65625</v>
      </c>
      <c r="AS34">
        <f>SUBTOTAL(101,Table4[2025-11-13])</f>
        <v>11.65625</v>
      </c>
      <c r="AT34">
        <f>SUBTOTAL(101,Table4[2025-11-14])</f>
        <v>11.65625</v>
      </c>
      <c r="AU34">
        <f>SUBTOTAL(101,Table4[2025-11-15])</f>
        <v>11.65625</v>
      </c>
      <c r="AV34">
        <f>SUBTOTAL(101,Table4[2025-11-16])</f>
        <v>11.65625</v>
      </c>
      <c r="AW34">
        <f>SUBTOTAL(101,Table4[2025-11-17])</f>
        <v>11.65625</v>
      </c>
      <c r="AX34">
        <f>SUBTOTAL(101,Table4[2025-11-18])</f>
        <v>11.65625</v>
      </c>
      <c r="AY34">
        <f>SUBTOTAL(101,Table4[2025-11-19])</f>
        <v>11.65625</v>
      </c>
      <c r="AZ34">
        <f>SUBTOTAL(101,Table4[2025-11-20])</f>
        <v>11.65625</v>
      </c>
      <c r="BA34">
        <f>SUBTOTAL(101,Table4[2025-11-21])</f>
        <v>11.65625</v>
      </c>
      <c r="BB34">
        <f>SUBTOTAL(101,Table4[2025-11-22])</f>
        <v>11.65625</v>
      </c>
      <c r="BC34">
        <f>SUBTOTAL(101,Table4[2025-11-23])</f>
        <v>11.65625</v>
      </c>
      <c r="BD34">
        <f>SUBTOTAL(101,Table4[2025-11-24])</f>
        <v>11.65625</v>
      </c>
      <c r="BE34">
        <f>SUBTOTAL(101,Table4[2025-11-25])</f>
        <v>11.65625</v>
      </c>
      <c r="BF34">
        <f>SUBTOTAL(101,Table4[2025-11-26])</f>
        <v>11.65625</v>
      </c>
      <c r="BG34">
        <f>SUBTOTAL(101,Table4[2025-11-27])</f>
        <v>11.65625</v>
      </c>
      <c r="BH34">
        <f>SUBTOTAL(101,Table4[2025-11-28])</f>
        <v>11.65625</v>
      </c>
      <c r="BI34">
        <f>SUBTOTAL(101,Table4[2025-11-29])</f>
        <v>11.65625</v>
      </c>
      <c r="BJ34">
        <f>SUBTOTAL(101,Table4[2025-11-30])</f>
        <v>11.65625</v>
      </c>
      <c r="BK34">
        <f>SUBTOTAL(101,Table4[2025-12-01])</f>
        <v>11.65625</v>
      </c>
      <c r="BL34">
        <f>SUBTOTAL(101,Table4[2025-12-02])</f>
        <v>11.65625</v>
      </c>
      <c r="BM34">
        <f>SUBTOTAL(101,Table4[2025-12-03])</f>
        <v>11.65625</v>
      </c>
      <c r="BN34">
        <f>SUBTOTAL(101,Table4[2025-12-04])</f>
        <v>11.65625</v>
      </c>
      <c r="BO34">
        <f>SUBTOTAL(101,Table4[2025-12-05])</f>
        <v>11.65625</v>
      </c>
      <c r="BP34">
        <f>SUBTOTAL(101,Table4[2025-12-06])</f>
        <v>11.65625</v>
      </c>
      <c r="BQ34">
        <f>SUBTOTAL(101,Table4[2025-12-07])</f>
        <v>11.65625</v>
      </c>
      <c r="BR34">
        <f>SUBTOTAL(101,Table4[2025-12-08])</f>
        <v>11.65625</v>
      </c>
      <c r="BS34">
        <f>SUBTOTAL(101,Table4[2025-12-09])</f>
        <v>11.65625</v>
      </c>
      <c r="BT34">
        <f>SUBTOTAL(101,Table4[2025-12-10])</f>
        <v>11.65625</v>
      </c>
      <c r="BU34">
        <f>SUBTOTAL(101,Table4[2025-12-11])</f>
        <v>11.65625</v>
      </c>
      <c r="BV34">
        <f>SUBTOTAL(101,Table4[2025-12-12])</f>
        <v>11.65625</v>
      </c>
      <c r="BW34">
        <f>SUBTOTAL(101,Table4[2025-12-13])</f>
        <v>11.65625</v>
      </c>
      <c r="BX34">
        <f>SUBTOTAL(101,Table4[2025-12-14])</f>
        <v>11.65625</v>
      </c>
      <c r="BY34">
        <f>SUBTOTAL(101,Table4[2025-12-15])</f>
        <v>11.65625</v>
      </c>
      <c r="BZ34">
        <f>SUBTOTAL(101,Table4[2025-12-16])</f>
        <v>11.65625</v>
      </c>
      <c r="CA34">
        <f>SUBTOTAL(101,Table4[2025-12-17])</f>
        <v>11.65625</v>
      </c>
      <c r="CB34">
        <f>SUBTOTAL(101,Table4[2025-12-18])</f>
        <v>11.65625</v>
      </c>
      <c r="CC34">
        <f>SUBTOTAL(101,Table4[2025-12-19])</f>
        <v>11.65625</v>
      </c>
      <c r="CD34">
        <f>SUBTOTAL(101,Table4[2025-12-20])</f>
        <v>11.65625</v>
      </c>
      <c r="CE34">
        <f>SUBTOTAL(101,Table4[2025-12-21])</f>
        <v>11.65625</v>
      </c>
      <c r="CF34">
        <f>SUBTOTAL(101,Table4[2025-12-22])</f>
        <v>11.65625</v>
      </c>
      <c r="CG34">
        <f>SUBTOTAL(101,Table4[2025-12-23])</f>
        <v>11.65625</v>
      </c>
      <c r="CH34">
        <f>SUBTOTAL(101,Table4[2025-12-24])</f>
        <v>11.65625</v>
      </c>
      <c r="CI34">
        <f>SUBTOTAL(101,Table4[2025-12-25])</f>
        <v>11.65625</v>
      </c>
      <c r="CJ34">
        <f>SUBTOTAL(101,Table4[2025-12-26])</f>
        <v>11.65625</v>
      </c>
      <c r="CK34">
        <f>SUBTOTAL(101,Table4[2025-12-27])</f>
        <v>11.65625</v>
      </c>
      <c r="CL34">
        <f>SUBTOTAL(101,Table4[2025-12-28])</f>
        <v>11.65625</v>
      </c>
      <c r="CM34">
        <f>SUBTOTAL(101,Table4[2025-12-29])</f>
        <v>11.65625</v>
      </c>
      <c r="CN34">
        <f>SUBTOTAL(101,Table4[2025-12-30])</f>
        <v>11.65625</v>
      </c>
      <c r="CO34">
        <f>SUBTOTAL(101,Table4[2025-12-31])</f>
        <v>11.65625</v>
      </c>
      <c r="CP34">
        <f>SUBTOTAL(101,Table4[2026-01-01])</f>
        <v>11.65625</v>
      </c>
      <c r="CQ34">
        <f>SUBTOTAL(101,Table4[2026-01-02])</f>
        <v>11.65625</v>
      </c>
      <c r="CR34">
        <f>SUBTOTAL(101,Table4[2026-01-03])</f>
        <v>11.65625</v>
      </c>
      <c r="CS34">
        <f>SUBTOTAL(101,Table4[2026-01-04])</f>
        <v>11.65625</v>
      </c>
      <c r="CT34">
        <f>SUBTOTAL(101,Table4[2026-01-05])</f>
        <v>11.65625</v>
      </c>
      <c r="CU34">
        <f>SUBTOTAL(101,Table4[2026-01-06])</f>
        <v>11.65625</v>
      </c>
      <c r="CV34">
        <f>SUBTOTAL(101,Table4[2026-01-07])</f>
        <v>11.65625</v>
      </c>
      <c r="CW34">
        <f>SUBTOTAL(101,Table4[2026-01-08])</f>
        <v>11.65625</v>
      </c>
      <c r="CX34">
        <f>SUBTOTAL(101,Table4[2026-01-09])</f>
        <v>11.65625</v>
      </c>
      <c r="CY34">
        <f>SUBTOTAL(101,Table4[2026-01-10])</f>
        <v>11.65625</v>
      </c>
      <c r="CZ34">
        <f>SUBTOTAL(101,Table4[2026-01-11])</f>
        <v>11.65625</v>
      </c>
      <c r="DA34">
        <f>SUBTOTAL(101,Table4[2026-01-12])</f>
        <v>11.65625</v>
      </c>
      <c r="DB34">
        <f>SUBTOTAL(101,Table4[2026-01-13])</f>
        <v>11.65625</v>
      </c>
      <c r="DC34">
        <f>SUBTOTAL(101,Table4[2026-01-14])</f>
        <v>11.65625</v>
      </c>
      <c r="DD34">
        <f>SUBTOTAL(101,Table4[2026-01-15])</f>
        <v>11.65625</v>
      </c>
      <c r="DE34">
        <f>SUBTOTAL(101,Table4[2026-01-16])</f>
        <v>11.65625</v>
      </c>
      <c r="DF34">
        <f>SUBTOTAL(101,Table4[2026-01-17])</f>
        <v>11.65625</v>
      </c>
      <c r="DG34">
        <f>SUBTOTAL(101,Table4[2026-01-18])</f>
        <v>11.65625</v>
      </c>
      <c r="DH34">
        <f>SUBTOTAL(101,Table4[2026-01-19])</f>
        <v>11.65625</v>
      </c>
      <c r="DI34">
        <f>SUBTOTAL(101,Table4[2026-01-20])</f>
        <v>11.65625</v>
      </c>
      <c r="DJ34">
        <f>SUBTOTAL(101,Table4[2026-01-21])</f>
        <v>11.65625</v>
      </c>
      <c r="DK34">
        <f>SUBTOTAL(101,Table4[2026-01-22])</f>
        <v>11.65625</v>
      </c>
      <c r="DL34">
        <f>SUBTOTAL(101,Table4[2026-01-23])</f>
        <v>11.65625</v>
      </c>
      <c r="DM34">
        <f>SUBTOTAL(101,Table4[2026-01-24])</f>
        <v>11.65625</v>
      </c>
      <c r="DN34">
        <f>SUBTOTAL(101,Table4[2026-01-25])</f>
        <v>11.65625</v>
      </c>
      <c r="DO34">
        <f>SUBTOTAL(101,Table4[2026-01-26])</f>
        <v>11.65625</v>
      </c>
      <c r="DP34">
        <f>SUBTOTAL(101,Table4[2026-01-27])</f>
        <v>11.65625</v>
      </c>
      <c r="DQ34">
        <f>SUBTOTAL(101,Table4[2026-01-28])</f>
        <v>11.65625</v>
      </c>
      <c r="DR34">
        <f>SUBTOTAL(101,Table4[2026-01-29])</f>
        <v>11.65625</v>
      </c>
      <c r="DS34">
        <f>SUBTOTAL(101,Table4[2026-01-30])</f>
        <v>11.65625</v>
      </c>
      <c r="DT34">
        <f>SUBTOTAL(101,Table4[2026-01-31])</f>
        <v>11.65625</v>
      </c>
      <c r="DU34">
        <f>SUBTOTAL(101,Table4[2026-02-01])</f>
        <v>11.65625</v>
      </c>
      <c r="DV34">
        <f>SUBTOTAL(101,Table4[2026-02-02])</f>
        <v>11.65625</v>
      </c>
      <c r="DW34">
        <f>SUBTOTAL(101,Table4[2026-02-03])</f>
        <v>11.65625</v>
      </c>
      <c r="DX34">
        <f>SUBTOTAL(101,Table4[2026-02-04])</f>
        <v>11.65625</v>
      </c>
      <c r="DY34">
        <f>SUBTOTAL(101,Table4[2026-02-05])</f>
        <v>11.65625</v>
      </c>
      <c r="DZ34">
        <f>SUBTOTAL(101,Table4[2026-02-06])</f>
        <v>11.65625</v>
      </c>
      <c r="EA34">
        <f>SUBTOTAL(101,Table4[2026-02-07])</f>
        <v>11.65625</v>
      </c>
      <c r="EB34">
        <f>SUBTOTAL(101,Table4[2026-02-08])</f>
        <v>11.65625</v>
      </c>
      <c r="EC34">
        <f>SUBTOTAL(101,Table4[2026-02-09])</f>
        <v>11.65625</v>
      </c>
      <c r="ED34">
        <f>SUBTOTAL(101,Table4[2026-02-10])</f>
        <v>11.65625</v>
      </c>
      <c r="EE34">
        <f>SUBTOTAL(101,Table4[2026-02-11])</f>
        <v>11.65625</v>
      </c>
      <c r="EF34">
        <f>SUBTOTAL(101,Table4[2026-02-12])</f>
        <v>11.65625</v>
      </c>
      <c r="EG34">
        <f>SUBTOTAL(101,Table4[2026-02-13])</f>
        <v>11.65625</v>
      </c>
      <c r="EH34">
        <f>SUBTOTAL(101,Table4[2026-02-14])</f>
        <v>11.65625</v>
      </c>
      <c r="EI34">
        <f>SUBTOTAL(101,Table4[2026-02-15])</f>
        <v>11.65625</v>
      </c>
      <c r="EJ34">
        <f>SUBTOTAL(101,Table4[2026-02-16])</f>
        <v>11.65625</v>
      </c>
      <c r="EK34">
        <f>SUBTOTAL(101,Table4[2026-02-17])</f>
        <v>11.65625</v>
      </c>
      <c r="EL34">
        <f>SUBTOTAL(101,Table4[2026-02-18])</f>
        <v>11.65625</v>
      </c>
      <c r="EM34">
        <f>SUBTOTAL(101,Table4[2026-02-19])</f>
        <v>11.65625</v>
      </c>
      <c r="EN34">
        <f>SUBTOTAL(101,Table4[2026-02-20])</f>
        <v>11.65625</v>
      </c>
      <c r="EO34">
        <f>SUBTOTAL(101,Table4[2026-02-21])</f>
        <v>11.65625</v>
      </c>
      <c r="EP34">
        <f>SUBTOTAL(101,Table4[2026-02-22])</f>
        <v>11.65625</v>
      </c>
      <c r="EQ34">
        <f>SUBTOTAL(101,Table4[2026-02-23])</f>
        <v>11.65625</v>
      </c>
      <c r="ER34">
        <f>SUBTOTAL(101,Table4[2026-02-24])</f>
        <v>11.65625</v>
      </c>
      <c r="ES34">
        <f>SUBTOTAL(101,Table4[2026-02-25])</f>
        <v>11.65625</v>
      </c>
      <c r="ET34">
        <f>SUBTOTAL(101,Table4[2026-02-26])</f>
        <v>11.65625</v>
      </c>
      <c r="EU34">
        <f>SUBTOTAL(101,Table4[2026-02-27])</f>
        <v>11.65625</v>
      </c>
      <c r="EV34">
        <f>SUBTOTAL(101,Table4[2026-02-28])</f>
        <v>11.65625</v>
      </c>
      <c r="EW34">
        <f>SUBTOTAL(101,Table4[2026-03-01])</f>
        <v>11.65625</v>
      </c>
      <c r="EX34">
        <f>SUBTOTAL(101,Table4[2026-03-02])</f>
        <v>11.65625</v>
      </c>
      <c r="EY34">
        <f>SUBTOTAL(101,Table4[2026-03-03])</f>
        <v>11.65625</v>
      </c>
      <c r="EZ34">
        <f>SUBTOTAL(101,Table4[2026-03-04])</f>
        <v>11.65625</v>
      </c>
      <c r="FA34">
        <f>SUBTOTAL(101,Table4[2026-03-05])</f>
        <v>11.65625</v>
      </c>
      <c r="FB34">
        <f>SUBTOTAL(101,Table4[2026-03-06])</f>
        <v>11.65625</v>
      </c>
      <c r="FC34">
        <f>SUBTOTAL(101,Table4[2026-03-07])</f>
        <v>11.65625</v>
      </c>
      <c r="FD34">
        <f>SUBTOTAL(101,Table4[2026-03-08])</f>
        <v>11.65625</v>
      </c>
      <c r="FE34">
        <f>SUBTOTAL(101,Table4[2026-03-09])</f>
        <v>11.65625</v>
      </c>
      <c r="FF34">
        <f>SUBTOTAL(101,Table4[2026-03-10])</f>
        <v>11.65625</v>
      </c>
      <c r="FG34">
        <f>SUBTOTAL(101,Table4[2026-03-11])</f>
        <v>11.65625</v>
      </c>
      <c r="FH34">
        <f>SUBTOTAL(101,Table4[2026-03-12])</f>
        <v>11.65625</v>
      </c>
      <c r="FI34">
        <f>SUBTOTAL(101,Table4[2026-03-13])</f>
        <v>11.65625</v>
      </c>
      <c r="FJ34">
        <f>SUBTOTAL(101,Table4[2026-03-14])</f>
        <v>11.65625</v>
      </c>
      <c r="FK34">
        <f>SUBTOTAL(101,Table4[2026-03-15])</f>
        <v>11.65625</v>
      </c>
      <c r="FL34">
        <f>SUBTOTAL(101,Table4[2026-03-16])</f>
        <v>11.65625</v>
      </c>
      <c r="FM34">
        <f>SUBTOTAL(101,Table4[2026-03-17])</f>
        <v>11.65625</v>
      </c>
      <c r="FN34">
        <f>SUBTOTAL(101,Table4[2026-03-18])</f>
        <v>11.65625</v>
      </c>
      <c r="FO34">
        <f>SUBTOTAL(101,Table4[2026-03-19])</f>
        <v>11.65625</v>
      </c>
      <c r="FP34">
        <f>SUBTOTAL(101,Table4[2026-03-20])</f>
        <v>11.65625</v>
      </c>
      <c r="FQ34">
        <f>SUBTOTAL(101,Table4[2026-03-21])</f>
        <v>11.65625</v>
      </c>
      <c r="FR34">
        <f>SUBTOTAL(101,Table4[2026-03-22])</f>
        <v>11.65625</v>
      </c>
      <c r="FS34">
        <f>SUBTOTAL(101,Table4[2026-03-23])</f>
        <v>11.65625</v>
      </c>
      <c r="FT34">
        <f>SUBTOTAL(101,Table4[2026-03-24])</f>
        <v>11.65625</v>
      </c>
      <c r="FU34">
        <f>SUBTOTAL(101,Table4[2026-03-25])</f>
        <v>11.65625</v>
      </c>
      <c r="FV34">
        <f>SUBTOTAL(101,Table4[2026-03-26])</f>
        <v>11.65625</v>
      </c>
      <c r="FW34">
        <f>SUBTOTAL(101,Table4[2026-03-27])</f>
        <v>11.65625</v>
      </c>
      <c r="FX34">
        <f>SUBTOTAL(101,Table4[2026-03-28])</f>
        <v>11.65625</v>
      </c>
      <c r="FY34">
        <f>SUBTOTAL(101,Table4[2026-03-29])</f>
        <v>11.65625</v>
      </c>
      <c r="FZ34">
        <f>SUBTOTAL(101,Table4[2026-03-30])</f>
        <v>11.65625</v>
      </c>
      <c r="GA34">
        <f>SUBTOTAL(101,Table4[2026-03-31])</f>
        <v>11.65625</v>
      </c>
      <c r="GB34">
        <f>SUBTOTAL(101,Table4[2026-04-01])</f>
        <v>11.65625</v>
      </c>
      <c r="GC34">
        <f>SUBTOTAL(101,Table4[2026-04-02])</f>
        <v>11.65625</v>
      </c>
      <c r="GD34">
        <f>SUBTOTAL(101,Table4[2026-04-03])</f>
        <v>11.65625</v>
      </c>
      <c r="GE34">
        <f>SUBTOTAL(101,Table4[2026-04-04])</f>
        <v>11.65625</v>
      </c>
      <c r="GF34">
        <f>SUBTOTAL(101,Table4[2026-04-05])</f>
        <v>11.65625</v>
      </c>
      <c r="GG34">
        <f>SUBTOTAL(101,Table4[2026-04-06])</f>
        <v>11.65625</v>
      </c>
      <c r="GH34">
        <f>SUBTOTAL(101,Table4[2026-04-07])</f>
        <v>11.65625</v>
      </c>
      <c r="GI34">
        <f>SUBTOTAL(101,Table4[2026-04-08])</f>
        <v>11.65625</v>
      </c>
      <c r="GJ34">
        <f>SUBTOTAL(101,Table4[2026-04-09])</f>
        <v>11.65625</v>
      </c>
      <c r="GK34">
        <f>SUBTOTAL(101,Table4[2026-04-10])</f>
        <v>11.65625</v>
      </c>
      <c r="GL34">
        <f>SUBTOTAL(101,Table4[2026-04-11])</f>
        <v>11.65625</v>
      </c>
      <c r="GM34">
        <f>SUBTOTAL(101,Table4[2026-04-12])</f>
        <v>11.65625</v>
      </c>
      <c r="GN34">
        <f>SUBTOTAL(101,Table4[2026-04-13])</f>
        <v>11.65625</v>
      </c>
      <c r="GO34">
        <f>SUBTOTAL(101,Table4[2026-04-14])</f>
        <v>11.65625</v>
      </c>
      <c r="GP34">
        <f>SUBTOTAL(101,Table4[2026-04-15])</f>
        <v>11.65625</v>
      </c>
      <c r="GQ34">
        <f>SUBTOTAL(101,Table4[2026-04-16])</f>
        <v>11.65625</v>
      </c>
      <c r="GR34">
        <f>SUBTOTAL(101,Table4[2026-04-17])</f>
        <v>11.65625</v>
      </c>
      <c r="GS34">
        <f>SUBTOTAL(101,Table4[2026-04-18])</f>
        <v>11.65625</v>
      </c>
      <c r="GT34">
        <f>SUBTOTAL(101,Table4[2026-04-19])</f>
        <v>11.65625</v>
      </c>
      <c r="GU34">
        <f>SUBTOTAL(101,Table4[2026-04-20])</f>
        <v>11.65625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14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16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11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11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11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11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11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11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11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11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11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11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11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11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11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11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11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11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11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11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11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11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11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11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11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11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11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11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11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11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11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11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11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11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11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11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11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11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11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11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11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11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11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11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11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11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11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11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11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11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11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11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11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11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11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11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11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11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11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11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11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11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11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11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11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11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11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11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11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11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11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11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11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11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11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11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11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11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11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11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11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11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11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11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11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11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11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11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11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11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11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11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11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11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11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11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11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11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11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11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11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11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11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11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11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11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11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11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11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11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11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11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11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11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11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11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11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11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11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11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11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11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11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11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11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11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11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11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11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11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11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11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11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11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11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11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11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11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11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11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11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11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11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11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11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11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11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11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11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11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11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11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11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11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11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11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11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11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11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11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11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11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11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11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11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11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11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11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11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11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11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11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11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11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11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11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11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11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11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11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11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11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11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11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11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11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11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11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11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11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11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11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11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11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11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11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11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11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11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11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11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11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11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11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11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11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11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11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11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11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11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11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11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11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11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11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11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11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11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11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11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11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11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11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11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11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11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11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11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11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11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11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11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11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11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11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11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11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11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11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11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11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11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11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11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11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11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11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11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11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11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11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11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11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11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11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11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11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11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11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11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11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11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11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11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11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11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11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11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11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11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11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11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11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11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11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11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11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11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11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11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11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11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11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11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11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11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11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11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11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11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11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11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11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11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11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11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11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11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11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11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11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11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11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11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11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11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11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11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11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11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11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11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11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11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11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11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11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11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11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11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11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11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11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11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11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11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11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11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11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11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11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11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11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11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11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11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11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11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11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11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11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11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11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11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11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11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11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11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11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11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11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10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10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10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10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10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10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10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10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10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10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10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10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10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10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10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10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10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10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10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10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10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10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10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10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10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10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10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10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10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10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10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10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10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10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10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10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10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10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10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10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10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10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10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10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10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10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10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10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10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10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10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10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10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10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10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10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10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10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10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10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10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10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10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10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10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10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10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10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10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10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10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10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10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10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10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10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10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10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10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10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10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10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10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10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10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10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10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10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10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10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10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10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10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10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10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10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10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10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10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10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10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10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10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10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10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10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10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10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10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10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10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10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10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10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10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10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10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10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10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10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10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10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10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10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10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10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10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10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10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10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10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10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10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10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10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10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10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10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10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10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10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10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10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10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10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10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10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10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10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10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10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10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10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10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10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10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10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10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10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10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10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10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10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10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10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10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10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10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10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10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10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10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10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10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10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10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10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10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10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10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10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10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10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10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10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10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10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10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10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10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10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10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10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10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10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10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10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10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10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10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10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10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10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10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10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10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10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10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10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10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10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10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10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10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10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10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10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10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10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10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10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10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10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10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10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10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10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10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10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10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10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10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10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10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10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10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10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10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10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10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10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10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10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10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10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10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10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10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10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10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10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10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10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10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10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10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10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10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10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10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10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10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10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10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10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10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10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10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10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10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10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10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10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10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10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10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10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10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10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10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10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10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10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10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10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10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10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10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10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10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10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10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10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10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10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10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10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10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10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10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10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10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10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10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10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10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10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10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10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10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10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10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10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10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10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10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10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10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10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10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10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10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10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10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10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10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10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10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10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10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10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10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10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10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10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10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10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10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10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10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10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10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10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10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10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10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10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10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10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10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11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11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11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11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11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11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11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11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11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11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11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11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11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11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11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11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11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11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11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11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11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11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11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11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11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11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11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11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11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11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11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11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11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11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11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11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11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11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11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11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11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11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11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11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11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11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11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11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11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11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11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11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11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11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11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11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11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11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11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11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11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11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11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11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11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11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11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11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11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11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11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11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11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11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11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11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11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11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11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11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11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11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11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11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11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11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11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11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11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11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11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11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11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11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11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11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11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11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11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11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11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11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11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11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11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11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11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11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11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11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11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11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11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11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11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11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11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11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11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11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11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11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11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11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11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11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11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11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11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11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11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11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11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11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11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11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11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11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11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11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11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11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11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11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11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11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11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11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11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11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11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11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11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11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11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11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11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11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11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11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11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11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11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11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11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11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11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11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11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11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11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11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11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11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11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11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10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10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10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10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10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10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10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10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10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10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10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10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10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10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10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10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10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10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10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10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10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10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10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10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10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10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10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10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10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10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10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10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10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10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10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10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10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10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10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10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10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10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10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10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10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10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10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10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10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10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10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10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10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10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10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10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10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10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10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10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10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10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10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10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10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10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10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10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10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10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10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10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10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10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10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10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10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10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10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10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10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10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10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10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10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10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10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10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10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10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10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10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10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10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10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10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10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10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10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10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10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10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10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10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10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10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10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10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10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10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10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10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10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10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10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10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10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10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10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10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10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10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10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10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10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10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10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10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10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10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10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10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10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10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10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10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10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10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10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10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10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10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10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10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10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10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10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10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10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10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10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10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10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10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10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10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10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10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10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10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10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10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10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10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10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10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10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10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10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10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10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10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10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10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10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15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16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16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16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16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16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16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16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16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16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16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16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16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16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16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16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16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16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16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16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16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16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16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16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16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16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16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16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16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16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16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16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16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16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16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16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16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16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16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16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16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16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16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16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16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16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16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16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16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16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16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16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16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16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16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16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16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16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16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16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16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16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16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16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16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16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16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16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16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16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16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16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16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16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16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16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16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16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16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16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16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16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16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16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16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16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16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16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16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16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16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16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16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16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16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16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16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16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16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16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16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16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16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16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16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16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16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16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16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16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16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16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16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16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16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16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16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16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16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16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16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16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16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16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16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16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16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16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16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16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16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16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16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16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16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16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16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16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16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16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16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16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16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16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16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16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16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16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16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16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16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16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16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16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16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16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16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16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16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16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16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16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16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16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16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16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16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16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16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16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16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16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16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16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16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16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10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10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10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10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10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10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10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10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10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10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10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10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10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10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10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10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10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10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10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10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10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10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10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10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10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10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10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10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10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10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10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10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10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10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10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10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10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10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10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10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10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10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10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10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10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10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10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10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10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10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10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10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10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10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10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10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10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10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10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10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10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10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10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10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10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10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10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10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10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10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10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10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10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10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10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10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10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10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10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10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10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10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10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10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10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10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10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10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10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10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10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10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10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10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10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10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10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10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10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10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10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10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10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10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10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10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10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10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10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10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10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10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10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10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10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10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10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10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10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10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10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10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10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10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10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10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10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10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10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10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10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10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10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10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10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10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10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10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10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10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10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10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10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10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10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10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10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10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10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10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10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10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10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10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10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10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10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10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10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10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10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10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10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10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10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10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10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10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10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10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10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10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10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10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10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11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11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11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11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11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11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11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11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11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11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11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11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11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11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11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11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11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11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11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11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11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11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11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11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11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11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11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11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11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11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11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11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11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11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11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11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11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11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11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11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11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11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11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11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11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11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11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11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11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11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11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11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11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11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11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11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11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11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11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11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11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11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11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11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11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11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11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11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11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11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11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11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11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11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11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11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11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11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11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11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11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11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11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11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11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11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11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11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11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11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11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11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11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11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11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11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11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11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11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11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11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11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11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11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11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11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11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11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11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11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11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11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11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11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11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11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11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11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11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11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11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11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11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11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11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11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11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11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11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11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11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11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11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11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11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11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11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11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11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11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11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11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11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11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11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11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11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11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11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11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11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11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11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11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11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11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11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11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11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11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11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11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11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11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11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11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11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11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11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11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11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11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11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11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11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10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12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12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12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12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12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12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12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12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12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12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12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12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12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12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12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12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12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12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12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12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12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12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12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12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12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12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12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12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12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12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12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12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12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12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12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12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12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12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12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12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12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12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12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12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12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12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12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12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12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12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12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12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12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12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12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12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12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12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12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12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12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12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12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12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12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12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12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12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12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12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12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12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12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12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12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12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12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12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12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12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12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12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12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12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12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12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12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12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12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12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12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12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12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12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12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12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12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12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12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12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12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12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12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12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12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12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12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12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12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12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12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12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12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12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12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12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12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12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12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12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12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12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12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12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12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12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12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12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12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12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12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12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12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12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12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12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12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12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12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12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12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12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12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12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12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12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12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12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12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12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12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12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12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12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12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12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12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12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12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12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12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12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12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12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12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12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12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12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12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12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12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12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12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12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16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16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16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16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16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16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16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16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16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16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16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16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16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16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16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16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16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16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16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16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16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16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16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16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16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16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16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16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16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16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16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16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16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16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16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16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16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16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16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16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16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16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16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16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16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16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16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16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16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16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16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16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16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16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16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16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16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16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16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16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16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16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16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16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16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16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16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16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16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16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16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16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16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16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16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16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16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16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16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16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16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16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16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16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16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16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16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16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16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16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16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16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16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16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16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16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16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16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16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16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16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16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16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16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16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16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16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16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16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16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16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16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16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16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16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16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16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16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16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16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16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16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16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16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16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16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16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16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16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16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16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16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16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16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16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16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16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16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16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16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16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16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16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16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16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16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16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16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16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16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16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16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16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16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16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16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16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16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16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16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16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16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16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16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16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16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16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16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16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16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16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16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16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16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16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14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14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14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14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14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14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14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14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14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14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14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14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14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14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14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14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14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14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14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14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14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14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14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14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14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14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14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14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14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14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14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14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14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14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14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14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14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14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14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14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14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14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14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14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14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14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14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14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14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14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14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14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14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14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14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14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14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14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14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14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14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14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14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14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14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14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14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14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14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14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14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14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14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14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14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14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14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14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14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14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14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14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14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14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14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14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14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14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14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14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14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14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14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14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14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14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14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14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14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14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14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14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14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14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14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14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14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14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14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14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14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14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14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14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14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14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14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14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14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14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14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14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14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14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14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14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14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14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14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14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14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14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14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14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14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14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14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14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14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14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14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14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14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14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14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14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14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14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14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14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14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14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14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14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14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14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14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14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14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14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14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14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14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14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14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14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14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14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14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14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14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14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14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14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14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13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13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13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13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13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13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13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13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13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13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13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13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13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13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13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13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13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13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13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13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13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13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13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13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13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13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13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13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13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13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13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13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13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13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13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13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13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13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13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13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13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13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13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13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13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13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13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13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13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13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13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13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13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13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13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13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13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13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13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13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13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13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13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13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13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13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13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13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13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13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13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13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13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13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13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13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13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13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13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13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13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13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13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13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13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13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13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13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13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13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13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13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13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13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13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13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13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13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13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13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13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13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13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13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13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13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13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13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13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13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13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13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13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13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13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13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13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13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13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13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13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13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13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13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13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13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13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13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13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13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13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13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13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13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13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13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13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13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13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13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13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13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13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13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13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13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13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13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13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13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13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13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13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13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13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13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13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13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13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13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13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13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13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13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13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13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13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13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13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13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13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13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13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13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13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12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12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12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12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12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12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12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12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12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12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12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12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12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12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12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12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12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12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12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12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12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12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12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12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12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12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12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12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12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12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12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12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12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12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12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12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12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12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12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12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12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12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12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12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12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12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12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12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12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12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12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12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12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12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12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12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12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12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12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12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12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12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12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12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12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12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12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12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12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12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12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12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12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12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12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12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12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12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12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12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12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12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12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12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12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12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12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12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12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12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12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12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12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12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12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12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12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12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12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12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12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12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12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12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12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12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12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12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12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12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12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12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12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12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12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12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12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12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12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12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12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12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12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12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12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12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12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12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12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12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12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12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12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12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12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12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12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12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12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12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12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12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12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12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12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12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12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12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12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12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12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12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12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12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12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12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12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12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12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12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12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12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12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12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12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12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12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12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12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12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12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12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12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12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12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9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9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9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9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9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9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9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9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9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9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9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9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9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9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9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9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9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9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9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9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9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9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9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9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9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9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9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9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9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9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9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9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9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9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9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9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9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9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9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9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9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9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9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9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9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9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9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9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9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9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9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9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9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9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9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9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9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9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9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9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9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9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9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9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9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9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9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9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9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9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9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9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9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9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9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9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9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9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9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9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9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9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9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9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9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9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9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9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9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9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9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9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9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9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9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9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9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9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9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9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9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9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9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9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9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9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9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9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9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9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9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9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9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9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9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9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9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9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9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9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9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9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9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9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9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9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9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9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9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9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9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9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9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9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9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9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9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9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9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9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9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9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9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9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9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9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9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9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9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9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9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9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9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9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9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9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9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9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9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9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9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9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9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9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9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9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9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9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9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9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9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9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9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9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9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15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15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15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15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15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15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15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15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15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15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15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15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15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15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15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15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15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15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15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15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15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15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15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15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15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15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15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15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15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15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15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15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15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15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15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15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15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15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15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15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15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15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15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15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15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15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15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15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15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15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15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15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15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15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15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15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15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15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15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15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15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15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15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15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15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15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15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15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15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15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15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15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15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15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15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15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15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15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15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15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15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15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15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15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15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15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15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15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15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15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15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15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15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15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15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15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15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15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15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15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15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15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15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15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15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15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15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15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15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15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15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15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15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15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15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15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15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15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15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15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15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15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15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15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15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15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15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15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15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15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15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15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15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15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15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15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15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15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15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15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15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15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15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15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15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15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15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15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15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15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15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15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15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15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15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15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15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15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15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15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15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15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15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15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15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15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15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15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15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15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15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15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15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15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15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13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13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13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13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13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13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13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13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13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13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13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13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13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13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13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13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13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13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13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13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13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13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13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13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13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13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13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13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13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13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13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13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13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13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13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13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13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13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13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13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13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13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13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13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13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13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13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13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13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13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13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13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13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13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13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13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13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13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13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13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13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13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13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13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13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13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13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13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13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13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13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13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13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13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13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13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13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13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13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13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13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13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13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13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13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13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13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13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13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13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13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13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13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13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13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13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13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13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13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13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13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13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13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13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13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13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13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13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13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13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13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13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13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13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13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13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13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13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13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13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13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13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13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13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13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13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13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13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13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13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13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13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13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13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13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13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13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13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13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13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13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13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13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13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13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13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13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13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13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13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13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13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13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13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13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13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13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13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13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13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13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13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13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13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13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13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13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13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13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13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13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13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13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13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13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12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13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13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13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13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13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13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13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13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13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13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13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13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13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13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13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13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13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13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13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13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13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13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13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13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13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13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13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13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13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13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13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13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13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13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13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13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13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13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13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13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13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13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13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13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13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13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13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13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13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13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13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13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13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13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13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13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13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13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13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13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13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13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13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13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13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13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13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13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13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13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13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13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13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13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13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13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13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13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13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13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13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13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13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13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13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13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13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13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13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13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13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13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13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13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13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13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13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13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13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13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13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13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13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13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13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13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13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13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13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13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13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13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13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13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13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13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13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13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13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13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13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13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13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13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13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13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13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13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13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13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13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13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13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13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13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13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13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13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13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13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13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13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13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13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13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13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13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13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13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13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13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13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13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13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13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13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13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13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13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13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13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13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13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13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13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13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13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13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13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13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13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13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13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13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13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11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11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11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11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11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11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11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11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11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11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11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11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11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11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11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11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11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11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11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11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11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11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11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11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11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11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11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11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11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11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11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11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11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11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11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11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11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11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11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11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11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11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11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11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11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11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11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11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11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11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11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11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11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11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11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11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11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11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11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11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11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11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11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11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11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11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11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11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11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11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11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11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11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11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11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11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11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11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11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11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11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11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11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11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11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11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11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11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11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11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11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11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11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11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11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11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11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11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11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11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11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11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11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11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11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11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11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11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11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11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11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11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11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11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11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11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11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11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11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11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11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11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11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11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11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11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11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11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11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11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11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11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11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11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11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11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11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11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11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11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11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11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11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11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11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11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11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11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11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11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11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11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11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11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11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11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11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11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11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11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11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11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11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11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11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11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11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11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11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11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11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11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11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11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11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10.4375</v>
      </c>
      <c r="AC70">
        <f>SUBTOTAL(101,Table46[2024-10-28])</f>
        <v>11.59375</v>
      </c>
      <c r="AD70">
        <f>SUBTOTAL(101,Table46[2024-10-29])</f>
        <v>11.65625</v>
      </c>
      <c r="AE70">
        <f>SUBTOTAL(101,Table46[2024-10-30])</f>
        <v>11.65625</v>
      </c>
      <c r="AF70">
        <f>SUBTOTAL(101,Table46[2024-10-31])</f>
        <v>11.65625</v>
      </c>
      <c r="AG70">
        <f>SUBTOTAL(101,Table46[2024-11-01])</f>
        <v>11.65625</v>
      </c>
      <c r="AH70">
        <f>SUBTOTAL(101,Table46[2024-11-02])</f>
        <v>11.65625</v>
      </c>
      <c r="AI70">
        <f>SUBTOTAL(101,Table46[2024-11-03])</f>
        <v>11.65625</v>
      </c>
      <c r="AJ70">
        <f>SUBTOTAL(101,Table46[2024-11-04])</f>
        <v>11.65625</v>
      </c>
      <c r="AK70">
        <f>SUBTOTAL(101,Table46[2024-11-05])</f>
        <v>11.65625</v>
      </c>
      <c r="AL70">
        <f>SUBTOTAL(101,Table46[2024-11-06])</f>
        <v>11.65625</v>
      </c>
      <c r="AM70">
        <f>SUBTOTAL(101,Table46[2024-11-07])</f>
        <v>11.65625</v>
      </c>
      <c r="AN70">
        <f>SUBTOTAL(101,Table46[2024-11-08])</f>
        <v>11.65625</v>
      </c>
      <c r="AO70">
        <f>SUBTOTAL(101,Table46[2024-11-09])</f>
        <v>11.65625</v>
      </c>
      <c r="AP70">
        <f>SUBTOTAL(101,Table46[2024-11-10])</f>
        <v>11.65625</v>
      </c>
      <c r="AQ70">
        <f>SUBTOTAL(101,Table46[2024-11-11])</f>
        <v>11.65625</v>
      </c>
      <c r="AR70">
        <f>SUBTOTAL(101,Table46[2024-11-12])</f>
        <v>11.65625</v>
      </c>
      <c r="AS70">
        <f>SUBTOTAL(101,Table46[2024-11-13])</f>
        <v>11.65625</v>
      </c>
      <c r="AT70">
        <f>SUBTOTAL(101,Table46[2024-11-14])</f>
        <v>11.65625</v>
      </c>
      <c r="AU70">
        <f>SUBTOTAL(101,Table46[2024-11-15])</f>
        <v>11.65625</v>
      </c>
      <c r="AV70">
        <f>SUBTOTAL(101,Table46[2024-11-16])</f>
        <v>11.65625</v>
      </c>
      <c r="AW70">
        <f>SUBTOTAL(101,Table46[2024-11-17])</f>
        <v>11.65625</v>
      </c>
      <c r="AX70">
        <f>SUBTOTAL(101,Table46[2024-11-18])</f>
        <v>11.65625</v>
      </c>
      <c r="AY70">
        <f>SUBTOTAL(101,Table46[2024-11-19])</f>
        <v>11.65625</v>
      </c>
      <c r="AZ70">
        <f>SUBTOTAL(101,Table46[2024-11-20])</f>
        <v>11.65625</v>
      </c>
      <c r="BA70">
        <f>SUBTOTAL(101,Table46[2024-11-21])</f>
        <v>11.65625</v>
      </c>
      <c r="BB70">
        <f>SUBTOTAL(101,Table46[2024-11-22])</f>
        <v>11.65625</v>
      </c>
      <c r="BC70">
        <f>SUBTOTAL(101,Table46[2024-11-23])</f>
        <v>11.65625</v>
      </c>
      <c r="BD70">
        <f>SUBTOTAL(101,Table46[2024-11-24])</f>
        <v>11.65625</v>
      </c>
      <c r="BE70">
        <f>SUBTOTAL(101,Table46[2024-11-25])</f>
        <v>11.65625</v>
      </c>
      <c r="BF70">
        <f>SUBTOTAL(101,Table46[2024-11-26])</f>
        <v>11.65625</v>
      </c>
      <c r="BG70">
        <f>SUBTOTAL(101,Table46[2024-11-27])</f>
        <v>11.65625</v>
      </c>
      <c r="BH70">
        <f>SUBTOTAL(101,Table46[2024-11-28])</f>
        <v>11.65625</v>
      </c>
      <c r="BI70">
        <f>SUBTOTAL(101,Table46[2024-11-29])</f>
        <v>11.65625</v>
      </c>
      <c r="BJ70">
        <f>SUBTOTAL(101,Table46[2024-11-30])</f>
        <v>11.65625</v>
      </c>
      <c r="BK70">
        <f>SUBTOTAL(101,Table46[2024-12-01])</f>
        <v>11.65625</v>
      </c>
      <c r="BL70">
        <f>SUBTOTAL(101,Table46[2024-12-02])</f>
        <v>11.65625</v>
      </c>
      <c r="BM70">
        <f>SUBTOTAL(101,Table46[2024-12-03])</f>
        <v>11.65625</v>
      </c>
      <c r="BN70">
        <f>SUBTOTAL(101,Table46[2024-12-04])</f>
        <v>11.65625</v>
      </c>
      <c r="BO70">
        <f>SUBTOTAL(101,Table46[2024-12-05])</f>
        <v>11.65625</v>
      </c>
      <c r="BP70">
        <f>SUBTOTAL(101,Table46[2024-12-06])</f>
        <v>11.65625</v>
      </c>
      <c r="BQ70">
        <f>SUBTOTAL(101,Table46[2024-12-07])</f>
        <v>11.65625</v>
      </c>
      <c r="BR70">
        <f>SUBTOTAL(101,Table46[2024-12-08])</f>
        <v>11.65625</v>
      </c>
      <c r="BS70">
        <f>SUBTOTAL(101,Table46[2024-12-09])</f>
        <v>11.65625</v>
      </c>
      <c r="BT70">
        <f>SUBTOTAL(101,Table46[2024-12-10])</f>
        <v>11.65625</v>
      </c>
      <c r="BU70">
        <f>SUBTOTAL(101,Table46[2024-12-11])</f>
        <v>11.65625</v>
      </c>
      <c r="BV70">
        <f>SUBTOTAL(101,Table46[2024-12-12])</f>
        <v>11.65625</v>
      </c>
      <c r="BW70">
        <f>SUBTOTAL(101,Table46[2024-12-13])</f>
        <v>11.65625</v>
      </c>
      <c r="BX70">
        <f>SUBTOTAL(101,Table46[2024-12-14])</f>
        <v>11.65625</v>
      </c>
      <c r="BY70">
        <f>SUBTOTAL(101,Table46[2024-12-15])</f>
        <v>11.65625</v>
      </c>
      <c r="BZ70">
        <f>SUBTOTAL(101,Table46[2024-12-16])</f>
        <v>11.65625</v>
      </c>
      <c r="CA70">
        <f>SUBTOTAL(101,Table46[2024-12-17])</f>
        <v>11.65625</v>
      </c>
      <c r="CB70">
        <f>SUBTOTAL(101,Table46[2024-12-18])</f>
        <v>11.65625</v>
      </c>
      <c r="CC70">
        <f>SUBTOTAL(101,Table46[2024-12-19])</f>
        <v>11.65625</v>
      </c>
      <c r="CD70">
        <f>SUBTOTAL(101,Table46[2024-12-20])</f>
        <v>11.65625</v>
      </c>
      <c r="CE70">
        <f>SUBTOTAL(101,Table46[2024-12-21])</f>
        <v>11.65625</v>
      </c>
      <c r="CF70">
        <f>SUBTOTAL(101,Table46[2024-12-22])</f>
        <v>11.65625</v>
      </c>
      <c r="CG70">
        <f>SUBTOTAL(101,Table46[2024-12-23])</f>
        <v>11.65625</v>
      </c>
      <c r="CH70">
        <f>SUBTOTAL(101,Table46[2024-12-24])</f>
        <v>11.65625</v>
      </c>
      <c r="CI70">
        <f>SUBTOTAL(101,Table46[2024-12-25])</f>
        <v>11.65625</v>
      </c>
      <c r="CJ70">
        <f>SUBTOTAL(101,Table46[2024-12-26])</f>
        <v>11.65625</v>
      </c>
      <c r="CK70">
        <f>SUBTOTAL(101,Table46[2024-12-27])</f>
        <v>11.65625</v>
      </c>
      <c r="CL70">
        <f>SUBTOTAL(101,Table46[2024-12-28])</f>
        <v>11.65625</v>
      </c>
      <c r="CM70">
        <f>SUBTOTAL(101,Table46[2024-12-29])</f>
        <v>11.65625</v>
      </c>
      <c r="CN70">
        <f>SUBTOTAL(101,Table46[2024-12-30])</f>
        <v>11.65625</v>
      </c>
      <c r="CO70">
        <f>SUBTOTAL(101,Table46[2024-12-31])</f>
        <v>11.65625</v>
      </c>
      <c r="CP70">
        <f>SUBTOTAL(101,Table46[2025-01-01])</f>
        <v>11.65625</v>
      </c>
      <c r="CQ70">
        <f>SUBTOTAL(101,Table46[2025-01-02])</f>
        <v>11.65625</v>
      </c>
      <c r="CR70">
        <f>SUBTOTAL(101,Table46[2025-01-03])</f>
        <v>11.65625</v>
      </c>
      <c r="CS70">
        <f>SUBTOTAL(101,Table46[2025-01-04])</f>
        <v>11.65625</v>
      </c>
      <c r="CT70">
        <f>SUBTOTAL(101,Table46[2025-01-05])</f>
        <v>11.65625</v>
      </c>
      <c r="CU70">
        <f>SUBTOTAL(101,Table46[2025-01-06])</f>
        <v>11.65625</v>
      </c>
      <c r="CV70">
        <f>SUBTOTAL(101,Table46[2025-01-07])</f>
        <v>11.65625</v>
      </c>
      <c r="CW70">
        <f>SUBTOTAL(101,Table46[2025-01-08])</f>
        <v>11.65625</v>
      </c>
      <c r="CX70">
        <f>SUBTOTAL(101,Table46[2025-01-09])</f>
        <v>11.65625</v>
      </c>
      <c r="CY70">
        <f>SUBTOTAL(101,Table46[2025-01-10])</f>
        <v>11.65625</v>
      </c>
      <c r="CZ70">
        <f>SUBTOTAL(101,Table46[2025-01-11])</f>
        <v>11.65625</v>
      </c>
      <c r="DA70">
        <f>SUBTOTAL(101,Table46[2025-01-12])</f>
        <v>11.65625</v>
      </c>
      <c r="DB70">
        <f>SUBTOTAL(101,Table46[2025-01-13])</f>
        <v>11.65625</v>
      </c>
      <c r="DC70">
        <f>SUBTOTAL(101,Table46[2025-01-14])</f>
        <v>11.65625</v>
      </c>
      <c r="DD70">
        <f>SUBTOTAL(101,Table46[2025-01-15])</f>
        <v>11.65625</v>
      </c>
      <c r="DE70">
        <f>SUBTOTAL(101,Table46[2025-01-16])</f>
        <v>11.65625</v>
      </c>
      <c r="DF70">
        <f>SUBTOTAL(101,Table46[2025-01-17])</f>
        <v>11.65625</v>
      </c>
      <c r="DG70">
        <f>SUBTOTAL(101,Table46[2025-01-18])</f>
        <v>11.65625</v>
      </c>
      <c r="DH70">
        <f>SUBTOTAL(101,Table46[2025-01-19])</f>
        <v>11.65625</v>
      </c>
      <c r="DI70">
        <f>SUBTOTAL(101,Table46[2025-01-20])</f>
        <v>11.65625</v>
      </c>
      <c r="DJ70">
        <f>SUBTOTAL(101,Table46[2025-01-21])</f>
        <v>11.65625</v>
      </c>
      <c r="DK70">
        <f>SUBTOTAL(101,Table46[2025-01-22])</f>
        <v>11.65625</v>
      </c>
      <c r="DL70">
        <f>SUBTOTAL(101,Table46[2025-01-23])</f>
        <v>11.65625</v>
      </c>
      <c r="DM70">
        <f>SUBTOTAL(101,Table46[2025-01-24])</f>
        <v>11.65625</v>
      </c>
      <c r="DN70">
        <f>SUBTOTAL(101,Table46[2025-01-25])</f>
        <v>11.65625</v>
      </c>
      <c r="DO70">
        <f>SUBTOTAL(101,Table46[2025-01-26])</f>
        <v>11.65625</v>
      </c>
      <c r="DP70">
        <f>SUBTOTAL(101,Table46[2025-01-27])</f>
        <v>11.65625</v>
      </c>
      <c r="DQ70">
        <f>SUBTOTAL(101,Table46[2025-01-28])</f>
        <v>11.65625</v>
      </c>
      <c r="DR70">
        <f>SUBTOTAL(101,Table46[2025-01-29])</f>
        <v>11.65625</v>
      </c>
      <c r="DS70">
        <f>SUBTOTAL(101,Table46[2025-01-30])</f>
        <v>11.65625</v>
      </c>
      <c r="DT70">
        <f>SUBTOTAL(101,Table46[2025-01-31])</f>
        <v>11.65625</v>
      </c>
      <c r="DU70">
        <f>SUBTOTAL(101,Table46[2025-02-01])</f>
        <v>11.65625</v>
      </c>
      <c r="DV70">
        <f>SUBTOTAL(101,Table46[2025-02-02])</f>
        <v>11.65625</v>
      </c>
      <c r="DW70">
        <f>SUBTOTAL(101,Table46[2025-02-03])</f>
        <v>11.65625</v>
      </c>
      <c r="DX70">
        <f>SUBTOTAL(101,Table46[2025-02-04])</f>
        <v>11.65625</v>
      </c>
      <c r="DY70">
        <f>SUBTOTAL(101,Table46[2025-02-05])</f>
        <v>11.65625</v>
      </c>
      <c r="DZ70">
        <f>SUBTOTAL(101,Table46[2025-02-06])</f>
        <v>11.65625</v>
      </c>
      <c r="EA70">
        <f>SUBTOTAL(101,Table46[2025-02-07])</f>
        <v>11.65625</v>
      </c>
      <c r="EB70">
        <f>SUBTOTAL(101,Table46[2025-02-08])</f>
        <v>11.65625</v>
      </c>
      <c r="EC70">
        <f>SUBTOTAL(101,Table46[2025-02-09])</f>
        <v>11.65625</v>
      </c>
      <c r="ED70">
        <f>SUBTOTAL(101,Table46[2025-02-10])</f>
        <v>11.65625</v>
      </c>
      <c r="EE70">
        <f>SUBTOTAL(101,Table46[2025-02-11])</f>
        <v>11.65625</v>
      </c>
      <c r="EF70">
        <f>SUBTOTAL(101,Table46[2025-02-12])</f>
        <v>11.65625</v>
      </c>
      <c r="EG70">
        <f>SUBTOTAL(101,Table46[2025-02-13])</f>
        <v>11.65625</v>
      </c>
      <c r="EH70">
        <f>SUBTOTAL(101,Table46[2025-02-14])</f>
        <v>11.65625</v>
      </c>
      <c r="EI70">
        <f>SUBTOTAL(101,Table46[2025-02-15])</f>
        <v>11.65625</v>
      </c>
      <c r="EJ70">
        <f>SUBTOTAL(101,Table46[2025-02-16])</f>
        <v>11.65625</v>
      </c>
      <c r="EK70">
        <f>SUBTOTAL(101,Table46[2025-02-17])</f>
        <v>11.65625</v>
      </c>
      <c r="EL70">
        <f>SUBTOTAL(101,Table46[2025-02-18])</f>
        <v>11.65625</v>
      </c>
      <c r="EM70">
        <f>SUBTOTAL(101,Table46[2025-02-19])</f>
        <v>11.65625</v>
      </c>
      <c r="EN70">
        <f>SUBTOTAL(101,Table46[2025-02-20])</f>
        <v>11.65625</v>
      </c>
      <c r="EO70">
        <f>SUBTOTAL(101,Table46[2025-02-21])</f>
        <v>11.65625</v>
      </c>
      <c r="EP70">
        <f>SUBTOTAL(101,Table46[2025-02-22])</f>
        <v>11.65625</v>
      </c>
      <c r="EQ70">
        <f>SUBTOTAL(101,Table46[2025-02-23])</f>
        <v>11.65625</v>
      </c>
      <c r="ER70">
        <f>SUBTOTAL(101,Table46[2025-02-24])</f>
        <v>11.65625</v>
      </c>
      <c r="ES70">
        <f>SUBTOTAL(101,Table46[2025-02-25])</f>
        <v>11.65625</v>
      </c>
      <c r="ET70">
        <f>SUBTOTAL(101,Table46[2025-02-26])</f>
        <v>11.65625</v>
      </c>
      <c r="EU70">
        <f>SUBTOTAL(101,Table46[2025-02-27])</f>
        <v>11.65625</v>
      </c>
      <c r="EV70">
        <f>SUBTOTAL(101,Table46[2025-02-28])</f>
        <v>11.65625</v>
      </c>
      <c r="EW70">
        <f>SUBTOTAL(101,Table46[2025-03-01])</f>
        <v>11.65625</v>
      </c>
      <c r="EX70">
        <f>SUBTOTAL(101,Table46[2025-03-02])</f>
        <v>11.65625</v>
      </c>
      <c r="EY70">
        <f>SUBTOTAL(101,Table46[2025-03-03])</f>
        <v>11.65625</v>
      </c>
      <c r="EZ70">
        <f>SUBTOTAL(101,Table46[2025-03-04])</f>
        <v>11.65625</v>
      </c>
      <c r="FA70">
        <f>SUBTOTAL(101,Table46[2025-03-05])</f>
        <v>11.65625</v>
      </c>
      <c r="FB70">
        <f>SUBTOTAL(101,Table46[2025-03-06])</f>
        <v>11.65625</v>
      </c>
      <c r="FC70">
        <f>SUBTOTAL(101,Table46[2025-03-07])</f>
        <v>11.65625</v>
      </c>
      <c r="FD70">
        <f>SUBTOTAL(101,Table46[2025-03-08])</f>
        <v>11.65625</v>
      </c>
      <c r="FE70">
        <f>SUBTOTAL(101,Table46[2025-03-09])</f>
        <v>11.65625</v>
      </c>
      <c r="FF70">
        <f>SUBTOTAL(101,Table46[2025-03-10])</f>
        <v>11.65625</v>
      </c>
      <c r="FG70">
        <f>SUBTOTAL(101,Table46[2025-03-11])</f>
        <v>11.65625</v>
      </c>
      <c r="FH70">
        <f>SUBTOTAL(101,Table46[2025-03-12])</f>
        <v>11.65625</v>
      </c>
      <c r="FI70">
        <f>SUBTOTAL(101,Table46[2025-03-13])</f>
        <v>11.65625</v>
      </c>
      <c r="FJ70">
        <f>SUBTOTAL(101,Table46[2025-03-14])</f>
        <v>11.65625</v>
      </c>
      <c r="FK70">
        <f>SUBTOTAL(101,Table46[2025-03-15])</f>
        <v>11.65625</v>
      </c>
      <c r="FL70">
        <f>SUBTOTAL(101,Table46[2025-03-16])</f>
        <v>11.65625</v>
      </c>
      <c r="FM70">
        <f>SUBTOTAL(101,Table46[2025-03-17])</f>
        <v>11.65625</v>
      </c>
      <c r="FN70">
        <f>SUBTOTAL(101,Table46[2025-03-18])</f>
        <v>11.65625</v>
      </c>
      <c r="FO70">
        <f>SUBTOTAL(101,Table46[2025-03-19])</f>
        <v>11.65625</v>
      </c>
      <c r="FP70">
        <f>SUBTOTAL(101,Table46[2025-03-20])</f>
        <v>11.65625</v>
      </c>
      <c r="FQ70">
        <f>SUBTOTAL(101,Table46[2025-03-21])</f>
        <v>11.65625</v>
      </c>
      <c r="FR70">
        <f>SUBTOTAL(101,Table46[2025-03-22])</f>
        <v>11.65625</v>
      </c>
      <c r="FS70">
        <f>SUBTOTAL(101,Table46[2025-03-23])</f>
        <v>11.65625</v>
      </c>
      <c r="FT70">
        <f>SUBTOTAL(101,Table46[2025-03-24])</f>
        <v>11.65625</v>
      </c>
      <c r="FU70">
        <f>SUBTOTAL(101,Table46[2025-03-25])</f>
        <v>11.65625</v>
      </c>
      <c r="FV70">
        <f>SUBTOTAL(101,Table46[2025-03-26])</f>
        <v>11.65625</v>
      </c>
      <c r="FW70">
        <f>SUBTOTAL(101,Table46[2025-03-27])</f>
        <v>11.65625</v>
      </c>
      <c r="FX70">
        <f>SUBTOTAL(101,Table46[2025-03-28])</f>
        <v>11.65625</v>
      </c>
      <c r="FY70">
        <f>SUBTOTAL(101,Table46[2025-03-29])</f>
        <v>11.65625</v>
      </c>
      <c r="FZ70">
        <f>SUBTOTAL(101,Table46[2025-03-30])</f>
        <v>11.65625</v>
      </c>
      <c r="GA70">
        <f>SUBTOTAL(101,Table46[2025-03-31])</f>
        <v>11.65625</v>
      </c>
      <c r="GB70">
        <f>SUBTOTAL(101,Table46[2025-04-01])</f>
        <v>11.65625</v>
      </c>
      <c r="GC70">
        <f>SUBTOTAL(101,Table46[2025-04-02])</f>
        <v>11.65625</v>
      </c>
      <c r="GD70">
        <f>SUBTOTAL(101,Table46[2025-04-03])</f>
        <v>11.65625</v>
      </c>
      <c r="GE70">
        <f>SUBTOTAL(101,Table46[2025-04-04])</f>
        <v>11.65625</v>
      </c>
      <c r="GF70">
        <f>SUBTOTAL(101,Table46[2025-04-05])</f>
        <v>11.65625</v>
      </c>
      <c r="GG70">
        <f>SUBTOTAL(101,Table46[2025-04-06])</f>
        <v>11.65625</v>
      </c>
      <c r="GH70">
        <f>SUBTOTAL(101,Table46[2025-04-07])</f>
        <v>11.65625</v>
      </c>
      <c r="GI70">
        <f>SUBTOTAL(101,Table46[2025-04-08])</f>
        <v>11.65625</v>
      </c>
      <c r="GJ70">
        <f>SUBTOTAL(101,Table46[2025-04-09])</f>
        <v>11.65625</v>
      </c>
      <c r="GK70">
        <f>SUBTOTAL(101,Table46[2025-04-10])</f>
        <v>11.65625</v>
      </c>
      <c r="GL70">
        <f>SUBTOTAL(101,Table46[2025-04-11])</f>
        <v>11.65625</v>
      </c>
      <c r="GM70">
        <f>SUBTOTAL(101,Table46[2025-04-12])</f>
        <v>11.65625</v>
      </c>
      <c r="GN70">
        <f>SUBTOTAL(101,Table46[2025-04-13])</f>
        <v>11.65625</v>
      </c>
      <c r="GO70">
        <f>SUBTOTAL(101,Table46[2025-04-14])</f>
        <v>11.65625</v>
      </c>
      <c r="GP70">
        <f>SUBTOTAL(101,Table46[2025-04-15])</f>
        <v>11.65625</v>
      </c>
      <c r="GQ70">
        <f>SUBTOTAL(101,Table46[2025-04-16])</f>
        <v>11.65625</v>
      </c>
      <c r="GR70">
        <f>SUBTOTAL(101,Table46[2025-04-17])</f>
        <v>11.65625</v>
      </c>
      <c r="GS70">
        <f>SUBTOTAL(101,Table46[2025-04-18])</f>
        <v>11.65625</v>
      </c>
      <c r="GT70">
        <f>SUBTOTAL(101,Table46[2025-04-19])</f>
        <v>11.65625</v>
      </c>
      <c r="GU70">
        <f>SUBTOTAL(101,Table46[2025-04-20])</f>
        <v>11.65625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1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7</v>
      </c>
      <c r="BP3" s="171">
        <f>BO3+BO4</f>
        <v>9</v>
      </c>
      <c r="BQ3" s="167">
        <f>82-BP3</f>
        <v>73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1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5</v>
      </c>
      <c r="BP5" s="171">
        <f t="shared" ref="BP5" si="1">BO5+BO6</f>
        <v>12</v>
      </c>
      <c r="BQ5" s="167">
        <f t="shared" ref="BQ5" si="2">82-BP5</f>
        <v>70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1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7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71">
        <f t="shared" ref="BP7" si="3">BO7+BO8</f>
        <v>10</v>
      </c>
      <c r="BQ7" s="167">
        <f t="shared" ref="BQ7" si="4">82-BP7</f>
        <v>72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1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7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71">
        <f t="shared" ref="BP9" si="5">BO9+BO10</f>
        <v>9</v>
      </c>
      <c r="BQ9" s="167">
        <f t="shared" ref="BQ9" si="6">82-BP9</f>
        <v>73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1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1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5</v>
      </c>
      <c r="BP11" s="171">
        <f t="shared" ref="BP11" si="7">BO11+BO12</f>
        <v>10</v>
      </c>
      <c r="BQ11" s="167">
        <f t="shared" ref="BQ11" si="8">82-BP11</f>
        <v>72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1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5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1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6</v>
      </c>
      <c r="BP13" s="171">
        <f t="shared" ref="BP13" si="9">BO13+BO14</f>
        <v>11</v>
      </c>
      <c r="BQ13" s="167">
        <f t="shared" ref="BQ13" si="10">82-BP13</f>
        <v>71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71">
        <f t="shared" ref="BP15" si="11">BO15+BO16</f>
        <v>10</v>
      </c>
      <c r="BQ15" s="167">
        <f t="shared" ref="BQ15" si="12">82-BP15</f>
        <v>72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1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6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71">
        <f t="shared" ref="BP17" si="13">BO17+BO18</f>
        <v>11</v>
      </c>
      <c r="BQ17" s="167">
        <f t="shared" ref="BQ17" si="14">82-BP17</f>
        <v>71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1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5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71">
        <f t="shared" ref="BP19" si="15">BO19+BO20</f>
        <v>10</v>
      </c>
      <c r="BQ19" s="167">
        <f t="shared" ref="BQ19" si="16">82-BP19</f>
        <v>72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1</v>
      </c>
      <c r="BN20" s="39"/>
      <c r="BO20" s="34">
        <f t="shared" si="0"/>
        <v>6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1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4</v>
      </c>
      <c r="BP21" s="171">
        <f t="shared" ref="BP21" si="17">BO21+BO22</f>
        <v>10</v>
      </c>
      <c r="BQ21" s="167">
        <f t="shared" ref="BQ21" si="18">82-BP21</f>
        <v>72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71">
        <f t="shared" ref="BP23" si="19">BO23+BO24</f>
        <v>11</v>
      </c>
      <c r="BQ23" s="167">
        <f t="shared" ref="BQ23" si="20">82-BP23</f>
        <v>71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1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4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11</v>
      </c>
      <c r="BQ25" s="167">
        <f t="shared" ref="BQ25" si="22">82-BP25</f>
        <v>71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1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6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1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8</v>
      </c>
      <c r="BP27" s="171">
        <f t="shared" ref="BP27" si="23">BO27+BO28</f>
        <v>11</v>
      </c>
      <c r="BQ27" s="167">
        <f t="shared" ref="BQ27" si="24">82-BP27</f>
        <v>71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71">
        <f t="shared" ref="BP29" si="25">BO29+BO30</f>
        <v>11</v>
      </c>
      <c r="BQ29" s="167">
        <f t="shared" ref="BQ29" si="26">82-BP29</f>
        <v>71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1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5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1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7</v>
      </c>
      <c r="BP31" s="171">
        <f t="shared" ref="BP31" si="27">BO31+BO32</f>
        <v>11</v>
      </c>
      <c r="BQ31" s="167">
        <f t="shared" ref="BQ31" si="28">82-BP31</f>
        <v>71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1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5</v>
      </c>
      <c r="BP33" s="171">
        <f t="shared" ref="BP33" si="29">BO33+BO34</f>
        <v>10</v>
      </c>
      <c r="BQ33" s="167">
        <f t="shared" ref="BQ33" si="30">82-BP33</f>
        <v>72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11</v>
      </c>
      <c r="BQ35" s="167">
        <f t="shared" ref="BQ35" si="32">82-BP35</f>
        <v>71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1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7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1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4</v>
      </c>
      <c r="BP37" s="171">
        <f t="shared" ref="BP37" si="33">BO37+BO38</f>
        <v>9</v>
      </c>
      <c r="BQ37" s="167">
        <f t="shared" ref="BQ37" si="34">82-BP37</f>
        <v>73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1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6</v>
      </c>
      <c r="BP39" s="171">
        <f t="shared" ref="BP39" si="35">BO39+BO40</f>
        <v>11</v>
      </c>
      <c r="BQ39" s="167">
        <f t="shared" ref="BQ39" si="36">82-BP39</f>
        <v>71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1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5</v>
      </c>
      <c r="BP41" s="171">
        <f t="shared" ref="BP41" si="37">BO41+BO42</f>
        <v>11</v>
      </c>
      <c r="BQ41" s="167">
        <f t="shared" ref="BQ41" si="38">82-BP41</f>
        <v>71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1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6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71">
        <f t="shared" ref="BP43" si="39">BO43+BO44</f>
        <v>9</v>
      </c>
      <c r="BQ43" s="167">
        <f t="shared" ref="BQ43" si="40">82-BP43</f>
        <v>73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1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6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1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6</v>
      </c>
      <c r="BP45" s="171">
        <f t="shared" ref="BP45" si="41">BO45+BO46</f>
        <v>11</v>
      </c>
      <c r="BQ45" s="167">
        <f t="shared" ref="BQ45" si="42">82-BP45</f>
        <v>71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1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5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71">
        <f t="shared" ref="BP47" si="43">BO47+BO48</f>
        <v>10</v>
      </c>
      <c r="BQ47" s="167">
        <f t="shared" ref="BQ47" si="44">82-BP47</f>
        <v>72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1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4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71">
        <f t="shared" ref="BP49" si="45">BO49+BO50</f>
        <v>10</v>
      </c>
      <c r="BQ49" s="167">
        <f t="shared" ref="BQ49" si="46">82-BP49</f>
        <v>72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1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5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1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4</v>
      </c>
      <c r="BP51" s="171">
        <f t="shared" ref="BP51" si="47">BO51+BO52</f>
        <v>10</v>
      </c>
      <c r="BQ51" s="167">
        <f t="shared" ref="BQ51" si="48">82-BP51</f>
        <v>72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1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6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1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5</v>
      </c>
      <c r="BP53" s="171">
        <f t="shared" ref="BP53" si="49">BO53+BO54</f>
        <v>10</v>
      </c>
      <c r="BQ53" s="167">
        <f t="shared" ref="BQ53" si="50">82-BP53</f>
        <v>72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1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3</v>
      </c>
      <c r="BP55" s="171">
        <f t="shared" ref="BP55" si="51">BO55+BO56</f>
        <v>11</v>
      </c>
      <c r="BQ55" s="167">
        <f t="shared" ref="BQ55" si="52">82-BP55</f>
        <v>71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1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8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1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7</v>
      </c>
      <c r="BP57" s="171">
        <f t="shared" ref="BP57" si="53">BO57+BO58</f>
        <v>11</v>
      </c>
      <c r="BQ57" s="167">
        <f t="shared" ref="BQ57" si="54">82-BP57</f>
        <v>71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71">
        <f t="shared" ref="BP59" si="55">BO59+BO60</f>
        <v>11</v>
      </c>
      <c r="BQ59" s="167">
        <f t="shared" ref="BQ59" si="56">82-BP59</f>
        <v>71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1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5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1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6</v>
      </c>
      <c r="BP61" s="171">
        <f t="shared" ref="BP61" si="57">BO61+BO62</f>
        <v>10</v>
      </c>
      <c r="BQ61" s="167">
        <f t="shared" ref="BQ61" si="58">82-BP61</f>
        <v>72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1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4</v>
      </c>
      <c r="BP63" s="171">
        <f t="shared" ref="BP63" si="59">BO63+BO64</f>
        <v>10</v>
      </c>
      <c r="BQ63" s="167">
        <f t="shared" ref="BQ63" si="60">82-BP63</f>
        <v>72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1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4</v>
      </c>
      <c r="BP65" s="171">
        <f t="shared" ref="BP65" si="61">BO65+BO66</f>
        <v>10</v>
      </c>
      <c r="BQ65" s="167">
        <f t="shared" ref="BQ65" si="62">82-BP65</f>
        <v>72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166</v>
      </c>
      <c r="BQ67" s="27">
        <f>SUM(BQ3:BQ66)/2</f>
        <v>1146</v>
      </c>
    </row>
    <row r="68" spans="1:69" x14ac:dyDescent="0.25">
      <c r="BP68" s="43">
        <f>2*BP67/SUM(BP3:BQ66)</f>
        <v>0.12652439024390244</v>
      </c>
      <c r="BQ68" s="43">
        <f>2*BQ67/SUM(BP3:BQ66)</f>
        <v>0.87347560975609762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22" workbookViewId="0">
      <selection activeCell="C37" sqref="C37:R3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71">
        <f>BO3+BO4</f>
        <v>9</v>
      </c>
      <c r="BQ3" s="167">
        <f>82-BP3</f>
        <v>73</v>
      </c>
      <c r="BR3" s="177">
        <f t="shared" ref="BR3" si="0">BP3/(BP3+BQ3)</f>
        <v>0.10975609756097561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1">SUM(C5:BN5)</f>
        <v>6</v>
      </c>
      <c r="BP5" s="171">
        <f t="shared" ref="BP5" si="2">BO5+BO6</f>
        <v>11</v>
      </c>
      <c r="BQ5" s="167">
        <f t="shared" ref="BQ5" si="3">82-BP5</f>
        <v>71</v>
      </c>
      <c r="BR5" s="177">
        <f t="shared" ref="BR5" si="4">BP5/(BP5+BQ5)</f>
        <v>0.13414634146341464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71">
        <f t="shared" ref="BP7" si="5">BO7+BO8</f>
        <v>11</v>
      </c>
      <c r="BQ7" s="167">
        <f t="shared" ref="BQ7" si="6">82-BP7</f>
        <v>71</v>
      </c>
      <c r="BR7" s="177">
        <f t="shared" ref="BR7" si="7">BP7/(BP7+BQ7)</f>
        <v>0.13414634146341464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4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8</v>
      </c>
      <c r="BP9" s="171">
        <f t="shared" ref="BP9" si="8">BO9+BO10</f>
        <v>11</v>
      </c>
      <c r="BQ9" s="167">
        <f t="shared" ref="BQ9" si="9">82-BP9</f>
        <v>71</v>
      </c>
      <c r="BR9" s="177">
        <f t="shared" ref="BR9" si="10">BP9/(BP9+BQ9)</f>
        <v>0.13414634146341464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71">
        <f t="shared" ref="BP11" si="11">BO11+BO12</f>
        <v>10</v>
      </c>
      <c r="BQ11" s="167">
        <f t="shared" ref="BQ11" si="12">82-BP11</f>
        <v>72</v>
      </c>
      <c r="BR11" s="177">
        <f t="shared" ref="BR11" si="13">BP11/(BP11+BQ11)</f>
        <v>0.12195121951219512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4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71">
        <f t="shared" ref="BP13" si="14">BO13+BO14</f>
        <v>10</v>
      </c>
      <c r="BQ13" s="167">
        <f t="shared" ref="BQ13" si="15">82-BP13</f>
        <v>72</v>
      </c>
      <c r="BR13" s="177">
        <f t="shared" ref="BR13" si="16">BP13/(BP13+BQ13)</f>
        <v>0.12195121951219512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5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71">
        <f t="shared" ref="BP15" si="17">BO15+BO16</f>
        <v>11</v>
      </c>
      <c r="BQ15" s="167">
        <f t="shared" ref="BQ15" si="18">82-BP15</f>
        <v>71</v>
      </c>
      <c r="BR15" s="177">
        <f t="shared" ref="BR15" si="19">BP15/(BP15+BQ15)</f>
        <v>0.13414634146341464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5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6</v>
      </c>
      <c r="BP17" s="171">
        <f t="shared" ref="BP17" si="20">BO17+BO18</f>
        <v>10</v>
      </c>
      <c r="BQ17" s="167">
        <f t="shared" ref="BQ17" si="21">82-BP17</f>
        <v>72</v>
      </c>
      <c r="BR17" s="177">
        <f t="shared" ref="BR17" si="22">BP17/(BP17+BQ17)</f>
        <v>0.12195121951219512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71">
        <f t="shared" ref="BP19" si="23">BO19+BO20</f>
        <v>10</v>
      </c>
      <c r="BQ19" s="167">
        <f t="shared" ref="BQ19" si="24">82-BP19</f>
        <v>72</v>
      </c>
      <c r="BR19" s="177">
        <f t="shared" ref="BR19" si="25">BP19/(BP19+BQ19)</f>
        <v>0.12195121951219512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6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71">
        <f t="shared" ref="BP21" si="26">BO21+BO22</f>
        <v>11</v>
      </c>
      <c r="BQ21" s="167">
        <f t="shared" ref="BQ21" si="27">82-BP21</f>
        <v>71</v>
      </c>
      <c r="BR21" s="177">
        <f t="shared" ref="BR21" si="28">BP21/(BP21+BQ21)</f>
        <v>0.13414634146341464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5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71">
        <f t="shared" ref="BP23" si="29">BO23+BO24</f>
        <v>10</v>
      </c>
      <c r="BQ23" s="167">
        <f t="shared" ref="BQ23" si="30">82-BP23</f>
        <v>72</v>
      </c>
      <c r="BR23" s="177">
        <f t="shared" ref="BR23" si="31">BP23/(BP23+BQ23)</f>
        <v>0.12195121951219512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6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71">
        <f t="shared" ref="BP25" si="32">BO25+BO26</f>
        <v>11</v>
      </c>
      <c r="BQ25" s="167">
        <f t="shared" ref="BQ25" si="33">82-BP25</f>
        <v>71</v>
      </c>
      <c r="BR25" s="177">
        <f t="shared" ref="BR25" si="34">BP25/(BP25+BQ25)</f>
        <v>0.13414634146341464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5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11</v>
      </c>
      <c r="BQ27" s="167">
        <f t="shared" ref="BQ27" si="36">82-BP27</f>
        <v>71</v>
      </c>
      <c r="BR27" s="177">
        <f t="shared" ref="BR27" si="37">BP27/(BP27+BQ27)</f>
        <v>0.13414634146341464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7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4</v>
      </c>
      <c r="BP29" s="171">
        <f t="shared" ref="BP29" si="38">BO29+BO30</f>
        <v>10</v>
      </c>
      <c r="BQ29" s="167">
        <f t="shared" ref="BQ29" si="39">82-BP29</f>
        <v>72</v>
      </c>
      <c r="BR29" s="177">
        <f t="shared" ref="BR29" si="40">BP29/(BP29+BQ29)</f>
        <v>0.12195121951219512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6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7</v>
      </c>
      <c r="BP31" s="171">
        <f t="shared" ref="BP31" si="41">BO31+BO32</f>
        <v>11</v>
      </c>
      <c r="BQ31" s="167">
        <f t="shared" ref="BQ31" si="42">82-BP31</f>
        <v>71</v>
      </c>
      <c r="BR31" s="177">
        <f t="shared" ref="BR31" si="43">BP31/(BP31+BQ31)</f>
        <v>0.13414634146341464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4</v>
      </c>
      <c r="BP33" s="171">
        <f t="shared" ref="BP33" si="44">BO33+BO34</f>
        <v>10</v>
      </c>
      <c r="BQ33" s="167">
        <f t="shared" ref="BQ33" si="45">82-BP33</f>
        <v>72</v>
      </c>
      <c r="BR33" s="177">
        <f t="shared" ref="BR33" si="46">BP33/(BP33+BQ33)</f>
        <v>0.12195121951219512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71">
        <f t="shared" ref="BP35" si="47">BO35+BO36</f>
        <v>9</v>
      </c>
      <c r="BQ35" s="167">
        <f t="shared" ref="BQ35" si="48">82-BP35</f>
        <v>73</v>
      </c>
      <c r="BR35" s="177">
        <f t="shared" ref="BR35" si="49">BP35/(BP35+BQ35)</f>
        <v>0.10975609756097561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3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5</v>
      </c>
      <c r="BP37" s="171">
        <f t="shared" ref="BP37" si="50">BO37+BO38</f>
        <v>10</v>
      </c>
      <c r="BQ37" s="167">
        <f t="shared" ref="BQ37" si="51">82-BP37</f>
        <v>72</v>
      </c>
      <c r="BR37" s="177">
        <f t="shared" ref="BR37" si="52">BP37/(BP37+BQ37)</f>
        <v>0.12195121951219512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1</v>
      </c>
      <c r="BN38" s="39"/>
      <c r="BO38" s="34">
        <f t="shared" si="1"/>
        <v>5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5</v>
      </c>
      <c r="BP39" s="171">
        <f t="shared" ref="BP39" si="53">BO39+BO40</f>
        <v>10</v>
      </c>
      <c r="BQ39" s="167">
        <f t="shared" ref="BQ39" si="54">82-BP39</f>
        <v>72</v>
      </c>
      <c r="BR39" s="177">
        <f t="shared" ref="BR39" si="55">BP39/(BP39+BQ39)</f>
        <v>0.12195121951219512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4</v>
      </c>
      <c r="BP41" s="171">
        <f t="shared" ref="BP41" si="56">BO41+BO42</f>
        <v>9</v>
      </c>
      <c r="BQ41" s="167">
        <f t="shared" ref="BQ41" si="57">82-BP41</f>
        <v>73</v>
      </c>
      <c r="BR41" s="177">
        <f t="shared" ref="BR41" si="58">BP41/(BP41+BQ41)</f>
        <v>0.10975609756097561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6</v>
      </c>
      <c r="BP43" s="171">
        <f t="shared" ref="BP43" si="59">BO43+BO44</f>
        <v>11</v>
      </c>
      <c r="BQ43" s="167">
        <f t="shared" ref="BQ43" si="60">82-BP43</f>
        <v>71</v>
      </c>
      <c r="BR43" s="177">
        <f t="shared" ref="BR43" si="61">BP43/(BP43+BQ43)</f>
        <v>0.13414634146341464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71">
        <f t="shared" ref="BP45" si="62">BO45+BO46</f>
        <v>9</v>
      </c>
      <c r="BQ45" s="167">
        <f t="shared" ref="BQ45" si="63">82-BP45</f>
        <v>73</v>
      </c>
      <c r="BR45" s="177">
        <f t="shared" ref="BR45" si="64">BP45/(BP45+BQ45)</f>
        <v>0.10975609756097561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6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6</v>
      </c>
      <c r="BP47" s="171">
        <f t="shared" ref="BP47" si="65">BO47+BO48</f>
        <v>11</v>
      </c>
      <c r="BQ47" s="167">
        <f t="shared" ref="BQ47" si="66">82-BP47</f>
        <v>71</v>
      </c>
      <c r="BR47" s="177">
        <f t="shared" ref="BR47" si="67">BP47/(BP47+BQ47)</f>
        <v>0.13414634146341464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5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4</v>
      </c>
      <c r="BP49" s="171">
        <f t="shared" ref="BP49" si="68">BO49+BO50</f>
        <v>10</v>
      </c>
      <c r="BQ49" s="167">
        <f t="shared" ref="BQ49" si="69">82-BP49</f>
        <v>72</v>
      </c>
      <c r="BR49" s="177">
        <f t="shared" ref="BR49" si="70">BP49/(BP49+BQ49)</f>
        <v>0.12195121951219512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5</v>
      </c>
      <c r="BP51" s="171">
        <f t="shared" ref="BP51" si="71">BO51+BO52</f>
        <v>12</v>
      </c>
      <c r="BQ51" s="167">
        <f t="shared" ref="BQ51" si="72">82-BP51</f>
        <v>70</v>
      </c>
      <c r="BR51" s="177">
        <f t="shared" ref="BR51" si="73">BP51/(BP51+BQ51)</f>
        <v>0.14634146341463414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7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71">
        <f t="shared" ref="BP53" si="74">BO53+BO54</f>
        <v>10</v>
      </c>
      <c r="BQ53" s="167">
        <f t="shared" ref="BQ53" si="75">82-BP53</f>
        <v>72</v>
      </c>
      <c r="BR53" s="177">
        <f t="shared" ref="BR53" si="76">BP53/(BP53+BQ53)</f>
        <v>0.12195121951219512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7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4</v>
      </c>
      <c r="BP55" s="171">
        <f t="shared" ref="BP55" si="77">BO55+BO56</f>
        <v>10</v>
      </c>
      <c r="BQ55" s="167">
        <f t="shared" ref="BQ55" si="78">82-BP55</f>
        <v>72</v>
      </c>
      <c r="BR55" s="177">
        <f t="shared" ref="BR55" si="79">BP55/(BP55+BQ55)</f>
        <v>0.12195121951219512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11</v>
      </c>
      <c r="BQ57" s="167">
        <f t="shared" ref="BQ57" si="81">82-BP57</f>
        <v>71</v>
      </c>
      <c r="BR57" s="177">
        <f t="shared" ref="BR57" si="82">BP57/(BP57+BQ57)</f>
        <v>0.13414634146341464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6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7</v>
      </c>
      <c r="BP59" s="171">
        <f t="shared" ref="BP59" si="83">BO59+BO60</f>
        <v>11</v>
      </c>
      <c r="BQ59" s="167">
        <f t="shared" ref="BQ59" si="84">82-BP59</f>
        <v>71</v>
      </c>
      <c r="BR59" s="177">
        <f t="shared" ref="BR59" si="85">BP59/(BP59+BQ59)</f>
        <v>0.13414634146341464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5</v>
      </c>
      <c r="BP61" s="171">
        <f t="shared" ref="BP61" si="86">BO61+BO62</f>
        <v>11</v>
      </c>
      <c r="BQ61" s="167">
        <f t="shared" ref="BQ61" si="87">82-BP61</f>
        <v>71</v>
      </c>
      <c r="BR61" s="177">
        <f t="shared" ref="BR61" si="88">BP61/(BP61+BQ61)</f>
        <v>0.13414634146341464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6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5</v>
      </c>
      <c r="BP63" s="171">
        <f t="shared" ref="BP63" si="89">BO63+BO64</f>
        <v>10</v>
      </c>
      <c r="BQ63" s="167">
        <f t="shared" ref="BQ63" si="90">82-BP63</f>
        <v>72</v>
      </c>
      <c r="BR63" s="177">
        <f t="shared" ref="BR63" si="91">BP63/(BP63+BQ63)</f>
        <v>0.12195121951219512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1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3</v>
      </c>
      <c r="BP65" s="171">
        <f t="shared" ref="BP65" si="92">BO65+BO66</f>
        <v>11</v>
      </c>
      <c r="BQ65" s="167">
        <f t="shared" ref="BQ65" si="93">82-BP65</f>
        <v>71</v>
      </c>
      <c r="BR65" s="177">
        <f>BP65/(BP65+BQ65)</f>
        <v>0.13414634146341464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8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166</v>
      </c>
      <c r="BQ67" s="27">
        <f>SUM(BQ3:BQ66)/2</f>
        <v>1146</v>
      </c>
    </row>
    <row r="68" spans="1:70" x14ac:dyDescent="0.25">
      <c r="BP68" s="43">
        <f>2*BP67/SUM(BP3:BQ66)</f>
        <v>0.12652439024390244</v>
      </c>
      <c r="BQ68" s="43">
        <f>2*BQ67/SUM(BP3:BQ66)</f>
        <v>0.87347560975609762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BP13" sqref="BP13:BP14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1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4</v>
      </c>
      <c r="BP3" s="171">
        <f>BO3+BO4</f>
        <v>6</v>
      </c>
      <c r="BQ3" s="167">
        <f>82-BP3</f>
        <v>76</v>
      </c>
      <c r="BR3" s="177">
        <f t="shared" ref="BR3:BR67" si="0">BP3/(BP3+BQ3)</f>
        <v>7.3170731707317069E-2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1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4</v>
      </c>
      <c r="BP5" s="171">
        <f t="shared" ref="BP5" si="2">BO5+BO6</f>
        <v>8</v>
      </c>
      <c r="BQ5" s="167">
        <f t="shared" ref="BQ5" si="3">82-BP5</f>
        <v>74</v>
      </c>
      <c r="BR5" s="177">
        <f t="shared" si="0"/>
        <v>9.7560975609756101E-2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1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4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71">
        <f t="shared" ref="BP7" si="4">BO7+BO8</f>
        <v>8</v>
      </c>
      <c r="BQ7" s="167">
        <f t="shared" ref="BQ7" si="5">82-BP7</f>
        <v>74</v>
      </c>
      <c r="BR7" s="177">
        <f t="shared" si="0"/>
        <v>9.7560975609756101E-2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1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6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71">
        <f t="shared" ref="BP9" si="6">BO9+BO10</f>
        <v>8</v>
      </c>
      <c r="BQ9" s="167">
        <f t="shared" ref="BQ9" si="7">82-BP9</f>
        <v>74</v>
      </c>
      <c r="BR9" s="177">
        <f t="shared" si="0"/>
        <v>9.7560975609756101E-2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1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2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1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2</v>
      </c>
      <c r="BP11" s="171">
        <f t="shared" ref="BP11" si="8">BO11+BO12</f>
        <v>4</v>
      </c>
      <c r="BQ11" s="167">
        <f t="shared" ref="BQ11" si="9">82-BP11</f>
        <v>78</v>
      </c>
      <c r="BR11" s="177">
        <f t="shared" si="0"/>
        <v>4.878048780487805E-2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1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6</v>
      </c>
      <c r="BP13" s="171">
        <f t="shared" ref="BP13" si="10">BO13+BO14</f>
        <v>11</v>
      </c>
      <c r="BQ13" s="167">
        <f t="shared" ref="BQ13" si="11">82-BP13</f>
        <v>71</v>
      </c>
      <c r="BR13" s="177">
        <f t="shared" si="0"/>
        <v>0.13414634146341464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71">
        <f t="shared" ref="BP15" si="12">BO15+BO16</f>
        <v>10</v>
      </c>
      <c r="BQ15" s="167">
        <f t="shared" ref="BQ15" si="13">82-BP15</f>
        <v>72</v>
      </c>
      <c r="BR15" s="177">
        <f t="shared" si="0"/>
        <v>0.12195121951219512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1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6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71">
        <f t="shared" ref="BP17" si="14">BO17+BO18</f>
        <v>9</v>
      </c>
      <c r="BQ17" s="167">
        <f t="shared" ref="BQ17" si="15">82-BP17</f>
        <v>73</v>
      </c>
      <c r="BR17" s="177">
        <f t="shared" si="0"/>
        <v>0.10975609756097561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1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5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71">
        <f t="shared" ref="BP19" si="16">BO19+BO20</f>
        <v>6</v>
      </c>
      <c r="BQ19" s="167">
        <f t="shared" ref="BQ19" si="17">82-BP19</f>
        <v>76</v>
      </c>
      <c r="BR19" s="177">
        <f t="shared" si="0"/>
        <v>7.3170731707317069E-2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1</v>
      </c>
      <c r="BN20" s="39"/>
      <c r="BO20" s="34">
        <f t="shared" si="1"/>
        <v>3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1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4</v>
      </c>
      <c r="BP21" s="171">
        <f t="shared" ref="BP21" si="18">BO21+BO22</f>
        <v>10</v>
      </c>
      <c r="BQ21" s="167">
        <f t="shared" ref="BQ21" si="19">82-BP21</f>
        <v>72</v>
      </c>
      <c r="BR21" s="177">
        <f t="shared" si="0"/>
        <v>0.12195121951219512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71">
        <f t="shared" ref="BP23" si="20">BO23+BO24</f>
        <v>11</v>
      </c>
      <c r="BQ23" s="167">
        <f t="shared" ref="BQ23" si="21">82-BP23</f>
        <v>71</v>
      </c>
      <c r="BR23" s="177">
        <f t="shared" si="0"/>
        <v>0.13414634146341464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1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4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9</v>
      </c>
      <c r="BQ25" s="167">
        <f t="shared" ref="BQ25" si="23">82-BP25</f>
        <v>73</v>
      </c>
      <c r="BR25" s="177">
        <f t="shared" si="0"/>
        <v>0.10975609756097561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1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4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1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4</v>
      </c>
      <c r="BP27" s="171">
        <f t="shared" ref="BP27" si="24">BO27+BO28</f>
        <v>6</v>
      </c>
      <c r="BQ27" s="167">
        <f t="shared" ref="BQ27" si="25">82-BP27</f>
        <v>76</v>
      </c>
      <c r="BR27" s="177">
        <f t="shared" si="0"/>
        <v>7.3170731707317069E-2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6</v>
      </c>
      <c r="BQ29" s="167">
        <f t="shared" ref="BQ29" si="27">82-BP29</f>
        <v>76</v>
      </c>
      <c r="BR29" s="177">
        <f t="shared" si="0"/>
        <v>7.3170731707317069E-2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1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2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1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7</v>
      </c>
      <c r="BP31" s="171">
        <f t="shared" ref="BP31" si="28">BO31+BO32</f>
        <v>11</v>
      </c>
      <c r="BQ31" s="167">
        <f t="shared" ref="BQ31" si="29">82-BP31</f>
        <v>71</v>
      </c>
      <c r="BR31" s="177">
        <f t="shared" si="0"/>
        <v>0.13414634146341464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1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2</v>
      </c>
      <c r="BP33" s="171">
        <f t="shared" ref="BP33" si="30">BO33+BO34</f>
        <v>6</v>
      </c>
      <c r="BQ33" s="167">
        <f t="shared" ref="BQ33" si="31">82-BP33</f>
        <v>76</v>
      </c>
      <c r="BR33" s="177">
        <f t="shared" si="0"/>
        <v>7.3170731707317069E-2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9</v>
      </c>
      <c r="BQ35" s="167">
        <f t="shared" ref="BQ35" si="33">82-BP35</f>
        <v>73</v>
      </c>
      <c r="BR35" s="177">
        <f t="shared" si="0"/>
        <v>0.10975609756097561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1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6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1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2</v>
      </c>
      <c r="BP37" s="171">
        <f t="shared" ref="BP37" si="34">BO37+BO38</f>
        <v>4</v>
      </c>
      <c r="BQ37" s="167">
        <f t="shared" ref="BQ37" si="35">82-BP37</f>
        <v>78</v>
      </c>
      <c r="BR37" s="177">
        <f t="shared" si="0"/>
        <v>4.878048780487805E-2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1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4</v>
      </c>
      <c r="BP39" s="171">
        <f t="shared" ref="BP39" si="36">BO39+BO40</f>
        <v>9</v>
      </c>
      <c r="BQ39" s="167">
        <f t="shared" ref="BQ39" si="37">82-BP39</f>
        <v>73</v>
      </c>
      <c r="BR39" s="177">
        <f t="shared" si="0"/>
        <v>0.10975609756097561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1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5</v>
      </c>
      <c r="BP41" s="171">
        <f t="shared" ref="BP41" si="38">BO41+BO42</f>
        <v>10</v>
      </c>
      <c r="BQ41" s="167">
        <f t="shared" ref="BQ41" si="39">82-BP41</f>
        <v>72</v>
      </c>
      <c r="BR41" s="177">
        <f t="shared" si="0"/>
        <v>0.12195121951219512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1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5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71">
        <f t="shared" ref="BP43" si="40">BO43+BO44</f>
        <v>6</v>
      </c>
      <c r="BQ43" s="167">
        <f t="shared" ref="BQ43" si="41">82-BP43</f>
        <v>76</v>
      </c>
      <c r="BR43" s="177">
        <f t="shared" si="0"/>
        <v>7.3170731707317069E-2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1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4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1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5</v>
      </c>
      <c r="BP45" s="171">
        <f t="shared" ref="BP45" si="42">BO45+BO46</f>
        <v>8</v>
      </c>
      <c r="BQ45" s="167">
        <f t="shared" ref="BQ45" si="43">82-BP45</f>
        <v>74</v>
      </c>
      <c r="BR45" s="177">
        <f t="shared" si="0"/>
        <v>9.7560975609756101E-2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1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3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71">
        <f t="shared" ref="BP47" si="44">BO47+BO48</f>
        <v>9</v>
      </c>
      <c r="BQ47" s="167">
        <f t="shared" ref="BQ47" si="45">82-BP47</f>
        <v>73</v>
      </c>
      <c r="BR47" s="177">
        <f t="shared" si="0"/>
        <v>0.10975609756097561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1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3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71">
        <f t="shared" ref="BP49" si="46">BO49+BO50</f>
        <v>7</v>
      </c>
      <c r="BQ49" s="167">
        <f t="shared" ref="BQ49" si="47">82-BP49</f>
        <v>75</v>
      </c>
      <c r="BR49" s="177">
        <f t="shared" si="0"/>
        <v>8.5365853658536592E-2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1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3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1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4</v>
      </c>
      <c r="BP51" s="171">
        <f t="shared" ref="BP51" si="48">BO51+BO52</f>
        <v>9</v>
      </c>
      <c r="BQ51" s="167">
        <f t="shared" ref="BQ51" si="49">82-BP51</f>
        <v>73</v>
      </c>
      <c r="BR51" s="177">
        <f t="shared" si="0"/>
        <v>0.10975609756097561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1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5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1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5</v>
      </c>
      <c r="BP53" s="171">
        <f t="shared" ref="BP53" si="50">BO53+BO54</f>
        <v>8</v>
      </c>
      <c r="BQ53" s="167">
        <f t="shared" ref="BQ53" si="51">82-BP53</f>
        <v>74</v>
      </c>
      <c r="BR53" s="177">
        <f t="shared" si="0"/>
        <v>9.7560975609756101E-2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71">
        <f t="shared" ref="BP55" si="52">BO55+BO56</f>
        <v>10</v>
      </c>
      <c r="BQ55" s="167">
        <f t="shared" ref="BQ55" si="53">82-BP55</f>
        <v>72</v>
      </c>
      <c r="BR55" s="177">
        <f t="shared" si="0"/>
        <v>0.12195121951219512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1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8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1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6</v>
      </c>
      <c r="BP57" s="171">
        <f t="shared" ref="BP57" si="54">BO57+BO58</f>
        <v>10</v>
      </c>
      <c r="BQ57" s="167">
        <f t="shared" ref="BQ57" si="55">82-BP57</f>
        <v>72</v>
      </c>
      <c r="BR57" s="177">
        <f t="shared" si="0"/>
        <v>0.12195121951219512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71">
        <f t="shared" ref="BP59" si="56">BO59+BO60</f>
        <v>10</v>
      </c>
      <c r="BQ59" s="167">
        <f t="shared" ref="BQ59" si="57">82-BP59</f>
        <v>72</v>
      </c>
      <c r="BR59" s="177">
        <f t="shared" si="0"/>
        <v>0.12195121951219512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1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5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1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3</v>
      </c>
      <c r="BP61" s="171">
        <f t="shared" ref="BP61" si="58">BO61+BO62</f>
        <v>6</v>
      </c>
      <c r="BQ61" s="167">
        <f t="shared" ref="BQ61" si="59">82-BP61</f>
        <v>76</v>
      </c>
      <c r="BR61" s="177">
        <f t="shared" si="0"/>
        <v>7.3170731707317069E-2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1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2</v>
      </c>
      <c r="BP63" s="171">
        <f t="shared" ref="BP63" si="60">BO63+BO64</f>
        <v>7</v>
      </c>
      <c r="BQ63" s="167">
        <f t="shared" ref="BQ63" si="61">82-BP63</f>
        <v>75</v>
      </c>
      <c r="BR63" s="177">
        <f t="shared" si="0"/>
        <v>8.5365853658536592E-2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1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3</v>
      </c>
      <c r="BP65" s="171">
        <f t="shared" ref="BP65" si="62">BO65+BO66</f>
        <v>7</v>
      </c>
      <c r="BQ65" s="167">
        <f t="shared" ref="BQ65" si="63">82-BP65</f>
        <v>75</v>
      </c>
      <c r="BR65" s="177">
        <f t="shared" si="0"/>
        <v>8.5365853658536592E-2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129</v>
      </c>
      <c r="BQ67" s="26">
        <f>SUM(BQ3:BQ66)/2</f>
        <v>1183</v>
      </c>
      <c r="BR67" s="135">
        <f t="shared" si="0"/>
        <v>9.8323170731707321E-2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R6" sqref="AR6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0.6</v>
      </c>
      <c r="F2">
        <f>COUNTIFS(DataRegularSeason20242025!$N$3:$N$1315,1,DataRegularSeason20242025!$D$3:$D$1315,$A2)</f>
        <v>5</v>
      </c>
      <c r="G2">
        <f>41-Table3[[#This Row],[GP_A]]</f>
        <v>36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 t="shared" ref="J2:J33" si="0">F2+H2</f>
        <v>10</v>
      </c>
      <c r="K2">
        <f>82-Table3[[#This Row],[GP]]</f>
        <v>72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2</v>
      </c>
      <c r="Q2">
        <f>COUNTIFS(DataRegularSeason20242025!$D$3:$D$1315,$A2, DataRegularSeason20242025!$S$3:$S$1315, $A2,DataRegularSeason20242025!$M$3:$M$1315,"REG")</f>
        <v>2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</v>
      </c>
      <c r="AC2">
        <f>Table3[[#This Row],[W_A]]+Table3[[#This Row],[W_H]]</f>
        <v>8</v>
      </c>
      <c r="AD2">
        <f>Table3[[#This Row],[L_A]]+Table3[[#This Row],[L_H]]</f>
        <v>2</v>
      </c>
      <c r="AE2">
        <f>Table3[[#This Row],[RW_A]]+Table3[[#This Row],[RW_H]]</f>
        <v>7</v>
      </c>
      <c r="AF2">
        <f>Table3[[#This Row],[RL_A]]+Table3[[#This Row],[RL_H]]</f>
        <v>2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</v>
      </c>
      <c r="AR2" s="10">
        <f>Table3[[#This Row],[PTS2]]/(3*Table3[[#This Row],[GP]])</f>
        <v>0.76666666666666672</v>
      </c>
      <c r="AS2">
        <f>(2*Table3[[#This Row],[GR]])+Table3[[#This Row],[PTS]]</f>
        <v>160</v>
      </c>
      <c r="AT2">
        <f>(3*Table3[[#This Row],[GR]])+Table3[[#This Row],[PTS2]]</f>
        <v>239</v>
      </c>
      <c r="AU2">
        <f>Table3[[#This Row],[PTS]]+(2 * Table3[[#This Row],[GR]] * Table3[[#This Row],[PTS%]])</f>
        <v>131.19999999999999</v>
      </c>
      <c r="AV2">
        <f>Table3[[#This Row],[PTS2]]+(3 * Table3[[#This Row],[GR]] * Table3[[#This Row],[PTS%2]])</f>
        <v>188.60000000000002</v>
      </c>
      <c r="AW2" s="15" t="str">
        <f>_xlfn.CONCAT(TEXT(Table3[[#This Row],[W]], "0"), "-", TEXT(Table3[[#This Row],[RL]],"0"), "-", TEXT(Table3[[#This Row],[OTL]]+Table3[[#This Row],[SOL]], "0"))</f>
        <v>8-2-0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20</v>
      </c>
      <c r="AZ2">
        <f>SUMIF(DataRegularSeason20242025!$D$3:$D$1315,$A2, DataRegularSeason20242025!$K$3:$K$1315)</f>
        <v>21</v>
      </c>
      <c r="BA2">
        <f t="shared" ref="BA2:BA33" si="3">AY2-AZ2</f>
        <v>-1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 t="shared" ref="BE2:BE33" si="4">BC2-BD2</f>
        <v>10</v>
      </c>
      <c r="BF2">
        <f t="shared" ref="BF2:BF33" si="5">AY2+BC2</f>
        <v>39</v>
      </c>
      <c r="BG2">
        <f t="shared" ref="BG2:BG33" si="6">AZ2+BD2</f>
        <v>30</v>
      </c>
      <c r="BH2">
        <f t="shared" ref="BH2:BH33" si="7">BF2-BG2</f>
        <v>9</v>
      </c>
      <c r="BI2" s="12">
        <f>Table3[[#This Row],[GF]]/Table3[[#This Row],[GP]]</f>
        <v>3.9</v>
      </c>
      <c r="BJ2" s="12">
        <f>Table3[[#This Row],[GA]]/Table3[[#This Row],[GP]]</f>
        <v>3</v>
      </c>
      <c r="BK2" s="12">
        <f>(Table3[[#This Row],[GF]]-Table3[[#This Row],[GA]])/Table3[[#This Row],[GP]]</f>
        <v>0.9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3-2-0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0.6</v>
      </c>
      <c r="BP2" s="16">
        <f>(Table3[[#This Row],[W]]*$CX$3)+(Table3[[#This Row],[L]]*$CX$4)+(Table3[[#This Row],[GF]]*$CX$5)+(Table3[[#This Row],[GA]]*$CX$6)</f>
        <v>13.45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89.791999999999973</v>
      </c>
      <c r="BR2" s="16">
        <f>(Table3[[#This Row],[W]]*0.7) + ((Table3[[#This Row],[GF]] - Table3[[#This Row],[GA]])*0.25)+(Table3[[#This Row],[GF]]*0.1)+(Table3[[#This Row],[GA]]*0.05)+(Table3[[#This Row],[L]]*0.3)</f>
        <v>13.85</v>
      </c>
      <c r="BS2" s="16">
        <f>Table3[[#This Row],[TeamCost83]]/Table3[[#This Row],[GP]]</f>
        <v>1.385</v>
      </c>
      <c r="BT2">
        <f>COUNTIFS(Table2[AwayTeam],$A2,Table2[PredictedWinner], $A2, Table2[GameIsOver], 1)</f>
        <v>2</v>
      </c>
      <c r="BU2">
        <f>COUNTIFS(Table2[HomeTeam],$A2,Table2[PredictedWinner], $A2, Table2[GameIsOver], 1)</f>
        <v>5</v>
      </c>
      <c r="BV2">
        <f t="shared" ref="BV2:BV33" si="8">BT2+BU2</f>
        <v>7</v>
      </c>
      <c r="BW2">
        <f t="shared" ref="BW2:BW33" si="9">F2-BT2</f>
        <v>3</v>
      </c>
      <c r="BX2">
        <f t="shared" ref="BX2:BX33" si="10">H2-BU2</f>
        <v>0</v>
      </c>
      <c r="BY2">
        <f t="shared" ref="BY2:BY33" si="11">BW2+BX2</f>
        <v>3</v>
      </c>
      <c r="BZ2">
        <f>Table3[[#This Row],[TimesPredictedWinner]]/Table3[[#This Row],[GP]]</f>
        <v>0.7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0.63</v>
      </c>
      <c r="CR2" t="s">
        <v>139</v>
      </c>
      <c r="CS2">
        <f>SUM($J$2:$J$33)/2</f>
        <v>166</v>
      </c>
      <c r="CW2" t="s">
        <v>57</v>
      </c>
      <c r="CX2" s="14" t="s">
        <v>150</v>
      </c>
      <c r="CY2">
        <f>INDEX($J$2:$J$33,MATCH("CGY",$A$2:$A$33,0),1)</f>
        <v>11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6</v>
      </c>
      <c r="E3" s="10">
        <f>Table3[[#This Row],[Watched]]/Table3[[#This Row],[GP]]</f>
        <v>0.6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2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3</v>
      </c>
      <c r="Q3">
        <f>COUNTIFS(DataRegularSeason20242025!$D$3:$D$1315,$A3, DataRegularSeason20242025!$S$3:$S$1315, $A3,DataRegularSeason20242025!$M$3:$M$1315,"REG")</f>
        <v>1</v>
      </c>
      <c r="R3">
        <f>COUNTIFS(DataRegularSeason20242025!$D$3:$D$1315,$A3, DataRegularSeason20242025!$S$3:$S$1315, $A3,DataRegularSeason20242025!$M$3:$M$1315,"OT")</f>
        <v>2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0.6</v>
      </c>
      <c r="AC3">
        <f>Table3[[#This Row],[W_A]]+Table3[[#This Row],[W_H]]</f>
        <v>6</v>
      </c>
      <c r="AD3">
        <f>Table3[[#This Row],[L_A]]+Table3[[#This Row],[L_H]]</f>
        <v>4</v>
      </c>
      <c r="AE3">
        <f>Table3[[#This Row],[RW_A]]+Table3[[#This Row],[RW_H]]</f>
        <v>5</v>
      </c>
      <c r="AF3">
        <f>Table3[[#This Row],[RL_A]]+Table3[[#This Row],[RL_H]]</f>
        <v>1</v>
      </c>
      <c r="AG3">
        <f>Table3[[#This Row],[OTW_A]]+Table3[[#This Row],[OTW_H]]</f>
        <v>1</v>
      </c>
      <c r="AH3">
        <f>Table3[[#This Row],[OTL_A]]+Table3[[#This Row],[OTL_H]]</f>
        <v>2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1-3</v>
      </c>
      <c r="AL3">
        <f>SUM(Table3[[#This Row],[OTW]],Table3[[#This Row],[OTL]],Table3[[#This Row],[SOW]],Table3[[#This Row],[SOL]])</f>
        <v>4</v>
      </c>
      <c r="AM3">
        <f>(Table3[[#This Row],[OTW]]+Table3[[#This Row],[SOW]])/IF(Table3[[#This Row],[Total_ExtraTimes]]=0,1,Table3[[#This Row],[Total_ExtraTimes]])</f>
        <v>0.25</v>
      </c>
      <c r="AN3">
        <f>Table3[[#This Row],[Total_ExtraTimes]]/MAX(1,Table3[[#This Row],[GP]])</f>
        <v>0.4</v>
      </c>
      <c r="AO3">
        <f>(2*(Table3[[#This Row],[W_A]]+Table3[[#This Row],[W_H]]))+Table3[[#This Row],[OTL_A]]+Table3[[#This Row],[SOL_A]]+Table3[[#This Row],[OTL_H]]+Table3[[#This Row],[SOL_H]]</f>
        <v>15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3" s="10">
        <f>Table3[[#This Row],[PTS]]/(2*Table3[[#This Row],[GP]])</f>
        <v>0.75</v>
      </c>
      <c r="AR3" s="10">
        <f>Table3[[#This Row],[PTS2]]/(3*Table3[[#This Row],[GP]])</f>
        <v>0.66666666666666663</v>
      </c>
      <c r="AS3">
        <f>(2*Table3[[#This Row],[GR]])+Table3[[#This Row],[PTS]]</f>
        <v>159</v>
      </c>
      <c r="AT3">
        <f>(3*Table3[[#This Row],[GR]])+Table3[[#This Row],[PTS2]]</f>
        <v>236</v>
      </c>
      <c r="AU3">
        <f>Table3[[#This Row],[PTS]]+(2 * Table3[[#This Row],[GR]] * Table3[[#This Row],[PTS%]])</f>
        <v>123</v>
      </c>
      <c r="AV3">
        <f>Table3[[#This Row],[PTS2]]+(3 * Table3[[#This Row],[GR]] * Table3[[#This Row],[PTS%2]])</f>
        <v>164</v>
      </c>
      <c r="AW3" s="15" t="str">
        <f>_xlfn.CONCAT(TEXT(Table3[[#This Row],[W]], "0"), "-", TEXT(Table3[[#This Row],[RL]],"0"), "-", TEXT(Table3[[#This Row],[OTL]]+Table3[[#This Row],[SOL]], "0"))</f>
        <v>6-1-3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16</v>
      </c>
      <c r="AZ3">
        <f>SUMIF(DataRegularSeason20242025!$D$3:$D$1315,$A3, DataRegularSeason20242025!$K$3:$K$1315)</f>
        <v>15</v>
      </c>
      <c r="BA3">
        <f t="shared" si="3"/>
        <v>1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 t="shared" si="4"/>
        <v>8</v>
      </c>
      <c r="BF3">
        <f t="shared" si="5"/>
        <v>37</v>
      </c>
      <c r="BG3">
        <f t="shared" si="6"/>
        <v>28</v>
      </c>
      <c r="BH3">
        <f t="shared" si="7"/>
        <v>9</v>
      </c>
      <c r="BI3" s="12">
        <f>Table3[[#This Row],[GF]]/Table3[[#This Row],[GP]]</f>
        <v>3.7</v>
      </c>
      <c r="BJ3" s="12">
        <f>Table3[[#This Row],[GA]]/Table3[[#This Row],[GP]]</f>
        <v>2.8</v>
      </c>
      <c r="BK3" s="12">
        <f>(Table3[[#This Row],[GF]]-Table3[[#This Row],[GA]])/Table3[[#This Row],[GP]]</f>
        <v>0.9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3-1-2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84.710000000000008</v>
      </c>
      <c r="BR3" s="16">
        <f>(Table3[[#This Row],[W]]*0.7) + ((Table3[[#This Row],[GF]] - Table3[[#This Row],[GA]])*0.25)+(Table3[[#This Row],[GF]]*0.1)+(Table3[[#This Row],[GA]]*0.05)+(Table3[[#This Row],[L]]*0.3)</f>
        <v>12.749999999999998</v>
      </c>
      <c r="BS3" s="16">
        <f>Table3[[#This Row],[TeamCost83]]/Table3[[#This Row],[GP]]</f>
        <v>1.2749999999999999</v>
      </c>
      <c r="BT3">
        <f>COUNTIFS(Table2[AwayTeam],$A3,Table2[PredictedWinner], $A3, Table2[GameIsOver], 1)</f>
        <v>3</v>
      </c>
      <c r="BU3">
        <f>COUNTIFS(Table2[HomeTeam],$A3,Table2[PredictedWinner], $A3, Table2[GameIsOver], 1)</f>
        <v>4</v>
      </c>
      <c r="BV3">
        <f t="shared" si="8"/>
        <v>7</v>
      </c>
      <c r="BW3">
        <f t="shared" si="9"/>
        <v>3</v>
      </c>
      <c r="BX3">
        <f t="shared" si="10"/>
        <v>0</v>
      </c>
      <c r="BY3">
        <f t="shared" si="11"/>
        <v>3</v>
      </c>
      <c r="BZ3">
        <f>Table3[[#This Row],[TimesPredictedWinner]]/Table3[[#This Row],[GP]]</f>
        <v>0.7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1.9000000000000001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4.3000000000000007</v>
      </c>
      <c r="CL3">
        <f>Table3[[#This Row],[Column5]]/Table3[[#This Row],[GP]]</f>
        <v>0.43000000000000005</v>
      </c>
      <c r="CR3" t="s">
        <v>137</v>
      </c>
      <c r="CS3">
        <f>SUM($D$2:$D$33)/2</f>
        <v>129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8.9285714285714288E-2</v>
      </c>
    </row>
    <row r="4" spans="1:144" x14ac:dyDescent="0.25">
      <c r="A4" t="s">
        <v>14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10</v>
      </c>
      <c r="E4" s="10">
        <f>Table3[[#This Row],[Watched]]/Table3[[#This Row],[GP]]</f>
        <v>0.90909090909090906</v>
      </c>
      <c r="F4">
        <f>COUNTIFS(DataRegularSeason20242025!$N$3:$N$1315,1,DataRegularSeason20242025!$D$3:$D$1315,$A4)</f>
        <v>7</v>
      </c>
      <c r="G4">
        <f>41-Table3[[#This Row],[GP_A]]</f>
        <v>34</v>
      </c>
      <c r="H4">
        <f>COUNTIFS(DataRegularSeason20242025!$E$3:$E$1315,$A4,DataRegularSeason20242025!$N$3:$N$1315,1)</f>
        <v>4</v>
      </c>
      <c r="I4">
        <f>41-Table3[[#This Row],[GP_H]]</f>
        <v>37</v>
      </c>
      <c r="J4">
        <f t="shared" si="0"/>
        <v>11</v>
      </c>
      <c r="K4">
        <f>82-Table3[[#This Row],[GP]]</f>
        <v>71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3</v>
      </c>
      <c r="Q4">
        <f>COUNTIFS(DataRegularSeason20242025!$D$3:$D$1315,$A4, DataRegularSeason20242025!$S$3:$S$1315, $A4,DataRegularSeason20242025!$M$3:$M$1315,"REG")</f>
        <v>3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4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0.72727272727272729</v>
      </c>
      <c r="AC4">
        <f>Table3[[#This Row],[W_A]]+Table3[[#This Row],[W_H]]</f>
        <v>8</v>
      </c>
      <c r="AD4">
        <f>Table3[[#This Row],[L_A]]+Table3[[#This Row],[L_H]]</f>
        <v>3</v>
      </c>
      <c r="AE4">
        <f>Table3[[#This Row],[RW_A]]+Table3[[#This Row],[RW_H]]</f>
        <v>6</v>
      </c>
      <c r="AF4">
        <f>Table3[[#This Row],[RL_A]]+Table3[[#This Row],[RL_H]]</f>
        <v>3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0.18181818181818182</v>
      </c>
      <c r="AO4">
        <f>(2*(Table3[[#This Row],[W_A]]+Table3[[#This Row],[W_H]]))+Table3[[#This Row],[OTL_A]]+Table3[[#This Row],[SOL_A]]+Table3[[#This Row],[OTL_H]]+Table3[[#This Row],[SOL_H]]</f>
        <v>16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4" s="10">
        <f>Table3[[#This Row],[PTS]]/(2*Table3[[#This Row],[GP]])</f>
        <v>0.72727272727272729</v>
      </c>
      <c r="AR4" s="10">
        <f>Table3[[#This Row],[PTS2]]/(3*Table3[[#This Row],[GP]])</f>
        <v>0.66666666666666663</v>
      </c>
      <c r="AS4">
        <f>(2*Table3[[#This Row],[GR]])+Table3[[#This Row],[PTS]]</f>
        <v>158</v>
      </c>
      <c r="AT4">
        <f>(3*Table3[[#This Row],[GR]])+Table3[[#This Row],[PTS2]]</f>
        <v>235</v>
      </c>
      <c r="AU4">
        <f>Table3[[#This Row],[PTS]]+(2 * Table3[[#This Row],[GR]] * Table3[[#This Row],[PTS%]])</f>
        <v>119.27272727272728</v>
      </c>
      <c r="AV4">
        <f>Table3[[#This Row],[PTS2]]+(3 * Table3[[#This Row],[GR]] * Table3[[#This Row],[PTS%2]])</f>
        <v>164</v>
      </c>
      <c r="AW4" s="15" t="str">
        <f>_xlfn.CONCAT(TEXT(Table3[[#This Row],[W]], "0"), "-", TEXT(Table3[[#This Row],[RL]],"0"), "-", TEXT(Table3[[#This Row],[OTL]]+Table3[[#This Row],[SOL]], "0"))</f>
        <v>8-3-0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24</v>
      </c>
      <c r="AZ4">
        <f>SUMIF(DataRegularSeason20242025!$D$3:$D$1315,$A4, DataRegularSeason20242025!$K$3:$K$1315)</f>
        <v>21</v>
      </c>
      <c r="BA4">
        <f t="shared" si="3"/>
        <v>3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16</v>
      </c>
      <c r="BD4">
        <f>SUMIF(DataRegularSeason20242025!$E$3:$E$1315,$A4,DataRegularSeason20242025!$J$3:$J$1315)</f>
        <v>9</v>
      </c>
      <c r="BE4">
        <f t="shared" si="4"/>
        <v>7</v>
      </c>
      <c r="BF4">
        <f t="shared" si="5"/>
        <v>40</v>
      </c>
      <c r="BG4">
        <f t="shared" si="6"/>
        <v>30</v>
      </c>
      <c r="BH4">
        <f t="shared" si="7"/>
        <v>10</v>
      </c>
      <c r="BI4" s="12">
        <f>Table3[[#This Row],[GF]]/Table3[[#This Row],[GP]]</f>
        <v>3.6363636363636362</v>
      </c>
      <c r="BJ4" s="12">
        <f>Table3[[#This Row],[GA]]/Table3[[#This Row],[GP]]</f>
        <v>2.7272727272727271</v>
      </c>
      <c r="BK4" s="12">
        <f>(Table3[[#This Row],[GF]]-Table3[[#This Row],[GA]])/Table3[[#This Row],[GP]]</f>
        <v>0.90909090909090906</v>
      </c>
      <c r="BL4" s="42" t="str">
        <f>_xlfn.CONCAT(TEXT(Table3[[#This Row],[W_H]], "0"), "-", TEXT(Table3[[#This Row],[RL_H]],"0"), "-", TEXT(Table3[[#This Row],[OTL_H]]+Table3[[#This Row],[SOL_H]], "0"))</f>
        <v>4-0-0</v>
      </c>
      <c r="BM4" s="42" t="str">
        <f>_xlfn.CONCAT(TEXT(Table3[[#This Row],[W_A]], "0"), "-", TEXT(Table3[[#This Row],[RL_A]],"0"), "-", TEXT(Table3[[#This Row],[OTL_A]]+Table3[[#This Row],[SOL_A]], "0"))</f>
        <v>4-3-0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0.5714285714285714</v>
      </c>
      <c r="BP4" s="16">
        <f>(Table3[[#This Row],[W]]*$CX$3)+(Table3[[#This Row],[L]]*$CX$4)+(Table3[[#This Row],[GF]]*$CX$5)+(Table3[[#This Row],[GA]]*$CX$6)</f>
        <v>13.9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84.311570247933886</v>
      </c>
      <c r="BR4" s="16">
        <f>(Table3[[#This Row],[W]]*0.7) + ((Table3[[#This Row],[GF]] - Table3[[#This Row],[GA]])*0.25)+(Table3[[#This Row],[GF]]*0.1)+(Table3[[#This Row],[GA]]*0.05)+(Table3[[#This Row],[L]]*0.3)</f>
        <v>14.5</v>
      </c>
      <c r="BS4" s="16">
        <f>Table3[[#This Row],[TeamCost83]]/Table3[[#This Row],[GP]]</f>
        <v>1.3181818181818181</v>
      </c>
      <c r="BT4">
        <f>COUNTIFS(Table2[AwayTeam],$A4,Table2[PredictedWinner], $A4, Table2[GameIsOver], 1)</f>
        <v>5</v>
      </c>
      <c r="BU4">
        <f>COUNTIFS(Table2[HomeTeam],$A4,Table2[PredictedWinner], $A4, Table2[GameIsOver], 1)</f>
        <v>1</v>
      </c>
      <c r="BV4">
        <f t="shared" si="8"/>
        <v>6</v>
      </c>
      <c r="BW4">
        <f t="shared" si="9"/>
        <v>2</v>
      </c>
      <c r="BX4">
        <f t="shared" si="10"/>
        <v>3</v>
      </c>
      <c r="BY4">
        <f t="shared" si="11"/>
        <v>5</v>
      </c>
      <c r="BZ4">
        <f>Table3[[#This Row],[TimesPredictedWinner]]/Table3[[#This Row],[GP]]</f>
        <v>0.54545454545454541</v>
      </c>
      <c r="CC4" s="1">
        <v>45756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3.4000000000000004</v>
      </c>
      <c r="CJ4">
        <f>SUMIFS(Table2[GamePredictionScore], Table2[HomeTeam], Table3[[#This Row],[Teams]])</f>
        <v>1.1000000000000001</v>
      </c>
      <c r="CK4">
        <f>Table3[[#This Row],[Column4]]+Table3[[#This Row],[Column3]]</f>
        <v>4.5</v>
      </c>
      <c r="CL4">
        <f>Table3[[#This Row],[Column5]]/Table3[[#This Row],[GP]]</f>
        <v>0.40909090909090912</v>
      </c>
      <c r="CR4" t="s">
        <v>138</v>
      </c>
      <c r="CS4">
        <f>$CS$2-$CS$3</f>
        <v>37</v>
      </c>
      <c r="CW4" t="s">
        <v>119</v>
      </c>
      <c r="CX4" s="16">
        <v>0.3</v>
      </c>
      <c r="CY4">
        <f>INDEX($AD$2:$AD$33,MATCH("CGY",$A$2:$A$33,0),1)</f>
        <v>9</v>
      </c>
      <c r="DA4" s="16">
        <f>CX4*CY4</f>
        <v>2.6999999999999997</v>
      </c>
      <c r="DB4" s="10">
        <f>DA4/$DA$7</f>
        <v>0.24107142857142858</v>
      </c>
    </row>
    <row r="5" spans="1:144" x14ac:dyDescent="0.25">
      <c r="A5" t="s">
        <v>25</v>
      </c>
      <c r="B5" t="s">
        <v>90</v>
      </c>
      <c r="C5" t="s">
        <v>88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9</v>
      </c>
      <c r="E5" s="10">
        <f>Table3[[#This Row],[Watched]]/Table3[[#This Row],[GP]]</f>
        <v>0.81818181818181823</v>
      </c>
      <c r="F5">
        <f>COUNTIFS(DataRegularSeason20242025!$N$3:$N$1315,1,DataRegularSeason20242025!$D$3:$D$1315,$A5)</f>
        <v>6</v>
      </c>
      <c r="G5">
        <f>41-Table3[[#This Row],[GP_A]]</f>
        <v>35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 t="shared" si="0"/>
        <v>11</v>
      </c>
      <c r="K5">
        <f>82-Table3[[#This Row],[GP]]</f>
        <v>71</v>
      </c>
      <c r="L5">
        <f>COUNTIFS(DataRegularSeason20242025!$D$3:$D$1315,$A5, DataRegularSeason20242025!$L$3:$L$1315, $A5,DataRegularSeason20242025!$N$3:$N$1315,1)</f>
        <v>3</v>
      </c>
      <c r="M5">
        <f>COUNTIFS(DataRegularSeason20242025!$D$3:$D$1315,$A5, DataRegularSeason20242025!$L$3:$L$1315, $A5,DataRegularSeason20242025!$N$3:$N$1315,1,DataRegularSeason20242025!$M$3:$M$1315,"REG")</f>
        <v>3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3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2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3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2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2</v>
      </c>
      <c r="AB5">
        <f>Table3[[#This Row],[W]]/MAX(1,Table3[[#This Row],[W]]+Table3[[#This Row],[L]])</f>
        <v>0.54545454545454541</v>
      </c>
      <c r="AC5">
        <f>Table3[[#This Row],[W_A]]+Table3[[#This Row],[W_H]]</f>
        <v>6</v>
      </c>
      <c r="AD5">
        <f>Table3[[#This Row],[L_A]]+Table3[[#This Row],[L_H]]</f>
        <v>5</v>
      </c>
      <c r="AE5">
        <f>Table3[[#This Row],[RW_A]]+Table3[[#This Row],[RW_H]]</f>
        <v>6</v>
      </c>
      <c r="AF5">
        <f>Table3[[#This Row],[RL_A]]+Table3[[#This Row],[RL_H]]</f>
        <v>1</v>
      </c>
      <c r="AG5">
        <f>Table3[[#This Row],[OTW_A]]+Table3[[#This Row],[OTW_H]]</f>
        <v>0</v>
      </c>
      <c r="AH5">
        <f>Table3[[#This Row],[OTL_A]]+Table3[[#This Row],[OTL_H]]</f>
        <v>2</v>
      </c>
      <c r="AI5">
        <f>Table3[[#This Row],[SOW_A]]+Table3[[#This Row],[SOW_H]]</f>
        <v>0</v>
      </c>
      <c r="AJ5">
        <f>Table3[[#This Row],[SOL_A]]+Table3[[#This Row],[SOL_H]]</f>
        <v>2</v>
      </c>
      <c r="AK5" s="15" t="str">
        <f>_xlfn.CONCAT(TEXT(Table3[[#This Row],[OTW]]+Table3[[#This Row],[SOW]], "0"), "-", TEXT(Table3[[#This Row],[OTL]]+Table3[[#This Row],[SOL]],"0"))</f>
        <v>0-4</v>
      </c>
      <c r="AL5">
        <f>SUM(Table3[[#This Row],[OTW]],Table3[[#This Row],[OTL]],Table3[[#This Row],[SOW]],Table3[[#This Row],[SOL]])</f>
        <v>4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0.36363636363636365</v>
      </c>
      <c r="AO5">
        <f>(2*(Table3[[#This Row],[W_A]]+Table3[[#This Row],[W_H]]))+Table3[[#This Row],[OTL_A]]+Table3[[#This Row],[SOL_A]]+Table3[[#This Row],[OTL_H]]+Table3[[#This Row],[SOL_H]]</f>
        <v>16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5" s="10">
        <f>Table3[[#This Row],[PTS]]/(2*Table3[[#This Row],[GP]])</f>
        <v>0.72727272727272729</v>
      </c>
      <c r="AR5" s="10">
        <f>Table3[[#This Row],[PTS2]]/(3*Table3[[#This Row],[GP]])</f>
        <v>0.66666666666666663</v>
      </c>
      <c r="AS5">
        <f>(2*Table3[[#This Row],[GR]])+Table3[[#This Row],[PTS]]</f>
        <v>158</v>
      </c>
      <c r="AT5">
        <f>(3*Table3[[#This Row],[GR]])+Table3[[#This Row],[PTS2]]</f>
        <v>235</v>
      </c>
      <c r="AU5">
        <f>Table3[[#This Row],[PTS]]+(2 * Table3[[#This Row],[GR]] * Table3[[#This Row],[PTS%]])</f>
        <v>119.27272727272728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6-1-4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19</v>
      </c>
      <c r="AZ5">
        <f>SUMIF(DataRegularSeason20242025!$D$3:$D$1315,$A5, DataRegularSeason20242025!$K$3:$K$1315)</f>
        <v>14</v>
      </c>
      <c r="BA5">
        <f t="shared" si="3"/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22</v>
      </c>
      <c r="BD5">
        <f>SUMIF(DataRegularSeason20242025!$E$3:$E$1315,$A5,DataRegularSeason20242025!$J$3:$J$1315)</f>
        <v>16</v>
      </c>
      <c r="BE5">
        <f t="shared" si="4"/>
        <v>6</v>
      </c>
      <c r="BF5">
        <f t="shared" si="5"/>
        <v>41</v>
      </c>
      <c r="BG5">
        <f t="shared" si="6"/>
        <v>30</v>
      </c>
      <c r="BH5">
        <f t="shared" si="7"/>
        <v>11</v>
      </c>
      <c r="BI5" s="12">
        <f>Table3[[#This Row],[GF]]/Table3[[#This Row],[GP]]</f>
        <v>3.7272727272727271</v>
      </c>
      <c r="BJ5" s="12">
        <f>Table3[[#This Row],[GA]]/Table3[[#This Row],[GP]]</f>
        <v>2.7272727272727271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3-0-2</v>
      </c>
      <c r="BM5" s="42" t="str">
        <f>_xlfn.CONCAT(TEXT(Table3[[#This Row],[W_A]], "0"), "-", TEXT(Table3[[#This Row],[RL_A]],"0"), "-", TEXT(Table3[[#This Row],[OTL_A]]+Table3[[#This Row],[SOL_A]], "0"))</f>
        <v>3-1-2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0.66666666666666663</v>
      </c>
      <c r="BP5" s="16">
        <f>(Table3[[#This Row],[W]]*$CX$3)+(Table3[[#This Row],[L]]*$CX$4)+(Table3[[#This Row],[GF]]*$CX$5)+(Table3[[#This Row],[GA]]*$CX$6)</f>
        <v>13.649999999999999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85.179752066115697</v>
      </c>
      <c r="BR5" s="16">
        <f>(Table3[[#This Row],[W]]*0.7) + ((Table3[[#This Row],[GF]] - Table3[[#This Row],[GA]])*0.25)+(Table3[[#This Row],[GF]]*0.1)+(Table3[[#This Row],[GA]]*0.05)+(Table3[[#This Row],[L]]*0.3)</f>
        <v>14.05</v>
      </c>
      <c r="BS5" s="16">
        <f>Table3[[#This Row],[TeamCost83]]/Table3[[#This Row],[GP]]</f>
        <v>1.2772727272727273</v>
      </c>
      <c r="BT5">
        <f>COUNTIFS(Table2[AwayTeam],$A5,Table2[PredictedWinner], $A5, Table2[GameIsOver], 1)</f>
        <v>5</v>
      </c>
      <c r="BU5">
        <f>COUNTIFS(Table2[HomeTeam],$A5,Table2[PredictedWinner], $A5, Table2[GameIsOver], 1)</f>
        <v>4</v>
      </c>
      <c r="BV5">
        <f t="shared" si="8"/>
        <v>9</v>
      </c>
      <c r="BW5">
        <f t="shared" si="9"/>
        <v>1</v>
      </c>
      <c r="BX5">
        <f t="shared" si="10"/>
        <v>1</v>
      </c>
      <c r="BY5">
        <f t="shared" si="11"/>
        <v>2</v>
      </c>
      <c r="BZ5">
        <f>Table3[[#This Row],[TimesPredictedWinner]]/Table3[[#This Row],[GP]]</f>
        <v>0.81818181818181823</v>
      </c>
      <c r="CB5">
        <v>2022</v>
      </c>
      <c r="CD5" s="1">
        <v>45750</v>
      </c>
      <c r="CE5" t="str">
        <f>INDEX(Table2[AwayTeam], Table3[[#This Row],[Column2]])</f>
        <v>CHI</v>
      </c>
      <c r="CF5">
        <f>LARGE((Table2[[#This Row],[AwayTeam]]=Table3[[#This Row],[Teams]]), 1)</f>
        <v>1</v>
      </c>
      <c r="CI5">
        <f>SUMIFS(Table2[GamePredictionScore], Table2[AwayTeam], Table3[[#This Row],[Teams]])</f>
        <v>3.4000000000000004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5</v>
      </c>
      <c r="CL5">
        <f>Table3[[#This Row],[Column5]]/Table3[[#This Row],[GP]]</f>
        <v>0.45454545454545453</v>
      </c>
      <c r="CR5" t="s">
        <v>140</v>
      </c>
      <c r="CS5">
        <f>SUM($BF$2:$BF$33)</f>
        <v>1050</v>
      </c>
      <c r="CW5" t="s">
        <v>67</v>
      </c>
      <c r="CX5" s="16">
        <v>0.15</v>
      </c>
      <c r="CY5">
        <f>INDEX($BF$2:$BF$33,MATCH("CGY",$A$2:$A$33,0),1)</f>
        <v>24</v>
      </c>
      <c r="CZ5">
        <f>CY5/CY2</f>
        <v>2.1818181818181817</v>
      </c>
      <c r="DA5" s="16">
        <f>CX5*CY5</f>
        <v>3.5999999999999996</v>
      </c>
      <c r="DB5" s="10">
        <f>DA5/$DA$7</f>
        <v>0.3214285714285714</v>
      </c>
    </row>
    <row r="6" spans="1:144" ht="15.75" thickBot="1" x14ac:dyDescent="0.3">
      <c r="A6" t="s">
        <v>20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8</v>
      </c>
      <c r="E6" s="10">
        <f>Table3[[#This Row],[Watched]]/Table3[[#This Row],[GP]]</f>
        <v>0.72727272727272729</v>
      </c>
      <c r="F6">
        <f>COUNTIFS(DataRegularSeason20242025!$N$3:$N$1315,1,DataRegularSeason20242025!$D$3:$D$1315,$A6)</f>
        <v>6</v>
      </c>
      <c r="G6">
        <f>41-Table3[[#This Row],[GP_A]]</f>
        <v>35</v>
      </c>
      <c r="H6">
        <f>COUNTIFS(DataRegularSeason20242025!$E$3:$E$1315,$A6,DataRegularSeason20242025!$N$3:$N$1315,1)</f>
        <v>5</v>
      </c>
      <c r="I6">
        <f>41-Table3[[#This Row],[GP_H]]</f>
        <v>36</v>
      </c>
      <c r="J6">
        <f t="shared" si="0"/>
        <v>11</v>
      </c>
      <c r="K6">
        <f>82-Table3[[#This Row],[GP]]</f>
        <v>71</v>
      </c>
      <c r="L6">
        <f>COUNTIFS(DataRegularSeason20242025!$D$3:$D$1315,$A6, DataRegularSeason20242025!$L$3:$L$1315, $A6,DataRegularSeason20242025!$N$3:$N$1315,1)</f>
        <v>4</v>
      </c>
      <c r="M6">
        <f>COUNTIFS(DataRegularSeason20242025!$D$3:$D$1315,$A6, DataRegularSeason20242025!$L$3:$L$1315, $A6,DataRegularSeason20242025!$N$3:$N$1315,1,DataRegularSeason20242025!$M$3:$M$1315,"REG")</f>
        <v>4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2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1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2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0.63636363636363635</v>
      </c>
      <c r="AC6">
        <f>Table3[[#This Row],[W_A]]+Table3[[#This Row],[W_H]]</f>
        <v>7</v>
      </c>
      <c r="AD6">
        <f>Table3[[#This Row],[L_A]]+Table3[[#This Row],[L_H]]</f>
        <v>4</v>
      </c>
      <c r="AE6">
        <f>Table3[[#This Row],[RW_A]]+Table3[[#This Row],[RW_H]]</f>
        <v>7</v>
      </c>
      <c r="AF6">
        <f>Table3[[#This Row],[RL_A]]+Table3[[#This Row],[RL_H]]</f>
        <v>2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2</v>
      </c>
      <c r="AK6" s="15" t="str">
        <f>_xlfn.CONCAT(TEXT(Table3[[#This Row],[OTW]]+Table3[[#This Row],[SOW]], "0"), "-", TEXT(Table3[[#This Row],[OTL]]+Table3[[#This Row],[SOL]],"0"))</f>
        <v>0-2</v>
      </c>
      <c r="AL6">
        <f>SUM(Table3[[#This Row],[OTW]],Table3[[#This Row],[OTL]],Table3[[#This Row],[SOW]],Table3[[#This Row],[SOL]])</f>
        <v>2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0.18181818181818182</v>
      </c>
      <c r="AO6">
        <f>(2*(Table3[[#This Row],[W_A]]+Table3[[#This Row],[W_H]]))+Table3[[#This Row],[OTL_A]]+Table3[[#This Row],[SOL_A]]+Table3[[#This Row],[OTL_H]]+Table3[[#This Row],[SOL_H]]</f>
        <v>16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6" s="10">
        <f>Table3[[#This Row],[PTS]]/(2*Table3[[#This Row],[GP]])</f>
        <v>0.72727272727272729</v>
      </c>
      <c r="AR6" s="10">
        <f>Table3[[#This Row],[PTS2]]/(3*Table3[[#This Row],[GP]])</f>
        <v>0.69696969696969702</v>
      </c>
      <c r="AS6">
        <f>(2*Table3[[#This Row],[GR]])+Table3[[#This Row],[PTS]]</f>
        <v>158</v>
      </c>
      <c r="AT6">
        <f>(3*Table3[[#This Row],[GR]])+Table3[[#This Row],[PTS2]]</f>
        <v>236</v>
      </c>
      <c r="AU6">
        <f>Table3[[#This Row],[PTS]]+(2 * Table3[[#This Row],[GR]] * Table3[[#This Row],[PTS%]])</f>
        <v>119.27272727272728</v>
      </c>
      <c r="AV6">
        <f>Table3[[#This Row],[PTS2]]+(3 * Table3[[#This Row],[GR]] * Table3[[#This Row],[PTS%2]])</f>
        <v>171.45454545454547</v>
      </c>
      <c r="AW6" s="15" t="str">
        <f>_xlfn.CONCAT(TEXT(Table3[[#This Row],[W]], "0"), "-", TEXT(Table3[[#This Row],[RL]],"0"), "-", TEXT(Table3[[#This Row],[OTL]]+Table3[[#This Row],[SOL]], "0"))</f>
        <v>7-2-2</v>
      </c>
      <c r="AX6">
        <f>COUNTIFS(DataRegularSeason20242025!$D$3:$D$1315,Table3[[#This Row],[Teams]],DataRegularSeason20242025!$K$3:$K$1315,0)</f>
        <v>2</v>
      </c>
      <c r="AY6">
        <f>SUMIF(DataRegularSeason20242025!$D$3:$D$1315,$A6, DataRegularSeason20242025!$J$3:$J$1315)</f>
        <v>20</v>
      </c>
      <c r="AZ6">
        <f>SUMIF(DataRegularSeason20242025!$D$3:$D$1315,$A6, DataRegularSeason20242025!$K$3:$K$1315)</f>
        <v>12</v>
      </c>
      <c r="BA6">
        <f t="shared" si="3"/>
        <v>8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20</v>
      </c>
      <c r="BD6">
        <f>SUMIF(DataRegularSeason20242025!$E$3:$E$1315,$A6,DataRegularSeason20242025!$J$3:$J$1315)</f>
        <v>18</v>
      </c>
      <c r="BE6">
        <f t="shared" si="4"/>
        <v>2</v>
      </c>
      <c r="BF6">
        <f t="shared" si="5"/>
        <v>40</v>
      </c>
      <c r="BG6">
        <f t="shared" si="6"/>
        <v>30</v>
      </c>
      <c r="BH6">
        <f t="shared" si="7"/>
        <v>10</v>
      </c>
      <c r="BI6" s="12">
        <f>Table3[[#This Row],[GF]]/Table3[[#This Row],[GP]]</f>
        <v>3.6363636363636362</v>
      </c>
      <c r="BJ6" s="12">
        <f>Table3[[#This Row],[GA]]/Table3[[#This Row],[GP]]</f>
        <v>2.7272727272727271</v>
      </c>
      <c r="BK6" s="12">
        <f>(Table3[[#This Row],[GF]]-Table3[[#This Row],[GA]])/Table3[[#This Row],[GP]]</f>
        <v>0.90909090909090906</v>
      </c>
      <c r="BL6" s="42" t="str">
        <f>_xlfn.CONCAT(TEXT(Table3[[#This Row],[W_H]], "0"), "-", TEXT(Table3[[#This Row],[RL_H]],"0"), "-", TEXT(Table3[[#This Row],[OTL_H]]+Table3[[#This Row],[SOL_H]], "0"))</f>
        <v>3-1-1</v>
      </c>
      <c r="BM6" s="42" t="str">
        <f>_xlfn.CONCAT(TEXT(Table3[[#This Row],[W_A]], "0"), "-", TEXT(Table3[[#This Row],[RL_A]],"0"), "-", TEXT(Table3[[#This Row],[OTL_A]]+Table3[[#This Row],[SOL_A]], "0"))</f>
        <v>4-1-1</v>
      </c>
      <c r="BN6" s="42">
        <f>((2*(Table3[[#This Row],[W_H]]))+Table3[[#This Row],[OTL_H]]+Table3[[#This Row],[SOL_H]])/(2*Table3[[#This Row],[GP_H]])</f>
        <v>0.7</v>
      </c>
      <c r="BO6" s="42">
        <f>((2*(Table3[[#This Row],[W_A]]))+Table3[[#This Row],[OTL_A]]+Table3[[#This Row],[SOL_A]])/(2*Table3[[#This Row],[GP_A]])</f>
        <v>0.75</v>
      </c>
      <c r="BP6" s="16">
        <f>(Table3[[#This Row],[W]]*$CX$3)+(Table3[[#This Row],[L]]*$CX$4)+(Table3[[#This Row],[GF]]*$CX$5)+(Table3[[#This Row],[GA]]*$CX$6)</f>
        <v>13.7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84.111570247933884</v>
      </c>
      <c r="BR6" s="16">
        <f>(Table3[[#This Row],[W]]*0.7) + ((Table3[[#This Row],[GF]] - Table3[[#This Row],[GA]])*0.25)+(Table3[[#This Row],[GF]]*0.1)+(Table3[[#This Row],[GA]]*0.05)+(Table3[[#This Row],[L]]*0.3)</f>
        <v>14.099999999999998</v>
      </c>
      <c r="BS6" s="16">
        <f>Table3[[#This Row],[TeamCost83]]/Table3[[#This Row],[GP]]</f>
        <v>1.2818181818181815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5</v>
      </c>
      <c r="BV6">
        <f t="shared" si="8"/>
        <v>8</v>
      </c>
      <c r="BW6">
        <f t="shared" si="9"/>
        <v>3</v>
      </c>
      <c r="BX6">
        <f t="shared" si="10"/>
        <v>0</v>
      </c>
      <c r="BY6">
        <f t="shared" si="11"/>
        <v>3</v>
      </c>
      <c r="BZ6">
        <f>Table3[[#This Row],[TimesPredictedWinner]]/Table3[[#This Row],[GP]]</f>
        <v>0.72727272727272729</v>
      </c>
      <c r="CB6">
        <v>2017</v>
      </c>
      <c r="CC6" s="1">
        <v>45753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</v>
      </c>
      <c r="CJ6">
        <f>SUMIFS(Table2[GamePredictionScore], Table2[HomeTeam], Table3[[#This Row],[Teams]])</f>
        <v>2.6</v>
      </c>
      <c r="CK6">
        <f>Table3[[#This Row],[Column4]]+Table3[[#This Row],[Column3]]</f>
        <v>3.6</v>
      </c>
      <c r="CL6">
        <f>Table3[[#This Row],[Column5]]/Table3[[#This Row],[GP]]</f>
        <v>0.32727272727272727</v>
      </c>
      <c r="CR6" t="s">
        <v>141</v>
      </c>
      <c r="CS6">
        <f>SUM($AX$2:$AX$33)+SUM($BB$2:$BB$33)</f>
        <v>11</v>
      </c>
      <c r="CW6" t="s">
        <v>68</v>
      </c>
      <c r="CX6" s="16">
        <v>0.1</v>
      </c>
      <c r="CY6">
        <f>INDEX($BG$2:$BG$33,MATCH("CGY",$A$2:$A$33,0),1)</f>
        <v>39</v>
      </c>
      <c r="CZ6">
        <f>CY6/CY2</f>
        <v>3.5454545454545454</v>
      </c>
      <c r="DA6" s="16">
        <f>CX6*CY6</f>
        <v>3.9000000000000004</v>
      </c>
      <c r="DB6" s="10">
        <f>DA6/$DA$7</f>
        <v>0.34821428571428575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11</v>
      </c>
      <c r="E7" s="10">
        <f>Table3[[#This Row],[Watched]]/Table3[[#This Row],[GP]]</f>
        <v>1</v>
      </c>
      <c r="F7">
        <f>COUNTIFS(DataRegularSeason20242025!$N$3:$N$1315,1,DataRegularSeason20242025!$D$3:$D$1315,$A7)</f>
        <v>7</v>
      </c>
      <c r="G7">
        <f>41-Table3[[#This Row],[GP_A]]</f>
        <v>34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 t="shared" si="0"/>
        <v>11</v>
      </c>
      <c r="K7">
        <f>82-Table3[[#This Row],[GP]]</f>
        <v>71</v>
      </c>
      <c r="L7">
        <f>COUNTIFS(DataRegularSeason20242025!$D$3:$D$1315,$A7, DataRegularSeason20242025!$L$3:$L$1315, $A7,DataRegularSeason20242025!$N$3:$N$1315,1)</f>
        <v>5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2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2</v>
      </c>
      <c r="Q7">
        <f>COUNTIFS(DataRegularSeason20242025!$D$3:$D$1315,$A7, DataRegularSeason20242025!$S$3:$S$1315, $A7,DataRegularSeason20242025!$M$3:$M$1315,"REG")</f>
        <v>2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3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2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0.72727272727272729</v>
      </c>
      <c r="AC7">
        <f>Table3[[#This Row],[W_A]]+Table3[[#This Row],[W_H]]</f>
        <v>8</v>
      </c>
      <c r="AD7">
        <f>Table3[[#This Row],[L_A]]+Table3[[#This Row],[L_H]]</f>
        <v>3</v>
      </c>
      <c r="AE7">
        <f>Table3[[#This Row],[RW_A]]+Table3[[#This Row],[RW_H]]</f>
        <v>4</v>
      </c>
      <c r="AF7">
        <f>Table3[[#This Row],[RL_A]]+Table3[[#This Row],[RL_H]]</f>
        <v>3</v>
      </c>
      <c r="AG7">
        <f>Table3[[#This Row],[OTW_A]]+Table3[[#This Row],[OTW_H]]</f>
        <v>4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4-0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0.36363636363636365</v>
      </c>
      <c r="AO7">
        <f>(2*(Table3[[#This Row],[W_A]]+Table3[[#This Row],[W_H]]))+Table3[[#This Row],[OTL_A]]+Table3[[#This Row],[SOL_A]]+Table3[[#This Row],[OTL_H]]+Table3[[#This Row],[SOL_H]]</f>
        <v>16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7" s="10">
        <f>Table3[[#This Row],[PTS]]/(2*Table3[[#This Row],[GP]])</f>
        <v>0.72727272727272729</v>
      </c>
      <c r="AR7" s="10">
        <f>Table3[[#This Row],[PTS2]]/(3*Table3[[#This Row],[GP]])</f>
        <v>0.60606060606060608</v>
      </c>
      <c r="AS7">
        <f>(2*Table3[[#This Row],[GR]])+Table3[[#This Row],[PTS]]</f>
        <v>158</v>
      </c>
      <c r="AT7">
        <f>(3*Table3[[#This Row],[GR]])+Table3[[#This Row],[PTS2]]</f>
        <v>233</v>
      </c>
      <c r="AU7">
        <f>Table3[[#This Row],[PTS]]+(2 * Table3[[#This Row],[GR]] * Table3[[#This Row],[PTS%]])</f>
        <v>119.27272727272728</v>
      </c>
      <c r="AV7">
        <f>Table3[[#This Row],[PTS2]]+(3 * Table3[[#This Row],[GR]] * Table3[[#This Row],[PTS%2]])</f>
        <v>149.09090909090909</v>
      </c>
      <c r="AW7" s="15" t="str">
        <f>_xlfn.CONCAT(TEXT(Table3[[#This Row],[W]], "0"), "-", TEXT(Table3[[#This Row],[RL]],"0"), "-", TEXT(Table3[[#This Row],[OTL]]+Table3[[#This Row],[SOL]], "0"))</f>
        <v>8-3-0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25</v>
      </c>
      <c r="AZ7">
        <f>SUMIF(DataRegularSeason20242025!$D$3:$D$1315,$A7, DataRegularSeason20242025!$K$3:$K$1315)</f>
        <v>21</v>
      </c>
      <c r="BA7">
        <f t="shared" si="3"/>
        <v>4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15</v>
      </c>
      <c r="BD7">
        <f>SUMIF(DataRegularSeason20242025!$E$3:$E$1315,$A7,DataRegularSeason20242025!$J$3:$J$1315)</f>
        <v>12</v>
      </c>
      <c r="BE7">
        <f t="shared" si="4"/>
        <v>3</v>
      </c>
      <c r="BF7">
        <f t="shared" si="5"/>
        <v>40</v>
      </c>
      <c r="BG7">
        <f t="shared" si="6"/>
        <v>33</v>
      </c>
      <c r="BH7">
        <f t="shared" si="7"/>
        <v>7</v>
      </c>
      <c r="BI7" s="12">
        <f>Table3[[#This Row],[GF]]/Table3[[#This Row],[GP]]</f>
        <v>3.6363636363636362</v>
      </c>
      <c r="BJ7" s="12">
        <f>Table3[[#This Row],[GA]]/Table3[[#This Row],[GP]]</f>
        <v>3</v>
      </c>
      <c r="BK7" s="12">
        <f>(Table3[[#This Row],[GF]]-Table3[[#This Row],[GA]])/Table3[[#This Row],[GP]]</f>
        <v>0.63636363636363635</v>
      </c>
      <c r="BL7" s="42" t="str">
        <f>_xlfn.CONCAT(TEXT(Table3[[#This Row],[W_H]], "0"), "-", TEXT(Table3[[#This Row],[RL_H]],"0"), "-", TEXT(Table3[[#This Row],[OTL_H]]+Table3[[#This Row],[SOL_H]], "0"))</f>
        <v>3-1-0</v>
      </c>
      <c r="BM7" s="42" t="str">
        <f>_xlfn.CONCAT(TEXT(Table3[[#This Row],[W_A]], "0"), "-", TEXT(Table3[[#This Row],[RL_A]],"0"), "-", TEXT(Table3[[#This Row],[OTL_A]]+Table3[[#This Row],[SOL_A]], "0"))</f>
        <v>5-2-0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0.7142857142857143</v>
      </c>
      <c r="BP7" s="16">
        <f>(Table3[[#This Row],[W]]*$CX$3)+(Table3[[#This Row],[L]]*$CX$4)+(Table3[[#This Row],[GF]]*$CX$5)+(Table3[[#This Row],[GA]]*$CX$6)</f>
        <v>14.200000000000001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86.847933884297518</v>
      </c>
      <c r="BR7" s="16">
        <f>(Table3[[#This Row],[W]]*0.7) + ((Table3[[#This Row],[GF]] - Table3[[#This Row],[GA]])*0.25)+(Table3[[#This Row],[GF]]*0.1)+(Table3[[#This Row],[GA]]*0.05)+(Table3[[#This Row],[L]]*0.3)</f>
        <v>13.9</v>
      </c>
      <c r="BS7" s="16">
        <f>Table3[[#This Row],[TeamCost83]]/Table3[[#This Row],[GP]]</f>
        <v>1.2636363636363637</v>
      </c>
      <c r="BT7">
        <f>COUNTIFS(Table2[AwayTeam],$A7,Table2[PredictedWinner], $A7, Table2[GameIsOver], 1)</f>
        <v>3</v>
      </c>
      <c r="BU7">
        <f>COUNTIFS(Table2[HomeTeam],$A7,Table2[PredictedWinner], $A7, Table2[GameIsOver], 1)</f>
        <v>4</v>
      </c>
      <c r="BV7">
        <f t="shared" si="8"/>
        <v>7</v>
      </c>
      <c r="BW7">
        <f t="shared" si="9"/>
        <v>4</v>
      </c>
      <c r="BX7">
        <f t="shared" si="10"/>
        <v>0</v>
      </c>
      <c r="BY7">
        <f t="shared" si="11"/>
        <v>4</v>
      </c>
      <c r="BZ7">
        <f>Table3[[#This Row],[TimesPredictedWinner]]/Table3[[#This Row],[GP]]</f>
        <v>0.63636363636363635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4.3000000000000007</v>
      </c>
      <c r="CJ7">
        <f>SUMIFS(Table2[GamePredictionScore], Table2[HomeTeam], Table3[[#This Row],[Teams]])</f>
        <v>2.5</v>
      </c>
      <c r="CK7">
        <f>Table3[[#This Row],[Column4]]+Table3[[#This Row],[Column3]]</f>
        <v>6.8000000000000007</v>
      </c>
      <c r="CL7">
        <f>Table3[[#This Row],[Column5]]/Table3[[#This Row],[GP]]</f>
        <v>0.61818181818181828</v>
      </c>
      <c r="CR7" t="s">
        <v>142</v>
      </c>
      <c r="CS7">
        <f>SUM($AG$2:$AG$33)</f>
        <v>29</v>
      </c>
      <c r="CW7" t="s">
        <v>543</v>
      </c>
      <c r="CX7">
        <f>INDEX($AQ$2:$AQ$33,MATCH("CGY",$A$2:$A$33,0),1)</f>
        <v>0.22727272727272727</v>
      </c>
      <c r="CZ7" s="17">
        <f>(CX4+(ABS(CX3-CX4)*CX7))+(CX5*CZ5)+(CX6*CZ6)</f>
        <v>1.0272727272727271</v>
      </c>
      <c r="DA7" s="88">
        <f>SUM(DA3:DA6)</f>
        <v>11.2</v>
      </c>
    </row>
    <row r="8" spans="1:144" ht="15.75" thickTop="1" x14ac:dyDescent="0.25">
      <c r="A8" t="s">
        <v>30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4</v>
      </c>
      <c r="G8">
        <f>41-Table3[[#This Row],[GP_A]]</f>
        <v>37</v>
      </c>
      <c r="H8">
        <f>COUNTIFS(DataRegularSeason20242025!$E$3:$E$1315,$A8,DataRegularSeason20242025!$N$3:$N$1315,1)</f>
        <v>6</v>
      </c>
      <c r="I8">
        <f>41-Table3[[#This Row],[GP_H]]</f>
        <v>35</v>
      </c>
      <c r="J8">
        <f t="shared" si="0"/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5</v>
      </c>
      <c r="U8">
        <f>COUNTIFS(DataRegularSeason20242025!$E$3:$E$1315,$A8, DataRegularSeason20242025!$L$3:$L$1315, $A8,DataRegularSeason20242025!$N$3:$N$1315,1,DataRegularSeason20242025!$M$3:$M$1315,"REG")</f>
        <v>4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6</v>
      </c>
      <c r="AF8">
        <f>Table3[[#This Row],[RL_A]]+Table3[[#This Row],[RL_H]]</f>
        <v>3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0.1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8" s="10">
        <f>Table3[[#This Row],[PTS]]/(2*Table3[[#This Row],[GP]])</f>
        <v>0.7</v>
      </c>
      <c r="AR8" s="10">
        <f>Table3[[#This Row],[PTS2]]/(3*Table3[[#This Row],[GP]])</f>
        <v>0.66666666666666663</v>
      </c>
      <c r="AS8">
        <f>(2*Table3[[#This Row],[GR]])+Table3[[#This Row],[PTS]]</f>
        <v>158</v>
      </c>
      <c r="AT8">
        <f>(3*Table3[[#This Row],[GR]])+Table3[[#This Row],[PTS2]]</f>
        <v>236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12</v>
      </c>
      <c r="AZ8">
        <f>SUMIF(DataRegularSeason20242025!$D$3:$D$1315,$A8, DataRegularSeason20242025!$K$3:$K$1315)</f>
        <v>15</v>
      </c>
      <c r="BA8">
        <f t="shared" si="3"/>
        <v>-3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23</v>
      </c>
      <c r="BD8">
        <f>SUMIF(DataRegularSeason20242025!$E$3:$E$1315,$A8,DataRegularSeason20242025!$J$3:$J$1315)</f>
        <v>16</v>
      </c>
      <c r="BE8">
        <f t="shared" si="4"/>
        <v>7</v>
      </c>
      <c r="BF8">
        <f t="shared" si="5"/>
        <v>35</v>
      </c>
      <c r="BG8">
        <f t="shared" si="6"/>
        <v>31</v>
      </c>
      <c r="BH8">
        <f t="shared" si="7"/>
        <v>4</v>
      </c>
      <c r="BI8" s="12">
        <f>Table3[[#This Row],[GF]]/Table3[[#This Row],[GP]]</f>
        <v>3.5</v>
      </c>
      <c r="BJ8" s="12">
        <f>Table3[[#This Row],[GA]]/Table3[[#This Row],[GP]]</f>
        <v>3.1</v>
      </c>
      <c r="BK8" s="12">
        <f>(Table3[[#This Row],[GF]]-Table3[[#This Row],[GA]])/Table3[[#This Row],[GP]]</f>
        <v>0.4</v>
      </c>
      <c r="BL8" s="42" t="str">
        <f>_xlfn.CONCAT(TEXT(Table3[[#This Row],[W_H]], "0"), "-", TEXT(Table3[[#This Row],[RL_H]],"0"), "-", TEXT(Table3[[#This Row],[OTL_H]]+Table3[[#This Row],[SOL_H]], "0"))</f>
        <v>5-1-0</v>
      </c>
      <c r="BM8" s="42" t="str">
        <f>_xlfn.CONCAT(TEXT(Table3[[#This Row],[W_A]], "0"), "-", TEXT(Table3[[#This Row],[RL_A]],"0"), "-", TEXT(Table3[[#This Row],[OTL_A]]+Table3[[#This Row],[SOL_A]], "0"))</f>
        <v>2-2-0</v>
      </c>
      <c r="BN8" s="42">
        <f>((2*(Table3[[#This Row],[W_H]]))+Table3[[#This Row],[OTL_H]]+Table3[[#This Row],[SOL_H]])/(2*Table3[[#This Row],[GP_H]])</f>
        <v>0.83333333333333337</v>
      </c>
      <c r="BO8" s="42">
        <f>((2*(Table3[[#This Row],[W_A]]))+Table3[[#This Row],[OTL_A]]+Table3[[#This Row],[SOL_A]])/(2*Table3[[#This Row],[GP_A]])</f>
        <v>0.5</v>
      </c>
      <c r="BP8" s="16">
        <f>(Table3[[#This Row],[W]]*$CX$3)+(Table3[[#This Row],[L]]*$CX$4)+(Table3[[#This Row],[GF]]*$CX$5)+(Table3[[#This Row],[GA]]*$CX$6)</f>
        <v>12.75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84.828000000000003</v>
      </c>
      <c r="BR8" s="16">
        <f>(Table3[[#This Row],[W]]*0.7) + ((Table3[[#This Row],[GF]] - Table3[[#This Row],[GA]])*0.25)+(Table3[[#This Row],[GF]]*0.1)+(Table3[[#This Row],[GA]]*0.05)+(Table3[[#This Row],[L]]*0.3)</f>
        <v>11.85</v>
      </c>
      <c r="BS8" s="16">
        <f>Table3[[#This Row],[TeamCost83]]/Table3[[#This Row],[GP]]</f>
        <v>1.1850000000000001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2</v>
      </c>
      <c r="BV8">
        <f t="shared" si="8"/>
        <v>4</v>
      </c>
      <c r="BW8">
        <f t="shared" si="9"/>
        <v>2</v>
      </c>
      <c r="BX8">
        <f t="shared" si="10"/>
        <v>4</v>
      </c>
      <c r="BY8">
        <f t="shared" si="11"/>
        <v>6</v>
      </c>
      <c r="BZ8">
        <f>Table3[[#This Row],[TimesPredictedWinner]]/Table3[[#This Row],[GP]]</f>
        <v>0.4</v>
      </c>
      <c r="CB8">
        <v>2008</v>
      </c>
      <c r="CC8" s="1">
        <v>45759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1.7000000000000002</v>
      </c>
      <c r="CJ8">
        <f>SUMIFS(Table2[GamePredictionScore], Table2[HomeTeam], Table3[[#This Row],[Teams]])</f>
        <v>2.5</v>
      </c>
      <c r="CK8">
        <f>Table3[[#This Row],[Column4]]+Table3[[#This Row],[Column3]]</f>
        <v>4.2</v>
      </c>
      <c r="CL8">
        <f>Table3[[#This Row],[Column5]]/Table3[[#This Row],[GP]]</f>
        <v>0.42000000000000004</v>
      </c>
      <c r="CR8" t="s">
        <v>143</v>
      </c>
      <c r="CS8">
        <f>SUM($AI$2:$AI$33)</f>
        <v>12</v>
      </c>
      <c r="CY8" t="s">
        <v>153</v>
      </c>
      <c r="CZ8" s="17">
        <f>CZ7*82</f>
        <v>84.23636363636362</v>
      </c>
      <c r="DA8" s="16">
        <f>DA7+((82-CY2)*CZ7)</f>
        <v>84.136363636363626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7</v>
      </c>
      <c r="E9" s="10">
        <f>Table3[[#This Row],[Watched]]/Table3[[#This Row],[GP]]</f>
        <v>0.7</v>
      </c>
      <c r="F9">
        <f>COUNTIFS(DataRegularSeason20242025!$N$3:$N$1315,1,DataRegularSeason20242025!$D$3:$D$1315,$A9)</f>
        <v>4</v>
      </c>
      <c r="G9">
        <f>41-Table3[[#This Row],[GP_A]]</f>
        <v>37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 t="shared" si="0"/>
        <v>10</v>
      </c>
      <c r="K9">
        <f>82-Table3[[#This Row],[GP]]</f>
        <v>72</v>
      </c>
      <c r="L9">
        <f>COUNTIFS(DataRegularSeason20242025!$D$3:$D$1315,$A9, DataRegularSeason20242025!$L$3:$L$1315, $A9,DataRegularSeason20242025!$N$3:$N$1315,1)</f>
        <v>4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</v>
      </c>
      <c r="AC9">
        <f>Table3[[#This Row],[W_A]]+Table3[[#This Row],[W_H]]</f>
        <v>7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</v>
      </c>
      <c r="AO9">
        <f>(2*(Table3[[#This Row],[W_A]]+Table3[[#This Row],[W_H]]))+Table3[[#This Row],[OTL_A]]+Table3[[#This Row],[SOL_A]]+Table3[[#This Row],[OTL_H]]+Table3[[#This Row],[SOL_H]]</f>
        <v>14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9" s="10">
        <f>Table3[[#This Row],[PTS]]/(2*Table3[[#This Row],[GP]])</f>
        <v>0.7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236</v>
      </c>
      <c r="AU9">
        <f>Table3[[#This Row],[PTS]]+(2 * Table3[[#This Row],[GR]] * Table3[[#This Row],[PTS%]])</f>
        <v>114.8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7-3-0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16</v>
      </c>
      <c r="AZ9">
        <f>SUMIF(DataRegularSeason20242025!$D$3:$D$1315,$A9, DataRegularSeason20242025!$K$3:$K$1315)</f>
        <v>8</v>
      </c>
      <c r="BA9">
        <f t="shared" si="3"/>
        <v>8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 t="shared" si="4"/>
        <v>1</v>
      </c>
      <c r="BF9">
        <f t="shared" si="5"/>
        <v>34</v>
      </c>
      <c r="BG9">
        <f t="shared" si="6"/>
        <v>25</v>
      </c>
      <c r="BH9">
        <f t="shared" si="7"/>
        <v>9</v>
      </c>
      <c r="BI9" s="12">
        <f>Table3[[#This Row],[GF]]/Table3[[#This Row],[GP]]</f>
        <v>3.4</v>
      </c>
      <c r="BJ9" s="12">
        <f>Table3[[#This Row],[GA]]/Table3[[#This Row],[GP]]</f>
        <v>2.5</v>
      </c>
      <c r="BK9" s="12">
        <f>(Table3[[#This Row],[GF]]-Table3[[#This Row],[GA]])/Table3[[#This Row],[GP]]</f>
        <v>0.9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4-0-0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12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77.927999999999997</v>
      </c>
      <c r="BR9" s="16">
        <f>(Table3[[#This Row],[W]]*0.7) + ((Table3[[#This Row],[GF]] - Table3[[#This Row],[GA]])*0.25)+(Table3[[#This Row],[GF]]*0.1)+(Table3[[#This Row],[GA]]*0.05)+(Table3[[#This Row],[L]]*0.3)</f>
        <v>12.700000000000001</v>
      </c>
      <c r="BS9" s="16">
        <f>Table3[[#This Row],[TeamCost83]]/Table3[[#This Row],[GP]]</f>
        <v>1.27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 t="shared" si="8"/>
        <v>6</v>
      </c>
      <c r="BW9">
        <f t="shared" si="9"/>
        <v>2</v>
      </c>
      <c r="BX9">
        <f t="shared" si="10"/>
        <v>2</v>
      </c>
      <c r="BY9">
        <f t="shared" si="11"/>
        <v>4</v>
      </c>
      <c r="BZ9">
        <f>Table3[[#This Row],[TimesPredictedWinner]]/Table3[[#This Row],[GP]]</f>
        <v>0.6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2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4.8000000000000007</v>
      </c>
      <c r="CL9">
        <f>Table3[[#This Row],[Column5]]/Table3[[#This Row],[GP]]</f>
        <v>0.48000000000000009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1.0272727272727273</v>
      </c>
    </row>
    <row r="10" spans="1:144" x14ac:dyDescent="0.25">
      <c r="A10" t="s">
        <v>41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8</v>
      </c>
      <c r="E10" s="10">
        <f>Table3[[#This Row],[Watched]]/Table3[[#This Row],[GP]]</f>
        <v>0.88888888888888884</v>
      </c>
      <c r="F10">
        <f>COUNTIFS(DataRegularSeason20242025!$N$3:$N$1315,1,DataRegularSeason20242025!$D$3:$D$1315,$A10)</f>
        <v>6</v>
      </c>
      <c r="G10">
        <f>41-Table3[[#This Row],[GP_A]]</f>
        <v>35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 t="shared" si="0"/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4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1</v>
      </c>
      <c r="O10">
        <f>COUNTIFS(DataRegularSeason20242025!$D$3:$D$1315,$A10, DataRegularSeason20242025!$L$3:$L$1315, $A10,DataRegularSeason20242025!$N$3:$N$1315,1,DataRegularSeason20242025!$M$3:$M$1315,"SO")</f>
        <v>1</v>
      </c>
      <c r="P10">
        <f t="shared" si="1"/>
        <v>2</v>
      </c>
      <c r="Q10">
        <f>COUNTIFS(DataRegularSeason20242025!$D$3:$D$1315,$A10, DataRegularSeason20242025!$S$3:$S$1315, $A10,DataRegularSeason20242025!$M$3:$M$1315,"REG")</f>
        <v>2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3</v>
      </c>
      <c r="AF10">
        <f>Table3[[#This Row],[RL_A]]+Table3[[#This Row],[RL_H]]</f>
        <v>3</v>
      </c>
      <c r="AG10">
        <f>Table3[[#This Row],[OTW_A]]+Table3[[#This Row],[OTW_H]]</f>
        <v>2</v>
      </c>
      <c r="AH10">
        <f>Table3[[#This Row],[OTL_A]]+Table3[[#This Row],[OTL_H]]</f>
        <v>0</v>
      </c>
      <c r="AI10">
        <f>Table3[[#This Row],[SOW_A]]+Table3[[#This Row],[SOW_H]]</f>
        <v>1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3-0</v>
      </c>
      <c r="AL10">
        <f>SUM(Table3[[#This Row],[OTW]],Table3[[#This Row],[OTL]],Table3[[#This Row],[SOW]],Table3[[#This Row],[SOL]])</f>
        <v>3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0.33333333333333331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0.66666666666666663</v>
      </c>
      <c r="AR10" s="10">
        <f>Table3[[#This Row],[PTS2]]/(3*Table3[[#This Row],[GP]])</f>
        <v>0.55555555555555558</v>
      </c>
      <c r="AS10">
        <f>(2*Table3[[#This Row],[GR]])+Table3[[#This Row],[PTS]]</f>
        <v>158</v>
      </c>
      <c r="AT10">
        <f>(3*Table3[[#This Row],[GR]])+Table3[[#This Row],[PTS2]]</f>
        <v>234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136.66666666666669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21</v>
      </c>
      <c r="AZ10">
        <f>SUMIF(DataRegularSeason20242025!$D$3:$D$1315,$A10, DataRegularSeason20242025!$K$3:$K$1315)</f>
        <v>16</v>
      </c>
      <c r="BA10">
        <f t="shared" si="3"/>
        <v>5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13</v>
      </c>
      <c r="BD10">
        <f>SUMIF(DataRegularSeason20242025!$E$3:$E$1315,$A10,DataRegularSeason20242025!$J$3:$J$1315)</f>
        <v>12</v>
      </c>
      <c r="BE10">
        <f t="shared" si="4"/>
        <v>1</v>
      </c>
      <c r="BF10">
        <f t="shared" si="5"/>
        <v>34</v>
      </c>
      <c r="BG10">
        <f t="shared" si="6"/>
        <v>28</v>
      </c>
      <c r="BH10">
        <f t="shared" si="7"/>
        <v>6</v>
      </c>
      <c r="BI10" s="12">
        <f>Table3[[#This Row],[GF]]/Table3[[#This Row],[GP]]</f>
        <v>3.7777777777777777</v>
      </c>
      <c r="BJ10" s="12">
        <f>Table3[[#This Row],[GA]]/Table3[[#This Row],[GP]]</f>
        <v>3.1111111111111112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4-2-0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0.66666666666666663</v>
      </c>
      <c r="BP10" s="16">
        <f>(Table3[[#This Row],[W]]*$CX$3)+(Table3[[#This Row],[L]]*$CX$4)+(Table3[[#This Row],[GF]]*$CX$5)+(Table3[[#This Row],[GA]]*$CX$6)</f>
        <v>11.8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87.725925925925935</v>
      </c>
      <c r="BR10" s="16">
        <f>(Table3[[#This Row],[W]]*0.7) + ((Table3[[#This Row],[GF]] - Table3[[#This Row],[GA]])*0.25)+(Table3[[#This Row],[GF]]*0.1)+(Table3[[#This Row],[GA]]*0.05)+(Table3[[#This Row],[L]]*0.3)</f>
        <v>11.4</v>
      </c>
      <c r="BS10" s="16">
        <f>Table3[[#This Row],[TeamCost83]]/Table3[[#This Row],[GP]]</f>
        <v>1.2666666666666666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3</v>
      </c>
      <c r="BV10">
        <f t="shared" si="8"/>
        <v>6</v>
      </c>
      <c r="BW10">
        <f t="shared" si="9"/>
        <v>3</v>
      </c>
      <c r="BX10">
        <f t="shared" si="10"/>
        <v>0</v>
      </c>
      <c r="BY10">
        <f t="shared" si="11"/>
        <v>3</v>
      </c>
      <c r="BZ10">
        <f>Table3[[#This Row],[TimesPredictedWinner]]/Table3[[#This Row],[GP]]</f>
        <v>0.66666666666666663</v>
      </c>
      <c r="CB10">
        <v>2006</v>
      </c>
      <c r="CD10" s="1">
        <v>45749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2.5000000000000004</v>
      </c>
      <c r="CJ10">
        <f>SUMIFS(Table2[GamePredictionScore], Table2[HomeTeam], Table3[[#This Row],[Teams]])</f>
        <v>1.6</v>
      </c>
      <c r="CK10">
        <f>Table3[[#This Row],[Column4]]+Table3[[#This Row],[Column3]]</f>
        <v>4.1000000000000005</v>
      </c>
      <c r="CL10">
        <f>Table3[[#This Row],[Column5]]/Table3[[#This Row],[GP]]</f>
        <v>0.4555555555555556</v>
      </c>
      <c r="CR10" t="s">
        <v>147</v>
      </c>
      <c r="CS10" s="1">
        <f>_xlfn.MAXIFS(DataRegularSeason20242025!$B$3:$B$1315,DataRegularSeason20242025!$N$3:$N$1315,1)</f>
        <v>45959</v>
      </c>
      <c r="CW10" t="s">
        <v>153</v>
      </c>
      <c r="CX10" s="16">
        <f>CW9*82</f>
        <v>84.236363636363649</v>
      </c>
    </row>
    <row r="11" spans="1:144" x14ac:dyDescent="0.25">
      <c r="A11" t="s">
        <v>11</v>
      </c>
      <c r="B11" t="s">
        <v>90</v>
      </c>
      <c r="C11" t="s">
        <v>93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0.9</v>
      </c>
      <c r="F11">
        <f>COUNTIFS(DataRegularSeason20242025!$N$3:$N$1315,1,DataRegularSeason20242025!$D$3:$D$1315,$A11)</f>
        <v>6</v>
      </c>
      <c r="G11">
        <f>41-Table3[[#This Row],[GP_A]]</f>
        <v>35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 t="shared" si="0"/>
        <v>10</v>
      </c>
      <c r="K11">
        <f>82-Table3[[#This Row],[GP]]</f>
        <v>72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4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1</v>
      </c>
      <c r="S11">
        <f>COUNTIFS(DataRegularSeason20242025!$D$3:$D$1315,$A11, DataRegularSeason20242025!$S$3:$S$1315, $A11,DataRegularSeason20242025!$M$3:$M$1315,"SO")</f>
        <v>1</v>
      </c>
      <c r="T11">
        <f>COUNTIFS(DataRegularSeason20242025!$E$3:$E$1315,$A11, DataRegularSeason20242025!$L$3:$L$1315, $A11, DataRegularSeason20242025!$N$3:$N$1315,1)</f>
        <v>3</v>
      </c>
      <c r="U11">
        <f>COUNTIFS(DataRegularSeason20242025!$E$3:$E$1315,$A11, DataRegularSeason20242025!$L$3:$L$1315, $A11,DataRegularSeason20242025!$N$3:$N$1315,1,DataRegularSeason20242025!$M$3:$M$1315,"REG")</f>
        <v>2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1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0.5</v>
      </c>
      <c r="AC11">
        <f>Table3[[#This Row],[W_A]]+Table3[[#This Row],[W_H]]</f>
        <v>5</v>
      </c>
      <c r="AD11">
        <f>Table3[[#This Row],[L_A]]+Table3[[#This Row],[L_H]]</f>
        <v>5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2</v>
      </c>
      <c r="AI11">
        <f>Table3[[#This Row],[SOW_A]]+Table3[[#This Row],[SOW_H]]</f>
        <v>0</v>
      </c>
      <c r="AJ11">
        <f>Table3[[#This Row],[SOL_A]]+Table3[[#This Row],[SOL_H]]</f>
        <v>1</v>
      </c>
      <c r="AK11" s="15" t="str">
        <f>_xlfn.CONCAT(TEXT(Table3[[#This Row],[OTW]]+Table3[[#This Row],[SOW]], "0"), "-", TEXT(Table3[[#This Row],[OTL]]+Table3[[#This Row],[SOL]],"0"))</f>
        <v>2-3</v>
      </c>
      <c r="AL11">
        <f>SUM(Table3[[#This Row],[OTW]],Table3[[#This Row],[OTL]],Table3[[#This Row],[SOW]],Table3[[#This Row],[SOL]])</f>
        <v>5</v>
      </c>
      <c r="AM11">
        <f>(Table3[[#This Row],[OTW]]+Table3[[#This Row],[SOW]])/IF(Table3[[#This Row],[Total_ExtraTimes]]=0,1,Table3[[#This Row],[Total_ExtraTimes]])</f>
        <v>0.4</v>
      </c>
      <c r="AN11">
        <f>Table3[[#This Row],[Total_ExtraTimes]]/MAX(1,Table3[[#This Row],[GP]])</f>
        <v>0.5</v>
      </c>
      <c r="AO11">
        <f>(2*(Table3[[#This Row],[W_A]]+Table3[[#This Row],[W_H]]))+Table3[[#This Row],[OTL_A]]+Table3[[#This Row],[SOL_A]]+Table3[[#This Row],[OTL_H]]+Table3[[#This Row],[SOL_H]]</f>
        <v>13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1" s="10">
        <f>Table3[[#This Row],[PTS]]/(2*Table3[[#This Row],[GP]])</f>
        <v>0.65</v>
      </c>
      <c r="AR11" s="10">
        <f>Table3[[#This Row],[PTS2]]/(3*Table3[[#This Row],[GP]])</f>
        <v>0.53333333333333333</v>
      </c>
      <c r="AS11">
        <f>(2*Table3[[#This Row],[GR]])+Table3[[#This Row],[PTS]]</f>
        <v>157</v>
      </c>
      <c r="AT11">
        <f>(3*Table3[[#This Row],[GR]])+Table3[[#This Row],[PTS2]]</f>
        <v>232</v>
      </c>
      <c r="AU11">
        <f>Table3[[#This Row],[PTS]]+(2 * Table3[[#This Row],[GR]] * Table3[[#This Row],[PTS%]])</f>
        <v>106.60000000000001</v>
      </c>
      <c r="AV11">
        <f>Table3[[#This Row],[PTS2]]+(3 * Table3[[#This Row],[GR]] * Table3[[#This Row],[PTS%2]])</f>
        <v>131.19999999999999</v>
      </c>
      <c r="AW11" s="15" t="str">
        <f>_xlfn.CONCAT(TEXT(Table3[[#This Row],[W]], "0"), "-", TEXT(Table3[[#This Row],[RL]],"0"), "-", TEXT(Table3[[#This Row],[OTL]]+Table3[[#This Row],[SOL]], "0"))</f>
        <v>5-2-3</v>
      </c>
      <c r="AX11">
        <f>COUNTIFS(DataRegularSeason20242025!$D$3:$D$1315,Table3[[#This Row],[Teams]],DataRegularSeason20242025!$K$3:$K$1315,0)</f>
        <v>1</v>
      </c>
      <c r="AY11">
        <f>SUMIF(DataRegularSeason20242025!$D$3:$D$1315,$A11, DataRegularSeason20242025!$J$3:$J$1315)</f>
        <v>17</v>
      </c>
      <c r="AZ11">
        <f>SUMIF(DataRegularSeason20242025!$D$3:$D$1315,$A11, DataRegularSeason20242025!$K$3:$K$1315)</f>
        <v>21</v>
      </c>
      <c r="BA11">
        <f t="shared" si="3"/>
        <v>-4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11</v>
      </c>
      <c r="BD11">
        <f>SUMIF(DataRegularSeason20242025!$E$3:$E$1315,$A11,DataRegularSeason20242025!$J$3:$J$1315)</f>
        <v>8</v>
      </c>
      <c r="BE11">
        <f t="shared" si="4"/>
        <v>3</v>
      </c>
      <c r="BF11">
        <f t="shared" si="5"/>
        <v>28</v>
      </c>
      <c r="BG11">
        <f t="shared" si="6"/>
        <v>29</v>
      </c>
      <c r="BH11">
        <f t="shared" si="7"/>
        <v>-1</v>
      </c>
      <c r="BI11" s="12">
        <f>Table3[[#This Row],[GF]]/Table3[[#This Row],[GP]]</f>
        <v>2.8</v>
      </c>
      <c r="BJ11" s="12">
        <f>Table3[[#This Row],[GA]]/Table3[[#This Row],[GP]]</f>
        <v>2.9</v>
      </c>
      <c r="BK11" s="12">
        <f>(Table3[[#This Row],[GF]]-Table3[[#This Row],[GA]])/Table3[[#This Row],[GP]]</f>
        <v>-0.1</v>
      </c>
      <c r="BL11" s="42" t="str">
        <f>_xlfn.CONCAT(TEXT(Table3[[#This Row],[W_H]], "0"), "-", TEXT(Table3[[#This Row],[RL_H]],"0"), "-", TEXT(Table3[[#This Row],[OTL_H]]+Table3[[#This Row],[SOL_H]], "0"))</f>
        <v>3-0-1</v>
      </c>
      <c r="BM11" s="42" t="str">
        <f>_xlfn.CONCAT(TEXT(Table3[[#This Row],[W_A]], "0"), "-", TEXT(Table3[[#This Row],[RL_A]],"0"), "-", TEXT(Table3[[#This Row],[OTL_A]]+Table3[[#This Row],[SOL_A]], "0"))</f>
        <v>2-2-2</v>
      </c>
      <c r="BN11" s="42">
        <f>((2*(Table3[[#This Row],[W_H]]))+Table3[[#This Row],[OTL_H]]+Table3[[#This Row],[SOL_H]])/(2*Table3[[#This Row],[GP_H]])</f>
        <v>0.875</v>
      </c>
      <c r="BO11" s="42">
        <f>((2*(Table3[[#This Row],[W_A]]))+Table3[[#This Row],[OTL_A]]+Table3[[#This Row],[SOL_A]])/(2*Table3[[#This Row],[GP_A]])</f>
        <v>0.5</v>
      </c>
      <c r="BP11" s="16">
        <f>(Table3[[#This Row],[W]]*$CX$3)+(Table3[[#This Row],[L]]*$CX$4)+(Table3[[#This Row],[GF]]*$CX$5)+(Table3[[#This Row],[GA]]*$CX$6)</f>
        <v>11.1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72.846000000000018</v>
      </c>
      <c r="BR11" s="16">
        <f>(Table3[[#This Row],[W]]*0.7) + ((Table3[[#This Row],[GF]] - Table3[[#This Row],[GA]])*0.25)+(Table3[[#This Row],[GF]]*0.1)+(Table3[[#This Row],[GA]]*0.05)+(Table3[[#This Row],[L]]*0.3)</f>
        <v>9</v>
      </c>
      <c r="BS11" s="16">
        <f>Table3[[#This Row],[TeamCost83]]/Table3[[#This Row],[GP]]</f>
        <v>0.9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 t="shared" si="8"/>
        <v>4</v>
      </c>
      <c r="BW11">
        <f t="shared" si="9"/>
        <v>4</v>
      </c>
      <c r="BX11">
        <f t="shared" si="10"/>
        <v>2</v>
      </c>
      <c r="BY11">
        <f t="shared" si="11"/>
        <v>6</v>
      </c>
      <c r="BZ11">
        <f>Table3[[#This Row],[TimesPredictedWinner]]/Table3[[#This Row],[GP]]</f>
        <v>0.4</v>
      </c>
      <c r="CC11" s="1">
        <v>45745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0.9</v>
      </c>
      <c r="CK11">
        <f>Table3[[#This Row],[Column4]]+Table3[[#This Row],[Column3]]</f>
        <v>2.6</v>
      </c>
      <c r="CL11">
        <f>Table3[[#This Row],[Column5]]/Table3[[#This Row],[GP]]</f>
        <v>0.26</v>
      </c>
      <c r="CR11" t="s">
        <v>148</v>
      </c>
      <c r="CS11">
        <f>$CS$2/($CS$10-$CS$9)</f>
        <v>7.5454545454545459</v>
      </c>
      <c r="CW11">
        <f>ROUND(CZ5,0)</f>
        <v>2</v>
      </c>
    </row>
    <row r="12" spans="1:144" x14ac:dyDescent="0.25">
      <c r="A12" t="s">
        <v>33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6</v>
      </c>
      <c r="E12" s="10">
        <f>Table3[[#This Row],[Watched]]/Table3[[#This Row],[GP]]</f>
        <v>0.6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6</v>
      </c>
      <c r="I12">
        <f>41-Table3[[#This Row],[GP_H]]</f>
        <v>35</v>
      </c>
      <c r="J12">
        <f t="shared" si="0"/>
        <v>10</v>
      </c>
      <c r="K12">
        <f>82-Table3[[#This Row],[GP]]</f>
        <v>72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 t="shared" si="1"/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3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</v>
      </c>
      <c r="AC12">
        <f>Table3[[#This Row],[W_A]]+Table3[[#This Row],[W_H]]</f>
        <v>6</v>
      </c>
      <c r="AD12">
        <f>Table3[[#This Row],[L_A]]+Table3[[#This Row],[L_H]]</f>
        <v>4</v>
      </c>
      <c r="AE12">
        <f>Table3[[#This Row],[RW_A]]+Table3[[#This Row],[RW_H]]</f>
        <v>5</v>
      </c>
      <c r="AF12">
        <f>Table3[[#This Row],[RL_A]]+Table3[[#This Row],[RL_H]]</f>
        <v>3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1-1</v>
      </c>
      <c r="AL12">
        <f>SUM(Table3[[#This Row],[OTW]],Table3[[#This Row],[OTL]],Table3[[#This Row],[SOW]],Table3[[#This Row],[SOL]])</f>
        <v>2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0.2</v>
      </c>
      <c r="AO12">
        <f>(2*(Table3[[#This Row],[W_A]]+Table3[[#This Row],[W_H]]))+Table3[[#This Row],[OTL_A]]+Table3[[#This Row],[SOL_A]]+Table3[[#This Row],[OTL_H]]+Table3[[#This Row],[SOL_H]]</f>
        <v>13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12" s="10">
        <f>Table3[[#This Row],[PTS]]/(2*Table3[[#This Row],[GP]])</f>
        <v>0.65</v>
      </c>
      <c r="AR12" s="10">
        <f>Table3[[#This Row],[PTS2]]/(3*Table3[[#This Row],[GP]])</f>
        <v>0.6</v>
      </c>
      <c r="AS12">
        <f>(2*Table3[[#This Row],[GR]])+Table3[[#This Row],[PTS]]</f>
        <v>157</v>
      </c>
      <c r="AT12">
        <f>(3*Table3[[#This Row],[GR]])+Table3[[#This Row],[PTS2]]</f>
        <v>234</v>
      </c>
      <c r="AU12">
        <f>Table3[[#This Row],[PTS]]+(2 * Table3[[#This Row],[GR]] * Table3[[#This Row],[PTS%]])</f>
        <v>106.60000000000001</v>
      </c>
      <c r="AV12">
        <f>Table3[[#This Row],[PTS2]]+(3 * Table3[[#This Row],[GR]] * Table3[[#This Row],[PTS%2]])</f>
        <v>147.6</v>
      </c>
      <c r="AW12" s="15" t="str">
        <f>_xlfn.CONCAT(TEXT(Table3[[#This Row],[W]], "0"), "-", TEXT(Table3[[#This Row],[RL]],"0"), "-", TEXT(Table3[[#This Row],[OTL]]+Table3[[#This Row],[SOL]], "0"))</f>
        <v>6-3-1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14</v>
      </c>
      <c r="AZ12">
        <f>SUMIF(DataRegularSeason20242025!$D$3:$D$1315,$A12, DataRegularSeason20242025!$K$3:$K$1315)</f>
        <v>13</v>
      </c>
      <c r="BA12">
        <f t="shared" si="3"/>
        <v>1</v>
      </c>
      <c r="BB12">
        <f>COUNTIFS(DataRegularSeason20242025!$E$3:$E$1315,Table3[[#This Row],[Teams]],DataRegularSeason20242025!$J$3:$J$1315,0)</f>
        <v>1</v>
      </c>
      <c r="BC12">
        <f>SUMIF(DataRegularSeason20242025!$E$3:$E$1315,$A12,DataRegularSeason20242025!$K$3:$K$1315)</f>
        <v>15</v>
      </c>
      <c r="BD12">
        <f>SUMIF(DataRegularSeason20242025!$E$3:$E$1315,$A12,DataRegularSeason20242025!$J$3:$J$1315)</f>
        <v>17</v>
      </c>
      <c r="BE12">
        <f t="shared" si="4"/>
        <v>-2</v>
      </c>
      <c r="BF12">
        <f t="shared" si="5"/>
        <v>29</v>
      </c>
      <c r="BG12">
        <f t="shared" si="6"/>
        <v>30</v>
      </c>
      <c r="BH12">
        <f t="shared" si="7"/>
        <v>-1</v>
      </c>
      <c r="BI12" s="12">
        <f>Table3[[#This Row],[GF]]/Table3[[#This Row],[GP]]</f>
        <v>2.9</v>
      </c>
      <c r="BJ12" s="12">
        <f>Table3[[#This Row],[GA]]/Table3[[#This Row],[GP]]</f>
        <v>3</v>
      </c>
      <c r="BK12" s="12">
        <f>(Table3[[#This Row],[GF]]-Table3[[#This Row],[GA]])/Table3[[#This Row],[GP]]</f>
        <v>-0.1</v>
      </c>
      <c r="BL12" s="42" t="str">
        <f>_xlfn.CONCAT(TEXT(Table3[[#This Row],[W_H]], "0"), "-", TEXT(Table3[[#This Row],[RL_H]],"0"), "-", TEXT(Table3[[#This Row],[OTL_H]]+Table3[[#This Row],[SOL_H]], "0"))</f>
        <v>3-2-1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0.58333333333333337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11.55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75.345999999999989</v>
      </c>
      <c r="BR12" s="16">
        <f>(Table3[[#This Row],[W]]*0.7) + ((Table3[[#This Row],[GF]] - Table3[[#This Row],[GA]])*0.25)+(Table3[[#This Row],[GF]]*0.1)+(Table3[[#This Row],[GA]]*0.05)+(Table3[[#This Row],[L]]*0.3)</f>
        <v>9.5499999999999989</v>
      </c>
      <c r="BS12" s="16">
        <f>Table3[[#This Row],[TeamCost83]]/Table3[[#This Row],[GP]]</f>
        <v>0.95499999999999985</v>
      </c>
      <c r="BT12">
        <f>COUNTIFS(Table2[AwayTeam],$A12,Table2[PredictedWinner], $A12, Table2[GameIsOver], 1)</f>
        <v>3</v>
      </c>
      <c r="BU12">
        <f>COUNTIFS(Table2[HomeTeam],$A12,Table2[PredictedWinner], $A12, Table2[GameIsOver], 1)</f>
        <v>5</v>
      </c>
      <c r="BV12">
        <f t="shared" si="8"/>
        <v>8</v>
      </c>
      <c r="BW12">
        <f t="shared" si="9"/>
        <v>1</v>
      </c>
      <c r="BX12">
        <f t="shared" si="10"/>
        <v>1</v>
      </c>
      <c r="BY12">
        <f t="shared" si="11"/>
        <v>2</v>
      </c>
      <c r="BZ12">
        <f>Table3[[#This Row],[TimesPredictedWinner]]/Table3[[#This Row],[GP]]</f>
        <v>0.8</v>
      </c>
      <c r="CB12">
        <v>1999</v>
      </c>
      <c r="CD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1.6</v>
      </c>
      <c r="CJ12">
        <f>SUMIFS(Table2[GamePredictionScore], Table2[HomeTeam], Table3[[#This Row],[Teams]])</f>
        <v>2</v>
      </c>
      <c r="CK12">
        <f>Table3[[#This Row],[Column4]]+Table3[[#This Row],[Column3]]</f>
        <v>3.6</v>
      </c>
      <c r="CL12">
        <f>Table3[[#This Row],[Column5]]/Table3[[#This Row],[GP]]</f>
        <v>0.36</v>
      </c>
      <c r="CR12" t="s">
        <v>149</v>
      </c>
      <c r="CS12">
        <f>$CS$3/($CS$10-$CS$9)</f>
        <v>5.8636363636363633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6</v>
      </c>
      <c r="I13">
        <f>41-Table3[[#This Row],[GP_H]]</f>
        <v>35</v>
      </c>
      <c r="J13">
        <f t="shared" si="0"/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3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5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2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2</v>
      </c>
      <c r="AF13">
        <f>Table3[[#This Row],[RL_A]]+Table3[[#This Row],[RL_H]]</f>
        <v>3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2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3-1</v>
      </c>
      <c r="AL13">
        <f>SUM(Table3[[#This Row],[OTW]],Table3[[#This Row],[OTL]],Table3[[#This Row],[SOW]],Table3[[#This Row],[SOL]])</f>
        <v>4</v>
      </c>
      <c r="AM13">
        <f>(Table3[[#This Row],[OTW]]+Table3[[#This Row],[SOW]])/IF(Table3[[#This Row],[Total_ExtraTimes]]=0,1,Table3[[#This Row],[Total_ExtraTimes]])</f>
        <v>0.75</v>
      </c>
      <c r="AN13">
        <f>Table3[[#This Row],[Total_ExtraTimes]]/MAX(1,Table3[[#This Row],[GP]])</f>
        <v>0.44444444444444442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3" s="10">
        <f>Table3[[#This Row],[PTS]]/(2*Table3[[#This Row],[GP]])</f>
        <v>0.61111111111111116</v>
      </c>
      <c r="AR13" s="10">
        <f>Table3[[#This Row],[PTS2]]/(3*Table3[[#This Row],[GP]])</f>
        <v>0.48148148148148145</v>
      </c>
      <c r="AS13">
        <f>(2*Table3[[#This Row],[GR]])+Table3[[#This Row],[PTS]]</f>
        <v>157</v>
      </c>
      <c r="AT13">
        <f>(3*Table3[[#This Row],[GR]])+Table3[[#This Row],[PTS2]]</f>
        <v>232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118.44444444444444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8</v>
      </c>
      <c r="BA13">
        <f t="shared" si="3"/>
        <v>-3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21</v>
      </c>
      <c r="BD13">
        <f>SUMIF(DataRegularSeason20242025!$E$3:$E$1315,$A13,DataRegularSeason20242025!$J$3:$J$1315)</f>
        <v>15</v>
      </c>
      <c r="BE13">
        <f t="shared" si="4"/>
        <v>6</v>
      </c>
      <c r="BF13">
        <f t="shared" si="5"/>
        <v>26</v>
      </c>
      <c r="BG13">
        <f t="shared" si="6"/>
        <v>23</v>
      </c>
      <c r="BH13">
        <f t="shared" si="7"/>
        <v>3</v>
      </c>
      <c r="BI13" s="12">
        <f>Table3[[#This Row],[GF]]/Table3[[#This Row],[GP]]</f>
        <v>2.8888888888888888</v>
      </c>
      <c r="BJ13" s="12">
        <f>Table3[[#This Row],[GA]]/Table3[[#This Row],[GP]]</f>
        <v>2.5555555555555554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5-1-0</v>
      </c>
      <c r="BM13" s="42" t="str">
        <f>_xlfn.CONCAT(TEXT(Table3[[#This Row],[W_A]], "0"), "-", TEXT(Table3[[#This Row],[RL_A]],"0"), "-", TEXT(Table3[[#This Row],[OTL_A]]+Table3[[#This Row],[SOL_A]], "0"))</f>
        <v>0-2-1</v>
      </c>
      <c r="BN13" s="42">
        <f>((2*(Table3[[#This Row],[W_H]]))+Table3[[#This Row],[OTL_H]]+Table3[[#This Row],[SOL_H]])/(2*Table3[[#This Row],[GP_H]])</f>
        <v>0.83333333333333337</v>
      </c>
      <c r="BO13" s="42">
        <f>((2*(Table3[[#This Row],[W_A]]))+Table3[[#This Row],[OTL_A]]+Table3[[#This Row],[SOL_A]])/(2*Table3[[#This Row],[GP_A]])</f>
        <v>0.16666666666666666</v>
      </c>
      <c r="BP13" s="16">
        <f>(Table3[[#This Row],[W]]*$CX$3)+(Table3[[#This Row],[L]]*$CX$4)+(Table3[[#This Row],[GF]]*$CX$5)+(Table3[[#This Row],[GA]]*$CX$6)</f>
        <v>9.9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70.235802469135791</v>
      </c>
      <c r="BR13" s="16">
        <f>(Table3[[#This Row],[W]]*0.7) + ((Table3[[#This Row],[GF]] - Table3[[#This Row],[GA]])*0.25)+(Table3[[#This Row],[GF]]*0.1)+(Table3[[#This Row],[GA]]*0.05)+(Table3[[#This Row],[L]]*0.3)</f>
        <v>9.1999999999999993</v>
      </c>
      <c r="BS13" s="16">
        <f>Table3[[#This Row],[TeamCost83]]/Table3[[#This Row],[GP]]</f>
        <v>1.0222222222222221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1</v>
      </c>
      <c r="BV13">
        <f t="shared" si="8"/>
        <v>1</v>
      </c>
      <c r="BW13">
        <f t="shared" si="9"/>
        <v>3</v>
      </c>
      <c r="BX13">
        <f t="shared" si="10"/>
        <v>5</v>
      </c>
      <c r="BY13">
        <f t="shared" si="11"/>
        <v>8</v>
      </c>
      <c r="BZ13">
        <f>Table3[[#This Row],[TimesPredictedWinner]]/Table3[[#This Row],[GP]]</f>
        <v>0.1111111111111111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2.6</v>
      </c>
      <c r="CJ13">
        <f>SUMIFS(Table2[GamePredictionScore], Table2[HomeTeam], Table3[[#This Row],[Teams]])</f>
        <v>1.9000000000000001</v>
      </c>
      <c r="CK13">
        <f>Table3[[#This Row],[Column4]]+Table3[[#This Row],[Column3]]</f>
        <v>4.5</v>
      </c>
      <c r="CL13">
        <f>Table3[[#This Row],[Column5]]/Table3[[#This Row],[GP]]</f>
        <v>0.5</v>
      </c>
      <c r="CR13" t="s">
        <v>154</v>
      </c>
      <c r="CS13">
        <f>(CS5/CS2)/2</f>
        <v>3.1626506024096384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6</v>
      </c>
      <c r="E14" s="10">
        <f>Table3[[#This Row],[Watched]]/Table3[[#This Row],[GP]]</f>
        <v>0.66666666666666663</v>
      </c>
      <c r="F14">
        <f>COUNTIFS(DataRegularSeason20242025!$N$3:$N$1315,1,DataRegularSeason20242025!$D$3:$D$1315,$A14)</f>
        <v>7</v>
      </c>
      <c r="G14">
        <f>41-Table3[[#This Row],[GP_A]]</f>
        <v>34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9</v>
      </c>
      <c r="K14">
        <f>82-Table3[[#This Row],[GP]]</f>
        <v>73</v>
      </c>
      <c r="L14">
        <f>COUNTIFS(DataRegularSeason20242025!$D$3:$D$1315,$A14, DataRegularSeason20242025!$L$3:$L$1315, $A14,DataRegularSeason20242025!$N$3:$N$1315,1)</f>
        <v>4</v>
      </c>
      <c r="M14">
        <f>COUNTIFS(DataRegularSeason20242025!$D$3:$D$1315,$A14, DataRegularSeason20242025!$L$3:$L$1315, $A14,DataRegularSeason20242025!$N$3:$N$1315,1,DataRegularSeason20242025!$M$3:$M$1315,"REG")</f>
        <v>2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 t="shared" si="1"/>
        <v>3</v>
      </c>
      <c r="Q14">
        <f>COUNTIFS(DataRegularSeason20242025!$D$3:$D$1315,$A14, DataRegularSeason20242025!$S$3:$S$1315, $A14,DataRegularSeason20242025!$M$3:$M$1315,"REG")</f>
        <v>2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0.55555555555555558</v>
      </c>
      <c r="AC14">
        <f>Table3[[#This Row],[W_A]]+Table3[[#This Row],[W_H]]</f>
        <v>5</v>
      </c>
      <c r="AD14">
        <f>Table3[[#This Row],[L_A]]+Table3[[#This Row],[L_H]]</f>
        <v>4</v>
      </c>
      <c r="AE14">
        <f>Table3[[#This Row],[RW_A]]+Table3[[#This Row],[RW_H]]</f>
        <v>3</v>
      </c>
      <c r="AF14">
        <f>Table3[[#This Row],[RL_A]]+Table3[[#This Row],[RL_H]]</f>
        <v>3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2-1</v>
      </c>
      <c r="AL14">
        <f>SUM(Table3[[#This Row],[OTW]],Table3[[#This Row],[OTL]],Table3[[#This Row],[SOW]],Table3[[#This Row],[SOL]])</f>
        <v>3</v>
      </c>
      <c r="AM14">
        <f>(Table3[[#This Row],[OTW]]+Table3[[#This Row],[SOW]])/IF(Table3[[#This Row],[Total_ExtraTimes]]=0,1,Table3[[#This Row],[Total_ExtraTimes]])</f>
        <v>0.66666666666666663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11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4" s="10">
        <f>Table3[[#This Row],[PTS]]/(2*Table3[[#This Row],[GP]])</f>
        <v>0.61111111111111116</v>
      </c>
      <c r="AR14" s="10">
        <f>Table3[[#This Row],[PTS2]]/(3*Table3[[#This Row],[GP]])</f>
        <v>0.51851851851851849</v>
      </c>
      <c r="AS14">
        <f>(2*Table3[[#This Row],[GR]])+Table3[[#This Row],[PTS]]</f>
        <v>157</v>
      </c>
      <c r="AT14">
        <f>(3*Table3[[#This Row],[GR]])+Table3[[#This Row],[PTS2]]</f>
        <v>233</v>
      </c>
      <c r="AU14">
        <f>Table3[[#This Row],[PTS]]+(2 * Table3[[#This Row],[GR]] * Table3[[#This Row],[PTS%]])</f>
        <v>100.22222222222223</v>
      </c>
      <c r="AV14">
        <f>Table3[[#This Row],[PTS2]]+(3 * Table3[[#This Row],[GR]] * Table3[[#This Row],[PTS%2]])</f>
        <v>127.55555555555554</v>
      </c>
      <c r="AW14" s="15" t="str">
        <f>_xlfn.CONCAT(TEXT(Table3[[#This Row],[W]], "0"), "-", TEXT(Table3[[#This Row],[RL]],"0"), "-", TEXT(Table3[[#This Row],[OTL]]+Table3[[#This Row],[SOL]], "0"))</f>
        <v>5-3-1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27</v>
      </c>
      <c r="AZ14">
        <f>SUMIF(DataRegularSeason20242025!$D$3:$D$1315,$A14, DataRegularSeason20242025!$K$3:$K$1315)</f>
        <v>24</v>
      </c>
      <c r="BA14">
        <f t="shared" si="3"/>
        <v>3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 t="shared" si="4"/>
        <v>-2</v>
      </c>
      <c r="BF14">
        <f t="shared" si="5"/>
        <v>32</v>
      </c>
      <c r="BG14">
        <f t="shared" si="6"/>
        <v>31</v>
      </c>
      <c r="BH14">
        <f t="shared" si="7"/>
        <v>1</v>
      </c>
      <c r="BI14" s="12">
        <f>Table3[[#This Row],[GF]]/Table3[[#This Row],[GP]]</f>
        <v>3.5555555555555554</v>
      </c>
      <c r="BJ14" s="12">
        <f>Table3[[#This Row],[GA]]/Table3[[#This Row],[GP]]</f>
        <v>3.4444444444444446</v>
      </c>
      <c r="BK14" s="12">
        <f>(Table3[[#This Row],[GF]]-Table3[[#This Row],[GA]])/Table3[[#This Row],[GP]]</f>
        <v>0.1111111111111111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4-2-1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0.6428571428571429</v>
      </c>
      <c r="BP14" s="16">
        <f>(Table3[[#This Row],[W]]*$CX$3)+(Table3[[#This Row],[L]]*$CX$4)+(Table3[[#This Row],[GF]]*$CX$5)+(Table3[[#This Row],[GA]]*$CX$6)</f>
        <v>11.6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87.424691358024688</v>
      </c>
      <c r="BR14" s="16">
        <f>(Table3[[#This Row],[W]]*0.7) + ((Table3[[#This Row],[GF]] - Table3[[#This Row],[GA]])*0.25)+(Table3[[#This Row],[GF]]*0.1)+(Table3[[#This Row],[GA]]*0.05)+(Table3[[#This Row],[L]]*0.3)</f>
        <v>9.6999999999999993</v>
      </c>
      <c r="BS14" s="16">
        <f>Table3[[#This Row],[TeamCost83]]/Table3[[#This Row],[GP]]</f>
        <v>1.0777777777777777</v>
      </c>
      <c r="BT14">
        <f>COUNTIFS(Table2[AwayTeam],$A14,Table2[PredictedWinner], $A14, Table2[GameIsOver], 1)</f>
        <v>4</v>
      </c>
      <c r="BU14">
        <f>COUNTIFS(Table2[HomeTeam],$A14,Table2[PredictedWinner], $A14, Table2[GameIsOver], 1)</f>
        <v>1</v>
      </c>
      <c r="BV14">
        <f t="shared" si="8"/>
        <v>5</v>
      </c>
      <c r="BW14">
        <f t="shared" si="9"/>
        <v>3</v>
      </c>
      <c r="BX14">
        <f t="shared" si="10"/>
        <v>1</v>
      </c>
      <c r="BY14">
        <f t="shared" si="11"/>
        <v>4</v>
      </c>
      <c r="BZ14">
        <f>Table3[[#This Row],[TimesPredictedWinner]]/Table3[[#This Row],[GP]]</f>
        <v>0.55555555555555558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2.6</v>
      </c>
      <c r="CJ14">
        <f>SUMIFS(Table2[GamePredictionScore], Table2[HomeTeam], Table3[[#This Row],[Teams]])</f>
        <v>0</v>
      </c>
      <c r="CK14">
        <f>Table3[[#This Row],[Column4]]+Table3[[#This Row],[Column3]]</f>
        <v>2.6</v>
      </c>
      <c r="CL14">
        <f>Table3[[#This Row],[Column5]]/Table3[[#This Row],[GP]]</f>
        <v>0.28888888888888892</v>
      </c>
      <c r="CR14" t="s">
        <v>460</v>
      </c>
      <c r="CS14">
        <f>CS7+CS8</f>
        <v>41</v>
      </c>
    </row>
    <row r="15" spans="1:144" ht="15.75" thickBot="1" x14ac:dyDescent="0.3">
      <c r="A15" t="s">
        <v>16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10</v>
      </c>
      <c r="E15" s="10">
        <f>Table3[[#This Row],[Watched]]/Table3[[#This Row],[GP]]</f>
        <v>1</v>
      </c>
      <c r="F15">
        <f>COUNTIFS(DataRegularSeason20242025!$N$3:$N$1315,1,DataRegularSeason20242025!$D$3:$D$1315,$A15)</f>
        <v>4</v>
      </c>
      <c r="G15">
        <f>41-Table3[[#This Row],[GP_A]]</f>
        <v>37</v>
      </c>
      <c r="H15">
        <f>COUNTIFS(DataRegularSeason20242025!$E$3:$E$1315,$A15,DataRegularSeason20242025!$N$3:$N$1315,1)</f>
        <v>6</v>
      </c>
      <c r="I15">
        <f>41-Table3[[#This Row],[GP_H]]</f>
        <v>35</v>
      </c>
      <c r="J15">
        <f t="shared" si="0"/>
        <v>10</v>
      </c>
      <c r="K15">
        <f>82-Table3[[#This Row],[GP]]</f>
        <v>72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2</v>
      </c>
      <c r="Q15">
        <f>COUNTIFS(DataRegularSeason20242025!$D$3:$D$1315,$A15, DataRegularSeason20242025!$S$3:$S$1315, $A15,DataRegularSeason20242025!$M$3:$M$1315,"REG")</f>
        <v>1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3</v>
      </c>
      <c r="U15">
        <f>COUNTIFS(DataRegularSeason20242025!$E$3:$E$1315,$A15, DataRegularSeason20242025!$L$3:$L$1315, $A15,DataRegularSeason20242025!$N$3:$N$1315,1,DataRegularSeason20242025!$M$3:$M$1315,"REG")</f>
        <v>2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3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1</v>
      </c>
      <c r="AB15">
        <f>Table3[[#This Row],[W]]/MAX(1,Table3[[#This Row],[W]]+Table3[[#This Row],[L]])</f>
        <v>0.5</v>
      </c>
      <c r="AC15">
        <f>Table3[[#This Row],[W_A]]+Table3[[#This Row],[W_H]]</f>
        <v>5</v>
      </c>
      <c r="AD15">
        <f>Table3[[#This Row],[L_A]]+Table3[[#This Row],[L_H]]</f>
        <v>5</v>
      </c>
      <c r="AE15">
        <f>Table3[[#This Row],[RW_A]]+Table3[[#This Row],[RW_H]]</f>
        <v>4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1-2</v>
      </c>
      <c r="AL15">
        <f>SUM(Table3[[#This Row],[OTW]],Table3[[#This Row],[OTL]],Table3[[#This Row],[SOW]],Table3[[#This Row],[SOL]])</f>
        <v>3</v>
      </c>
      <c r="AM15">
        <f>(Table3[[#This Row],[OTW]]+Table3[[#This Row],[SOW]])/IF(Table3[[#This Row],[Total_ExtraTimes]]=0,1,Table3[[#This Row],[Total_ExtraTimes]])</f>
        <v>0.33333333333333331</v>
      </c>
      <c r="AN15">
        <f>Table3[[#This Row],[Total_ExtraTimes]]/MAX(1,Table3[[#This Row],[GP]])</f>
        <v>0.3</v>
      </c>
      <c r="AO15">
        <f>(2*(Table3[[#This Row],[W_A]]+Table3[[#This Row],[W_H]]))+Table3[[#This Row],[OTL_A]]+Table3[[#This Row],[SOL_A]]+Table3[[#This Row],[OTL_H]]+Table3[[#This Row],[SOL_H]]</f>
        <v>12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5" s="10">
        <f>Table3[[#This Row],[PTS]]/(2*Table3[[#This Row],[GP]])</f>
        <v>0.6</v>
      </c>
      <c r="AR15" s="10">
        <f>Table3[[#This Row],[PTS2]]/(3*Table3[[#This Row],[GP]])</f>
        <v>0.53333333333333333</v>
      </c>
      <c r="AS15">
        <f>(2*Table3[[#This Row],[GR]])+Table3[[#This Row],[PTS]]</f>
        <v>156</v>
      </c>
      <c r="AT15">
        <f>(3*Table3[[#This Row],[GR]])+Table3[[#This Row],[PTS2]]</f>
        <v>232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131.19999999999999</v>
      </c>
      <c r="AW15" s="15" t="str">
        <f>_xlfn.CONCAT(TEXT(Table3[[#This Row],[W]], "0"), "-", TEXT(Table3[[#This Row],[RL]],"0"), "-", TEXT(Table3[[#This Row],[OTL]]+Table3[[#This Row],[SOL]], "0"))</f>
        <v>5-3-2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16</v>
      </c>
      <c r="AZ15">
        <f>SUMIF(DataRegularSeason20242025!$D$3:$D$1315,$A15, DataRegularSeason20242025!$K$3:$K$1315)</f>
        <v>12</v>
      </c>
      <c r="BA15">
        <f t="shared" si="3"/>
        <v>4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17</v>
      </c>
      <c r="BD15">
        <f>SUMIF(DataRegularSeason20242025!$E$3:$E$1315,$A15,DataRegularSeason20242025!$J$3:$J$1315)</f>
        <v>14</v>
      </c>
      <c r="BE15">
        <f t="shared" si="4"/>
        <v>3</v>
      </c>
      <c r="BF15">
        <f t="shared" si="5"/>
        <v>33</v>
      </c>
      <c r="BG15">
        <f t="shared" si="6"/>
        <v>26</v>
      </c>
      <c r="BH15">
        <f t="shared" si="7"/>
        <v>7</v>
      </c>
      <c r="BI15" s="12">
        <f>Table3[[#This Row],[GF]]/Table3[[#This Row],[GP]]</f>
        <v>3.3</v>
      </c>
      <c r="BJ15" s="12">
        <f>Table3[[#This Row],[GA]]/Table3[[#This Row],[GP]]</f>
        <v>2.6</v>
      </c>
      <c r="BK15" s="12">
        <f>(Table3[[#This Row],[GF]]-Table3[[#This Row],[GA]])/Table3[[#This Row],[GP]]</f>
        <v>0.7</v>
      </c>
      <c r="BL15" s="42" t="str">
        <f>_xlfn.CONCAT(TEXT(Table3[[#This Row],[W_H]], "0"), "-", TEXT(Table3[[#This Row],[RL_H]],"0"), "-", TEXT(Table3[[#This Row],[OTL_H]]+Table3[[#This Row],[SOL_H]], "0"))</f>
        <v>3-2-1</v>
      </c>
      <c r="BM15" s="42" t="str">
        <f>_xlfn.CONCAT(TEXT(Table3[[#This Row],[W_A]], "0"), "-", TEXT(Table3[[#This Row],[RL_A]],"0"), "-", TEXT(Table3[[#This Row],[OTL_A]]+Table3[[#This Row],[SOL_A]], "0"))</f>
        <v>2-1-1</v>
      </c>
      <c r="BN15" s="42">
        <f>((2*(Table3[[#This Row],[W_H]]))+Table3[[#This Row],[OTL_H]]+Table3[[#This Row],[SOL_H]])/(2*Table3[[#This Row],[GP_H]])</f>
        <v>0.58333333333333337</v>
      </c>
      <c r="BO15" s="42">
        <f>((2*(Table3[[#This Row],[W_A]]))+Table3[[#This Row],[OTL_A]]+Table3[[#This Row],[SOL_A]])/(2*Table3[[#This Row],[GP_A]])</f>
        <v>0.625</v>
      </c>
      <c r="BP15" s="16">
        <f>(Table3[[#This Row],[W]]*$CX$3)+(Table3[[#This Row],[L]]*$CX$4)+(Table3[[#This Row],[GF]]*$CX$5)+(Table3[[#This Row],[GA]]*$CX$6)</f>
        <v>11.549999999999999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76.903999999999996</v>
      </c>
      <c r="BR15" s="16">
        <f>(Table3[[#This Row],[W]]*0.7) + ((Table3[[#This Row],[GF]] - Table3[[#This Row],[GA]])*0.25)+(Table3[[#This Row],[GF]]*0.1)+(Table3[[#This Row],[GA]]*0.05)+(Table3[[#This Row],[L]]*0.3)</f>
        <v>11.350000000000001</v>
      </c>
      <c r="BS15" s="16">
        <f>Table3[[#This Row],[TeamCost83]]/Table3[[#This Row],[GP]]</f>
        <v>1.1350000000000002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 t="shared" si="8"/>
        <v>2</v>
      </c>
      <c r="BW15">
        <f t="shared" si="9"/>
        <v>3</v>
      </c>
      <c r="BX15">
        <f t="shared" si="10"/>
        <v>5</v>
      </c>
      <c r="BY15">
        <f t="shared" si="11"/>
        <v>8</v>
      </c>
      <c r="BZ15">
        <f>Table3[[#This Row],[TimesPredictedWinner]]/Table3[[#This Row],[GP]]</f>
        <v>0.2</v>
      </c>
      <c r="CB15">
        <v>2015</v>
      </c>
      <c r="CC15" s="1">
        <v>45736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1.7000000000000002</v>
      </c>
      <c r="CK15">
        <f>Table3[[#This Row],[Column4]]+Table3[[#This Row],[Column3]]</f>
        <v>4.3000000000000007</v>
      </c>
      <c r="CL15">
        <f>Table3[[#This Row],[Column5]]/Table3[[#This Row],[GP]]</f>
        <v>0.43000000000000005</v>
      </c>
      <c r="CR15" t="s">
        <v>461</v>
      </c>
      <c r="CS15">
        <f>CS14/CS2</f>
        <v>0.24698795180722891</v>
      </c>
    </row>
    <row r="16" spans="1:144" x14ac:dyDescent="0.25">
      <c r="A16" t="s">
        <v>43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7</v>
      </c>
      <c r="E16" s="10">
        <f>Table3[[#This Row],[Watched]]/Table3[[#This Row],[GP]]</f>
        <v>0.7</v>
      </c>
      <c r="F16">
        <f>COUNTIFS(DataRegularSeason20242025!$N$3:$N$1315,1,DataRegularSeason20242025!$D$3:$D$1315,$A16)</f>
        <v>4</v>
      </c>
      <c r="G16">
        <f>41-Table3[[#This Row],[GP_A]]</f>
        <v>37</v>
      </c>
      <c r="H16">
        <f>COUNTIFS(DataRegularSeason20242025!$E$3:$E$1315,$A16,DataRegularSeason20242025!$N$3:$N$1315,1)</f>
        <v>6</v>
      </c>
      <c r="I16">
        <f>41-Table3[[#This Row],[GP_H]]</f>
        <v>35</v>
      </c>
      <c r="J16">
        <f t="shared" si="0"/>
        <v>10</v>
      </c>
      <c r="K16">
        <f>82-Table3[[#This Row],[GP]]</f>
        <v>72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3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3</v>
      </c>
      <c r="Y16">
        <f>COUNTIFS(DataRegularSeason20242025!$E$3:$E$1315,$A16, DataRegularSeason20242025!$S$3:$S$1315, $A16,DataRegularSeason20242025!$M$3:$M$1315,"REG")</f>
        <v>3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</v>
      </c>
      <c r="AC16">
        <f>Table3[[#This Row],[W_A]]+Table3[[#This Row],[W_H]]</f>
        <v>6</v>
      </c>
      <c r="AD16">
        <f>Table3[[#This Row],[L_A]]+Table3[[#This Row],[L_H]]</f>
        <v>4</v>
      </c>
      <c r="AE16">
        <f>Table3[[#This Row],[RW_A]]+Table3[[#This Row],[RW_H]]</f>
        <v>5</v>
      </c>
      <c r="AF16">
        <f>Table3[[#This Row],[RL_A]]+Table3[[#This Row],[RL_H]]</f>
        <v>4</v>
      </c>
      <c r="AG16">
        <f>Table3[[#This Row],[OTW_A]]+Table3[[#This Row],[OTW_H]]</f>
        <v>1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</v>
      </c>
      <c r="AO16">
        <f>(2*(Table3[[#This Row],[W_A]]+Table3[[#This Row],[W_H]]))+Table3[[#This Row],[OTL_A]]+Table3[[#This Row],[SOL_A]]+Table3[[#This Row],[OTL_H]]+Table3[[#This Row],[SOL_H]]</f>
        <v>12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6" s="10">
        <f>Table3[[#This Row],[PTS]]/(2*Table3[[#This Row],[GP]])</f>
        <v>0.6</v>
      </c>
      <c r="AR16" s="10">
        <f>Table3[[#This Row],[PTS2]]/(3*Table3[[#This Row],[GP]])</f>
        <v>0.56666666666666665</v>
      </c>
      <c r="AS16">
        <f>(2*Table3[[#This Row],[GR]])+Table3[[#This Row],[PTS]]</f>
        <v>156</v>
      </c>
      <c r="AT16">
        <f>(3*Table3[[#This Row],[GR]])+Table3[[#This Row],[PTS2]]</f>
        <v>233</v>
      </c>
      <c r="AU16">
        <f>Table3[[#This Row],[PTS]]+(2 * Table3[[#This Row],[GR]] * Table3[[#This Row],[PTS%]])</f>
        <v>98.399999999999991</v>
      </c>
      <c r="AV16">
        <f>Table3[[#This Row],[PTS2]]+(3 * Table3[[#This Row],[GR]] * Table3[[#This Row],[PTS%2]])</f>
        <v>139.39999999999998</v>
      </c>
      <c r="AW16" s="15" t="str">
        <f>_xlfn.CONCAT(TEXT(Table3[[#This Row],[W]], "0"), "-", TEXT(Table3[[#This Row],[RL]],"0"), "-", TEXT(Table3[[#This Row],[OTL]]+Table3[[#This Row],[SOL]], "0"))</f>
        <v>6-4-0</v>
      </c>
      <c r="AX16">
        <f>COUNTIFS(DataRegularSeason20242025!$D$3:$D$1315,Table3[[#This Row],[Teams]],DataRegularSeason20242025!$K$3:$K$1315,0)</f>
        <v>1</v>
      </c>
      <c r="AY16">
        <f>SUMIF(DataRegularSeason20242025!$D$3:$D$1315,$A16, DataRegularSeason20242025!$J$3:$J$1315)</f>
        <v>10</v>
      </c>
      <c r="AZ16">
        <f>SUMIF(DataRegularSeason20242025!$D$3:$D$1315,$A16, DataRegularSeason20242025!$K$3:$K$1315)</f>
        <v>4</v>
      </c>
      <c r="BA16">
        <f t="shared" si="3"/>
        <v>6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17</v>
      </c>
      <c r="BD16">
        <f>SUMIF(DataRegularSeason20242025!$E$3:$E$1315,$A16,DataRegularSeason20242025!$J$3:$J$1315)</f>
        <v>18</v>
      </c>
      <c r="BE16">
        <f t="shared" si="4"/>
        <v>-1</v>
      </c>
      <c r="BF16">
        <f t="shared" si="5"/>
        <v>27</v>
      </c>
      <c r="BG16">
        <f t="shared" si="6"/>
        <v>22</v>
      </c>
      <c r="BH16">
        <f t="shared" si="7"/>
        <v>5</v>
      </c>
      <c r="BI16" s="12">
        <f>Table3[[#This Row],[GF]]/Table3[[#This Row],[GP]]</f>
        <v>2.7</v>
      </c>
      <c r="BJ16" s="12">
        <f>Table3[[#This Row],[GA]]/Table3[[#This Row],[GP]]</f>
        <v>2.2000000000000002</v>
      </c>
      <c r="BK16" s="12">
        <f>(Table3[[#This Row],[GF]]-Table3[[#This Row],[GA]])/Table3[[#This Row],[GP]]</f>
        <v>0.5</v>
      </c>
      <c r="BL16" s="42" t="str">
        <f>_xlfn.CONCAT(TEXT(Table3[[#This Row],[W_H]], "0"), "-", TEXT(Table3[[#This Row],[RL_H]],"0"), "-", TEXT(Table3[[#This Row],[OTL_H]]+Table3[[#This Row],[SOL_H]], "0"))</f>
        <v>3-3-0</v>
      </c>
      <c r="BM16" s="42" t="str">
        <f>_xlfn.CONCAT(TEXT(Table3[[#This Row],[W_A]], "0"), "-", TEXT(Table3[[#This Row],[RL_A]],"0"), "-", TEXT(Table3[[#This Row],[OTL_A]]+Table3[[#This Row],[SOL_A]], "0"))</f>
        <v>3-1-0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0.75</v>
      </c>
      <c r="BP16" s="16">
        <f>(Table3[[#This Row],[W]]*$CX$3)+(Table3[[#This Row],[L]]*$CX$4)+(Table3[[#This Row],[GF]]*$CX$5)+(Table3[[#This Row],[GA]]*$CX$6)</f>
        <v>10.45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65.144000000000005</v>
      </c>
      <c r="BR16" s="16">
        <f>(Table3[[#This Row],[W]]*0.7) + ((Table3[[#This Row],[GF]] - Table3[[#This Row],[GA]])*0.25)+(Table3[[#This Row],[GF]]*0.1)+(Table3[[#This Row],[GA]]*0.05)+(Table3[[#This Row],[L]]*0.3)</f>
        <v>10.449999999999998</v>
      </c>
      <c r="BS16" s="16">
        <f>Table3[[#This Row],[TeamCost83]]/Table3[[#This Row],[GP]]</f>
        <v>1.0449999999999997</v>
      </c>
      <c r="BT16">
        <f>COUNTIFS(Table2[AwayTeam],$A16,Table2[PredictedWinner], $A16, Table2[GameIsOver], 1)</f>
        <v>3</v>
      </c>
      <c r="BU16">
        <f>COUNTIFS(Table2[HomeTeam],$A16,Table2[PredictedWinner], $A16, Table2[GameIsOver], 1)</f>
        <v>6</v>
      </c>
      <c r="BV16">
        <f t="shared" si="8"/>
        <v>9</v>
      </c>
      <c r="BW16">
        <f t="shared" si="9"/>
        <v>1</v>
      </c>
      <c r="BX16">
        <f t="shared" si="10"/>
        <v>0</v>
      </c>
      <c r="BY16">
        <f t="shared" si="11"/>
        <v>1</v>
      </c>
      <c r="BZ16">
        <f>Table3[[#This Row],[TimesPredictedWinner]]/Table3[[#This Row],[GP]]</f>
        <v>0.9</v>
      </c>
      <c r="CB16">
        <v>2018</v>
      </c>
      <c r="CD16" s="1">
        <v>45736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3.4000000000000004</v>
      </c>
      <c r="CJ16">
        <f>SUMIFS(Table2[GamePredictionScore], Table2[HomeTeam], Table3[[#This Row],[Teams]])</f>
        <v>2.5</v>
      </c>
      <c r="CK16">
        <f>Table3[[#This Row],[Column4]]+Table3[[#This Row],[Column3]]</f>
        <v>5.9</v>
      </c>
      <c r="CL16">
        <f>Table3[[#This Row],[Column5]]/Table3[[#This Row],[GP]]</f>
        <v>0.59000000000000008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35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0.4</v>
      </c>
      <c r="F17">
        <f>COUNTIFS(DataRegularSeason20242025!$N$3:$N$1315,1,DataRegularSeason20242025!$D$3:$D$1315,$A17)</f>
        <v>5</v>
      </c>
      <c r="G17">
        <f>41-Table3[[#This Row],[GP_A]]</f>
        <v>36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 t="shared" si="0"/>
        <v>10</v>
      </c>
      <c r="K17">
        <f>82-Table3[[#This Row],[GP]]</f>
        <v>72</v>
      </c>
      <c r="L17">
        <f>COUNTIFS(DataRegularSeason20242025!$D$3:$D$1315,$A17, DataRegularSeason20242025!$L$3:$L$1315, $A17,DataRegularSeason20242025!$N$3:$N$1315,1)</f>
        <v>4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1</v>
      </c>
      <c r="O17">
        <f>COUNTIFS(DataRegularSeason20242025!$D$3:$D$1315,$A17, DataRegularSeason20242025!$L$3:$L$1315, $A17,DataRegularSeason20242025!$N$3:$N$1315,1,DataRegularSeason20242025!$M$3:$M$1315,"SO")</f>
        <v>1</v>
      </c>
      <c r="P17">
        <f t="shared" si="1"/>
        <v>1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2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3</v>
      </c>
      <c r="Y17">
        <f>COUNTIFS(DataRegularSeason20242025!$E$3:$E$1315,$A17, DataRegularSeason20242025!$S$3:$S$1315, $A17,DataRegularSeason20242025!$M$3:$M$1315,"REG")</f>
        <v>3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0.6</v>
      </c>
      <c r="AC17">
        <f>Table3[[#This Row],[W_A]]+Table3[[#This Row],[W_H]]</f>
        <v>6</v>
      </c>
      <c r="AD17">
        <f>Table3[[#This Row],[L_A]]+Table3[[#This Row],[L_H]]</f>
        <v>4</v>
      </c>
      <c r="AE17">
        <f>Table3[[#This Row],[RW_A]]+Table3[[#This Row],[RW_H]]</f>
        <v>4</v>
      </c>
      <c r="AF17">
        <f>Table3[[#This Row],[RL_A]]+Table3[[#This Row],[RL_H]]</f>
        <v>4</v>
      </c>
      <c r="AG17">
        <f>Table3[[#This Row],[OTW_A]]+Table3[[#This Row],[OTW_H]]</f>
        <v>1</v>
      </c>
      <c r="AH17">
        <f>Table3[[#This Row],[OTL_A]]+Table3[[#This Row],[OTL_H]]</f>
        <v>0</v>
      </c>
      <c r="AI17">
        <f>Table3[[#This Row],[SOW_A]]+Table3[[#This Row],[SOW_H]]</f>
        <v>1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2-0</v>
      </c>
      <c r="AL17">
        <f>SUM(Table3[[#This Row],[OTW]],Table3[[#This Row],[OTL]],Table3[[#This Row],[SOW]],Table3[[#This Row],[SOL]])</f>
        <v>2</v>
      </c>
      <c r="AM17">
        <f>(Table3[[#This Row],[OTW]]+Table3[[#This Row],[SOW]])/IF(Table3[[#This Row],[Total_ExtraTimes]]=0,1,Table3[[#This Row],[Total_ExtraTimes]])</f>
        <v>1</v>
      </c>
      <c r="AN17">
        <f>Table3[[#This Row],[Total_ExtraTimes]]/MAX(1,Table3[[#This Row],[GP]])</f>
        <v>0.2</v>
      </c>
      <c r="AO17">
        <f>(2*(Table3[[#This Row],[W_A]]+Table3[[#This Row],[W_H]]))+Table3[[#This Row],[OTL_A]]+Table3[[#This Row],[SOL_A]]+Table3[[#This Row],[OTL_H]]+Table3[[#This Row],[SOL_H]]</f>
        <v>12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7" s="10">
        <f>Table3[[#This Row],[PTS]]/(2*Table3[[#This Row],[GP]])</f>
        <v>0.6</v>
      </c>
      <c r="AR17" s="10">
        <f>Table3[[#This Row],[PTS2]]/(3*Table3[[#This Row],[GP]])</f>
        <v>0.53333333333333333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98.399999999999991</v>
      </c>
      <c r="AV17">
        <f>Table3[[#This Row],[PTS2]]+(3 * Table3[[#This Row],[GR]] * Table3[[#This Row],[PTS%2]])</f>
        <v>131.19999999999999</v>
      </c>
      <c r="AW17" s="15" t="str">
        <f>_xlfn.CONCAT(TEXT(Table3[[#This Row],[W]], "0"), "-", TEXT(Table3[[#This Row],[RL]],"0"), "-", TEXT(Table3[[#This Row],[OTL]]+Table3[[#This Row],[SOL]], "0"))</f>
        <v>6-4-0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22</v>
      </c>
      <c r="AZ17">
        <f>SUMIF(DataRegularSeason20242025!$D$3:$D$1315,$A17, DataRegularSeason20242025!$K$3:$K$1315)</f>
        <v>13</v>
      </c>
      <c r="BA17">
        <f t="shared" si="3"/>
        <v>9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13</v>
      </c>
      <c r="BD17">
        <f>SUMIF(DataRegularSeason20242025!$E$3:$E$1315,$A17,DataRegularSeason20242025!$J$3:$J$1315)</f>
        <v>17</v>
      </c>
      <c r="BE17">
        <f t="shared" si="4"/>
        <v>-4</v>
      </c>
      <c r="BF17">
        <f t="shared" si="5"/>
        <v>35</v>
      </c>
      <c r="BG17">
        <f t="shared" si="6"/>
        <v>30</v>
      </c>
      <c r="BH17">
        <f t="shared" si="7"/>
        <v>5</v>
      </c>
      <c r="BI17" s="12">
        <f>Table3[[#This Row],[GF]]/Table3[[#This Row],[GP]]</f>
        <v>3.5</v>
      </c>
      <c r="BJ17" s="12">
        <f>Table3[[#This Row],[GA]]/Table3[[#This Row],[GP]]</f>
        <v>3</v>
      </c>
      <c r="BK17" s="12">
        <f>(Table3[[#This Row],[GF]]-Table3[[#This Row],[GA]])/Table3[[#This Row],[GP]]</f>
        <v>0.5</v>
      </c>
      <c r="BL17" s="42" t="str">
        <f>_xlfn.CONCAT(TEXT(Table3[[#This Row],[W_H]], "0"), "-", TEXT(Table3[[#This Row],[RL_H]],"0"), "-", TEXT(Table3[[#This Row],[OTL_H]]+Table3[[#This Row],[SOL_H]], "0"))</f>
        <v>2-3-0</v>
      </c>
      <c r="BM17" s="42" t="str">
        <f>_xlfn.CONCAT(TEXT(Table3[[#This Row],[W_A]], "0"), "-", TEXT(Table3[[#This Row],[RL_A]],"0"), "-", TEXT(Table3[[#This Row],[OTL_A]]+Table3[[#This Row],[SOL_A]], "0"))</f>
        <v>4-1-0</v>
      </c>
      <c r="BN17" s="42">
        <f>((2*(Table3[[#This Row],[W_H]]))+Table3[[#This Row],[OTL_H]]+Table3[[#This Row],[SOL_H]])/(2*Table3[[#This Row],[GP_H]])</f>
        <v>0.4</v>
      </c>
      <c r="BO17" s="42">
        <f>((2*(Table3[[#This Row],[W_A]]))+Table3[[#This Row],[OTL_A]]+Table3[[#This Row],[SOL_A]])/(2*Table3[[#This Row],[GP_A]])</f>
        <v>0.8</v>
      </c>
      <c r="BP17" s="16">
        <f>(Table3[[#This Row],[W]]*$CX$3)+(Table3[[#This Row],[L]]*$CX$4)+(Table3[[#This Row],[GF]]*$CX$5)+(Table3[[#This Row],[GA]]*$CX$6)</f>
        <v>12.45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83.543999999999997</v>
      </c>
      <c r="BR17" s="16">
        <f>(Table3[[#This Row],[W]]*0.7) + ((Table3[[#This Row],[GF]] - Table3[[#This Row],[GA]])*0.25)+(Table3[[#This Row],[GF]]*0.1)+(Table3[[#This Row],[GA]]*0.05)+(Table3[[#This Row],[L]]*0.3)</f>
        <v>11.649999999999999</v>
      </c>
      <c r="BS17" s="16">
        <f>Table3[[#This Row],[TeamCost83]]/Table3[[#This Row],[GP]]</f>
        <v>1.1649999999999998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1</v>
      </c>
      <c r="BV17">
        <f t="shared" si="8"/>
        <v>1</v>
      </c>
      <c r="BW17">
        <f t="shared" si="9"/>
        <v>5</v>
      </c>
      <c r="BX17">
        <f t="shared" si="10"/>
        <v>4</v>
      </c>
      <c r="BY17">
        <f t="shared" si="11"/>
        <v>9</v>
      </c>
      <c r="BZ17">
        <f>Table3[[#This Row],[TimesPredictedWinner]]/Table3[[#This Row],[GP]]</f>
        <v>0.1</v>
      </c>
      <c r="CC17" s="1">
        <v>45763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1.6</v>
      </c>
      <c r="CK17">
        <f>Table3[[#This Row],[Column4]]+Table3[[#This Row],[Column3]]</f>
        <v>2.4000000000000004</v>
      </c>
      <c r="CL17">
        <f>Table3[[#This Row],[Column5]]/Table3[[#This Row],[GP]]</f>
        <v>0.24000000000000005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27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6</v>
      </c>
      <c r="E18" s="10">
        <f>Table3[[#This Row],[Watched]]/Table3[[#This Row],[GP]]</f>
        <v>0.54545454545454541</v>
      </c>
      <c r="F18">
        <f>COUNTIFS(DataRegularSeason20242025!$N$3:$N$1315,1,DataRegularSeason20242025!$D$3:$D$1315,$A18)</f>
        <v>8</v>
      </c>
      <c r="G18">
        <f>41-Table3[[#This Row],[GP_A]]</f>
        <v>33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 t="shared" si="0"/>
        <v>11</v>
      </c>
      <c r="K18">
        <f>82-Table3[[#This Row],[GP]]</f>
        <v>71</v>
      </c>
      <c r="L18">
        <f>COUNTIFS(DataRegularSeason20242025!$D$3:$D$1315,$A18, DataRegularSeason20242025!$L$3:$L$1315, $A18,DataRegularSeason20242025!$N$3:$N$1315,1)</f>
        <v>5</v>
      </c>
      <c r="M18">
        <f>COUNTIFS(DataRegularSeason20242025!$D$3:$D$1315,$A18, DataRegularSeason20242025!$L$3:$L$1315, $A18,DataRegularSeason20242025!$N$3:$N$1315,1,DataRegularSeason20242025!$M$3:$M$1315,"REG")</f>
        <v>2</v>
      </c>
      <c r="N18">
        <f>COUNTIFS(DataRegularSeason20242025!$D$3:$D$1315,$A18, DataRegularSeason20242025!$L$3:$L$1315, $A18,DataRegularSeason20242025!$N$3:$N$1315,1,DataRegularSeason20242025!$M$3:$M$1315,"OT")</f>
        <v>2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 t="shared" si="1"/>
        <v>3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2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0.45454545454545453</v>
      </c>
      <c r="AC18">
        <f>Table3[[#This Row],[W_A]]+Table3[[#This Row],[W_H]]</f>
        <v>5</v>
      </c>
      <c r="AD18">
        <f>Table3[[#This Row],[L_A]]+Table3[[#This Row],[L_H]]</f>
        <v>6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2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2</v>
      </c>
      <c r="AK18" s="15" t="str">
        <f>_xlfn.CONCAT(TEXT(Table3[[#This Row],[OTW]]+Table3[[#This Row],[SOW]], "0"), "-", TEXT(Table3[[#This Row],[OTL]]+Table3[[#This Row],[SOL]],"0"))</f>
        <v>3-3</v>
      </c>
      <c r="AL18">
        <f>SUM(Table3[[#This Row],[OTW]],Table3[[#This Row],[OTL]],Table3[[#This Row],[SOW]],Table3[[#This Row],[SOL]])</f>
        <v>6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0.54545454545454541</v>
      </c>
      <c r="AO18">
        <f>(2*(Table3[[#This Row],[W_A]]+Table3[[#This Row],[W_H]]))+Table3[[#This Row],[OTL_A]]+Table3[[#This Row],[SOL_A]]+Table3[[#This Row],[OTL_H]]+Table3[[#This Row],[SOL_H]]</f>
        <v>13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8" s="10">
        <f>Table3[[#This Row],[PTS]]/(2*Table3[[#This Row],[GP]])</f>
        <v>0.59090909090909094</v>
      </c>
      <c r="AR18" s="10">
        <f>Table3[[#This Row],[PTS2]]/(3*Table3[[#This Row],[GP]])</f>
        <v>0.45454545454545453</v>
      </c>
      <c r="AS18">
        <f>(2*Table3[[#This Row],[GR]])+Table3[[#This Row],[PTS]]</f>
        <v>155</v>
      </c>
      <c r="AT18">
        <f>(3*Table3[[#This Row],[GR]])+Table3[[#This Row],[PTS2]]</f>
        <v>228</v>
      </c>
      <c r="AU18">
        <f>Table3[[#This Row],[PTS]]+(2 * Table3[[#This Row],[GR]] * Table3[[#This Row],[PTS%]])</f>
        <v>96.909090909090907</v>
      </c>
      <c r="AV18">
        <f>Table3[[#This Row],[PTS2]]+(3 * Table3[[#This Row],[GR]] * Table3[[#This Row],[PTS%2]])</f>
        <v>111.81818181818181</v>
      </c>
      <c r="AW18" s="15" t="str">
        <f>_xlfn.CONCAT(TEXT(Table3[[#This Row],[W]], "0"), "-", TEXT(Table3[[#This Row],[RL]],"0"), "-", TEXT(Table3[[#This Row],[OTL]]+Table3[[#This Row],[SOL]], "0"))</f>
        <v>5-3-3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27</v>
      </c>
      <c r="AZ18">
        <f>SUMIF(DataRegularSeason20242025!$D$3:$D$1315,$A18, DataRegularSeason20242025!$K$3:$K$1315)</f>
        <v>24</v>
      </c>
      <c r="BA18">
        <f t="shared" si="3"/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6</v>
      </c>
      <c r="BD18">
        <f>SUMIF(DataRegularSeason20242025!$E$3:$E$1315,$A18,DataRegularSeason20242025!$J$3:$J$1315)</f>
        <v>12</v>
      </c>
      <c r="BE18">
        <f t="shared" si="4"/>
        <v>-6</v>
      </c>
      <c r="BF18">
        <f t="shared" si="5"/>
        <v>33</v>
      </c>
      <c r="BG18">
        <f t="shared" si="6"/>
        <v>36</v>
      </c>
      <c r="BH18">
        <f t="shared" si="7"/>
        <v>-3</v>
      </c>
      <c r="BI18" s="12">
        <f>Table3[[#This Row],[GF]]/Table3[[#This Row],[GP]]</f>
        <v>3</v>
      </c>
      <c r="BJ18" s="12">
        <f>Table3[[#This Row],[GA]]/Table3[[#This Row],[GP]]</f>
        <v>3.2727272727272729</v>
      </c>
      <c r="BK18" s="12">
        <f>(Table3[[#This Row],[GF]]-Table3[[#This Row],[GA]])/Table3[[#This Row],[GP]]</f>
        <v>-0.27272727272727271</v>
      </c>
      <c r="BL18" s="42" t="str">
        <f>_xlfn.CONCAT(TEXT(Table3[[#This Row],[W_H]], "0"), "-", TEXT(Table3[[#This Row],[RL_H]],"0"), "-", TEXT(Table3[[#This Row],[OTL_H]]+Table3[[#This Row],[SOL_H]], "0"))</f>
        <v>0-2-1</v>
      </c>
      <c r="BM18" s="42" t="str">
        <f>_xlfn.CONCAT(TEXT(Table3[[#This Row],[W_A]], "0"), "-", TEXT(Table3[[#This Row],[RL_A]],"0"), "-", TEXT(Table3[[#This Row],[OTL_A]]+Table3[[#This Row],[SOL_A]], "0"))</f>
        <v>5-1-2</v>
      </c>
      <c r="BN18" s="42">
        <f>((2*(Table3[[#This Row],[W_H]]))+Table3[[#This Row],[OTL_H]]+Table3[[#This Row],[SOL_H]])/(2*Table3[[#This Row],[GP_H]])</f>
        <v>0.16666666666666666</v>
      </c>
      <c r="BO18" s="42">
        <f>((2*(Table3[[#This Row],[W_A]]))+Table3[[#This Row],[OTL_A]]+Table3[[#This Row],[SOL_A]])/(2*Table3[[#This Row],[GP_A]])</f>
        <v>0.75</v>
      </c>
      <c r="BP18" s="16">
        <f>(Table3[[#This Row],[W]]*$CX$3)+(Table3[[#This Row],[L]]*$CX$4)+(Table3[[#This Row],[GF]]*$CX$5)+(Table3[[#This Row],[GA]]*$CX$6)</f>
        <v>12.85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79.703719008264457</v>
      </c>
      <c r="BR18" s="16">
        <f>(Table3[[#This Row],[W]]*0.7) + ((Table3[[#This Row],[GF]] - Table3[[#This Row],[GA]])*0.25)+(Table3[[#This Row],[GF]]*0.1)+(Table3[[#This Row],[GA]]*0.05)+(Table3[[#This Row],[L]]*0.3)</f>
        <v>9.65</v>
      </c>
      <c r="BS18" s="16">
        <f>Table3[[#This Row],[TeamCost83]]/Table3[[#This Row],[GP]]</f>
        <v>0.87727272727272732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1</v>
      </c>
      <c r="BV18">
        <f t="shared" si="8"/>
        <v>3</v>
      </c>
      <c r="BW18">
        <f t="shared" si="9"/>
        <v>6</v>
      </c>
      <c r="BX18">
        <f t="shared" si="10"/>
        <v>2</v>
      </c>
      <c r="BY18">
        <f t="shared" si="11"/>
        <v>8</v>
      </c>
      <c r="BZ18">
        <f>Table3[[#This Row],[TimesPredictedWinner]]/Table3[[#This Row],[GP]]</f>
        <v>0.27272727272727271</v>
      </c>
      <c r="CB18">
        <v>2014</v>
      </c>
      <c r="CD18" s="1">
        <v>45752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2.7</v>
      </c>
      <c r="CJ18">
        <f>SUMIFS(Table2[GamePredictionScore], Table2[HomeTeam], Table3[[#This Row],[Teams]])</f>
        <v>1.6</v>
      </c>
      <c r="CK18">
        <f>Table3[[#This Row],[Column4]]+Table3[[#This Row],[Column3]]</f>
        <v>4.3000000000000007</v>
      </c>
      <c r="CL18">
        <f>Table3[[#This Row],[Column5]]/Table3[[#This Row],[GP]]</f>
        <v>0.39090909090909098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10</v>
      </c>
      <c r="E19" s="10">
        <f>Table3[[#This Row],[Watched]]/Table3[[#This Row],[GP]]</f>
        <v>0.90909090909090906</v>
      </c>
      <c r="F19">
        <f>COUNTIFS(DataRegularSeason20242025!$N$3:$N$1315,1,DataRegularSeason20242025!$D$3:$D$1315,$A19)</f>
        <v>3</v>
      </c>
      <c r="G19">
        <f>41-Table3[[#This Row],[GP_A]]</f>
        <v>38</v>
      </c>
      <c r="H19">
        <f>COUNTIFS(DataRegularSeason20242025!$E$3:$E$1315,$A19,DataRegularSeason20242025!$N$3:$N$1315,1)</f>
        <v>8</v>
      </c>
      <c r="I19">
        <f>41-Table3[[#This Row],[GP_H]]</f>
        <v>33</v>
      </c>
      <c r="J19">
        <f t="shared" si="0"/>
        <v>11</v>
      </c>
      <c r="K19">
        <f>82-Table3[[#This Row],[GP]]</f>
        <v>71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3</v>
      </c>
      <c r="Q19">
        <f>COUNTIFS(DataRegularSeason20242025!$D$3:$D$1315,$A19, DataRegularSeason20242025!$S$3:$S$1315, $A19,DataRegularSeason20242025!$M$3:$M$1315,"REG")</f>
        <v>3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5</v>
      </c>
      <c r="U19">
        <f>COUNTIFS(DataRegularSeason20242025!$E$3:$E$1315,$A19, DataRegularSeason20242025!$L$3:$L$1315, $A19,DataRegularSeason20242025!$N$3:$N$1315,1,DataRegularSeason20242025!$M$3:$M$1315,"REG")</f>
        <v>3</v>
      </c>
      <c r="V19">
        <f>COUNTIFS(DataRegularSeason20242025!$E$3:$E$1315,$A19, DataRegularSeason20242025!$L$3:$L$1315, $A19,DataRegularSeason20242025!$N$3:$N$1315,1,DataRegularSeason20242025!$M$3:$M$1315,"OT")</f>
        <v>2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0.45454545454545453</v>
      </c>
      <c r="AC19">
        <f>Table3[[#This Row],[W_A]]+Table3[[#This Row],[W_H]]</f>
        <v>5</v>
      </c>
      <c r="AD19">
        <f>Table3[[#This Row],[L_A]]+Table3[[#This Row],[L_H]]</f>
        <v>6</v>
      </c>
      <c r="AE19">
        <f>Table3[[#This Row],[RW_A]]+Table3[[#This Row],[RW_H]]</f>
        <v>3</v>
      </c>
      <c r="AF19">
        <f>Table3[[#This Row],[RL_A]]+Table3[[#This Row],[RL_H]]</f>
        <v>5</v>
      </c>
      <c r="AG19">
        <f>Table3[[#This Row],[OTW_A]]+Table3[[#This Row],[OTW_H]]</f>
        <v>2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2-1</v>
      </c>
      <c r="AL19">
        <f>SUM(Table3[[#This Row],[OTW]],Table3[[#This Row],[OTL]],Table3[[#This Row],[SOW]],Table3[[#This Row],[SOL]])</f>
        <v>3</v>
      </c>
      <c r="AM19">
        <f>(Table3[[#This Row],[OTW]]+Table3[[#This Row],[SOW]])/IF(Table3[[#This Row],[Total_ExtraTimes]]=0,1,Table3[[#This Row],[Total_ExtraTimes]])</f>
        <v>0.66666666666666663</v>
      </c>
      <c r="AN19">
        <f>Table3[[#This Row],[Total_ExtraTimes]]/MAX(1,Table3[[#This Row],[GP]])</f>
        <v>0.27272727272727271</v>
      </c>
      <c r="AO19">
        <f>(2*(Table3[[#This Row],[W_A]]+Table3[[#This Row],[W_H]]))+Table3[[#This Row],[OTL_A]]+Table3[[#This Row],[SOL_A]]+Table3[[#This Row],[OTL_H]]+Table3[[#This Row],[SOL_H]]</f>
        <v>11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9" s="10">
        <f>Table3[[#This Row],[PTS]]/(2*Table3[[#This Row],[GP]])</f>
        <v>0.5</v>
      </c>
      <c r="AR19" s="10">
        <f>Table3[[#This Row],[PTS2]]/(3*Table3[[#This Row],[GP]])</f>
        <v>0.42424242424242425</v>
      </c>
      <c r="AS19">
        <f>(2*Table3[[#This Row],[GR]])+Table3[[#This Row],[PTS]]</f>
        <v>153</v>
      </c>
      <c r="AT19">
        <f>(3*Table3[[#This Row],[GR]])+Table3[[#This Row],[PTS2]]</f>
        <v>227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104.36363636363636</v>
      </c>
      <c r="AW19" s="15" t="str">
        <f>_xlfn.CONCAT(TEXT(Table3[[#This Row],[W]], "0"), "-", TEXT(Table3[[#This Row],[RL]],"0"), "-", TEXT(Table3[[#This Row],[OTL]]+Table3[[#This Row],[SOL]], "0"))</f>
        <v>5-5-1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9</v>
      </c>
      <c r="AZ19">
        <f>SUMIF(DataRegularSeason20242025!$D$3:$D$1315,$A19, DataRegularSeason20242025!$K$3:$K$1315)</f>
        <v>17</v>
      </c>
      <c r="BA19">
        <f t="shared" si="3"/>
        <v>-8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29</v>
      </c>
      <c r="BD19">
        <f>SUMIF(DataRegularSeason20242025!$E$3:$E$1315,$A19,DataRegularSeason20242025!$J$3:$J$1315)</f>
        <v>25</v>
      </c>
      <c r="BE19">
        <f t="shared" si="4"/>
        <v>4</v>
      </c>
      <c r="BF19">
        <f t="shared" si="5"/>
        <v>38</v>
      </c>
      <c r="BG19">
        <f t="shared" si="6"/>
        <v>42</v>
      </c>
      <c r="BH19">
        <f t="shared" si="7"/>
        <v>-4</v>
      </c>
      <c r="BI19" s="12">
        <f>Table3[[#This Row],[GF]]/Table3[[#This Row],[GP]]</f>
        <v>3.4545454545454546</v>
      </c>
      <c r="BJ19" s="12">
        <f>Table3[[#This Row],[GA]]/Table3[[#This Row],[GP]]</f>
        <v>3.8181818181818183</v>
      </c>
      <c r="BK19" s="12">
        <f>(Table3[[#This Row],[GF]]-Table3[[#This Row],[GA]])/Table3[[#This Row],[GP]]</f>
        <v>-0.36363636363636365</v>
      </c>
      <c r="BL19" s="42" t="str">
        <f>_xlfn.CONCAT(TEXT(Table3[[#This Row],[W_H]], "0"), "-", TEXT(Table3[[#This Row],[RL_H]],"0"), "-", TEXT(Table3[[#This Row],[OTL_H]]+Table3[[#This Row],[SOL_H]], "0"))</f>
        <v>5-2-1</v>
      </c>
      <c r="BM19" s="42" t="str">
        <f>_xlfn.CONCAT(TEXT(Table3[[#This Row],[W_A]], "0"), "-", TEXT(Table3[[#This Row],[RL_A]],"0"), "-", TEXT(Table3[[#This Row],[OTL_A]]+Table3[[#This Row],[SOL_A]], "0"))</f>
        <v>0-3-0</v>
      </c>
      <c r="BN19" s="42">
        <f>((2*(Table3[[#This Row],[W_H]]))+Table3[[#This Row],[OTL_H]]+Table3[[#This Row],[SOL_H]])/(2*Table3[[#This Row],[GP_H]])</f>
        <v>0.6875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14.2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90.981818181818184</v>
      </c>
      <c r="BR19" s="16">
        <f>(Table3[[#This Row],[W]]*0.7) + ((Table3[[#This Row],[GF]] - Table3[[#This Row],[GA]])*0.25)+(Table3[[#This Row],[GF]]*0.1)+(Table3[[#This Row],[GA]]*0.05)+(Table3[[#This Row],[L]]*0.3)</f>
        <v>10.199999999999999</v>
      </c>
      <c r="BS19" s="16">
        <f>Table3[[#This Row],[TeamCost83]]/Table3[[#This Row],[GP]]</f>
        <v>0.92727272727272725</v>
      </c>
      <c r="BT19">
        <f>COUNTIFS(Table2[AwayTeam],$A19,Table2[PredictedWinner], $A19, Table2[GameIsOver], 1)</f>
        <v>3</v>
      </c>
      <c r="BU19">
        <f>COUNTIFS(Table2[HomeTeam],$A19,Table2[PredictedWinner], $A19, Table2[GameIsOver], 1)</f>
        <v>3</v>
      </c>
      <c r="BV19">
        <f t="shared" si="8"/>
        <v>6</v>
      </c>
      <c r="BW19">
        <f t="shared" si="9"/>
        <v>0</v>
      </c>
      <c r="BX19">
        <f t="shared" si="10"/>
        <v>5</v>
      </c>
      <c r="BY19">
        <f t="shared" si="11"/>
        <v>5</v>
      </c>
      <c r="BZ19">
        <f>Table3[[#This Row],[TimesPredictedWinner]]/Table3[[#This Row],[GP]]</f>
        <v>0.54545454545454541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0.30000000000000004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22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11</v>
      </c>
      <c r="E20" s="10">
        <f>Table3[[#This Row],[Watched]]/Table3[[#This Row],[GP]]</f>
        <v>1</v>
      </c>
      <c r="F20">
        <f>COUNTIFS(DataRegularSeason20242025!$N$3:$N$1315,1,DataRegularSeason20242025!$D$3:$D$1315,$A20)</f>
        <v>7</v>
      </c>
      <c r="G20">
        <f>41-Table3[[#This Row],[GP_A]]</f>
        <v>34</v>
      </c>
      <c r="H20">
        <f>COUNTIFS(DataRegularSeason20242025!$E$3:$E$1315,$A20,DataRegularSeason20242025!$N$3:$N$1315,1)</f>
        <v>4</v>
      </c>
      <c r="I20">
        <f>41-Table3[[#This Row],[GP_H]]</f>
        <v>37</v>
      </c>
      <c r="J20">
        <f t="shared" si="0"/>
        <v>11</v>
      </c>
      <c r="K20">
        <f>82-Table3[[#This Row],[GP]]</f>
        <v>71</v>
      </c>
      <c r="L20">
        <f>COUNTIFS(DataRegularSeason20242025!$D$3:$D$1315,$A20, DataRegularSeason20242025!$L$3:$L$1315, $A20,DataRegularSeason20242025!$N$3:$N$1315,1)</f>
        <v>2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1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5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3</v>
      </c>
      <c r="U20">
        <f>COUNTIFS(DataRegularSeason20242025!$E$3:$E$1315,$A20, DataRegularSeason20242025!$L$3:$L$1315, $A20,DataRegularSeason20242025!$N$3:$N$1315,1,DataRegularSeason20242025!$M$3:$M$1315,"REG")</f>
        <v>3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1</v>
      </c>
      <c r="AB20">
        <f>Table3[[#This Row],[W]]/MAX(1,Table3[[#This Row],[W]]+Table3[[#This Row],[L]])</f>
        <v>0.45454545454545453</v>
      </c>
      <c r="AC20">
        <f>Table3[[#This Row],[W_A]]+Table3[[#This Row],[W_H]]</f>
        <v>5</v>
      </c>
      <c r="AD20">
        <f>Table3[[#This Row],[L_A]]+Table3[[#This Row],[L_H]]</f>
        <v>6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1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1</v>
      </c>
      <c r="AK20" s="15" t="str">
        <f>_xlfn.CONCAT(TEXT(Table3[[#This Row],[OTW]]+Table3[[#This Row],[SOW]], "0"), "-", TEXT(Table3[[#This Row],[OTL]]+Table3[[#This Row],[SOL]],"0"))</f>
        <v>1-2</v>
      </c>
      <c r="AL20">
        <f>SUM(Table3[[#This Row],[OTW]],Table3[[#This Row],[OTL]],Table3[[#This Row],[SOW]],Table3[[#This Row],[SOL]])</f>
        <v>3</v>
      </c>
      <c r="AM20">
        <f>(Table3[[#This Row],[OTW]]+Table3[[#This Row],[SOW]])/IF(Table3[[#This Row],[Total_ExtraTimes]]=0,1,Table3[[#This Row],[Total_ExtraTimes]])</f>
        <v>0.33333333333333331</v>
      </c>
      <c r="AN20">
        <f>Table3[[#This Row],[Total_ExtraTimes]]/MAX(1,Table3[[#This Row],[GP]])</f>
        <v>0.27272727272727271</v>
      </c>
      <c r="AO20">
        <f>(2*(Table3[[#This Row],[W_A]]+Table3[[#This Row],[W_H]]))+Table3[[#This Row],[OTL_A]]+Table3[[#This Row],[SOL_A]]+Table3[[#This Row],[OTL_H]]+Table3[[#This Row],[SOL_H]]</f>
        <v>12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0" s="10">
        <f>Table3[[#This Row],[PTS]]/(2*Table3[[#This Row],[GP]])</f>
        <v>0.54545454545454541</v>
      </c>
      <c r="AR20" s="10">
        <f>Table3[[#This Row],[PTS2]]/(3*Table3[[#This Row],[GP]])</f>
        <v>0.48484848484848486</v>
      </c>
      <c r="AS20">
        <f>(2*Table3[[#This Row],[GR]])+Table3[[#This Row],[PTS]]</f>
        <v>154</v>
      </c>
      <c r="AT20">
        <f>(3*Table3[[#This Row],[GR]])+Table3[[#This Row],[PTS2]]</f>
        <v>229</v>
      </c>
      <c r="AU20">
        <f>Table3[[#This Row],[PTS]]+(2 * Table3[[#This Row],[GR]] * Table3[[#This Row],[PTS%]])</f>
        <v>89.454545454545453</v>
      </c>
      <c r="AV20">
        <f>Table3[[#This Row],[PTS2]]+(3 * Table3[[#This Row],[GR]] * Table3[[#This Row],[PTS%2]])</f>
        <v>119.27272727272728</v>
      </c>
      <c r="AW20" s="15" t="str">
        <f>_xlfn.CONCAT(TEXT(Table3[[#This Row],[W]], "0"), "-", TEXT(Table3[[#This Row],[RL]],"0"), "-", TEXT(Table3[[#This Row],[OTL]]+Table3[[#This Row],[SOL]], "0"))</f>
        <v>5-4-2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17</v>
      </c>
      <c r="AZ20">
        <f>SUMIF(DataRegularSeason20242025!$D$3:$D$1315,$A20, DataRegularSeason20242025!$K$3:$K$1315)</f>
        <v>22</v>
      </c>
      <c r="BA20">
        <f t="shared" si="3"/>
        <v>-5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18</v>
      </c>
      <c r="BD20">
        <f>SUMIF(DataRegularSeason20242025!$E$3:$E$1315,$A20,DataRegularSeason20242025!$J$3:$J$1315)</f>
        <v>13</v>
      </c>
      <c r="BE20">
        <f t="shared" si="4"/>
        <v>5</v>
      </c>
      <c r="BF20">
        <f t="shared" si="5"/>
        <v>35</v>
      </c>
      <c r="BG20">
        <f t="shared" si="6"/>
        <v>35</v>
      </c>
      <c r="BH20">
        <f t="shared" si="7"/>
        <v>0</v>
      </c>
      <c r="BI20" s="12">
        <f>Table3[[#This Row],[GF]]/Table3[[#This Row],[GP]]</f>
        <v>3.1818181818181817</v>
      </c>
      <c r="BJ20" s="12">
        <f>Table3[[#This Row],[GA]]/Table3[[#This Row],[GP]]</f>
        <v>3.1818181818181817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3-0-1</v>
      </c>
      <c r="BM20" s="42" t="str">
        <f>_xlfn.CONCAT(TEXT(Table3[[#This Row],[W_A]], "0"), "-", TEXT(Table3[[#This Row],[RL_A]],"0"), "-", TEXT(Table3[[#This Row],[OTL_A]]+Table3[[#This Row],[SOL_A]], "0"))</f>
        <v>2-4-1</v>
      </c>
      <c r="BN20" s="42">
        <f>((2*(Table3[[#This Row],[W_H]]))+Table3[[#This Row],[OTL_H]]+Table3[[#This Row],[SOL_H]])/(2*Table3[[#This Row],[GP_H]])</f>
        <v>0.875</v>
      </c>
      <c r="BO20" s="42">
        <f>((2*(Table3[[#This Row],[W_A]]))+Table3[[#This Row],[OTL_A]]+Table3[[#This Row],[SOL_A]])/(2*Table3[[#This Row],[GP_A]])</f>
        <v>0.35714285714285715</v>
      </c>
      <c r="BP20" s="16">
        <f>(Table3[[#This Row],[W]]*$CX$3)+(Table3[[#This Row],[L]]*$CX$4)+(Table3[[#This Row],[GF]]*$CX$5)+(Table3[[#This Row],[GA]]*$CX$6)</f>
        <v>13.05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81.32685950413223</v>
      </c>
      <c r="BR20" s="16">
        <f>(Table3[[#This Row],[W]]*0.7) + ((Table3[[#This Row],[GF]] - Table3[[#This Row],[GA]])*0.25)+(Table3[[#This Row],[GF]]*0.1)+(Table3[[#This Row],[GA]]*0.05)+(Table3[[#This Row],[L]]*0.3)</f>
        <v>10.55</v>
      </c>
      <c r="BS20" s="16">
        <f>Table3[[#This Row],[TeamCost83]]/Table3[[#This Row],[GP]]</f>
        <v>0.95909090909090911</v>
      </c>
      <c r="BT20">
        <f>COUNTIFS(Table2[AwayTeam],$A20,Table2[PredictedWinner], $A20, Table2[GameIsOver], 1)</f>
        <v>6</v>
      </c>
      <c r="BU20">
        <f>COUNTIFS(Table2[HomeTeam],$A20,Table2[PredictedWinner], $A20, Table2[GameIsOver], 1)</f>
        <v>2</v>
      </c>
      <c r="BV20">
        <f t="shared" si="8"/>
        <v>8</v>
      </c>
      <c r="BW20">
        <f t="shared" si="9"/>
        <v>1</v>
      </c>
      <c r="BX20">
        <f t="shared" si="10"/>
        <v>2</v>
      </c>
      <c r="BY20">
        <f t="shared" si="11"/>
        <v>3</v>
      </c>
      <c r="BZ20">
        <f>Table3[[#This Row],[TimesPredictedWinner]]/Table3[[#This Row],[GP]]</f>
        <v>0.72727272727272729</v>
      </c>
      <c r="CB20">
        <v>1990</v>
      </c>
      <c r="CD20" s="1">
        <v>45758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2.8000000000000003</v>
      </c>
      <c r="CJ20">
        <f>SUMIFS(Table2[GamePredictionScore], Table2[HomeTeam], Table3[[#This Row],[Teams]])</f>
        <v>1</v>
      </c>
      <c r="CK20">
        <f>Table3[[#This Row],[Column4]]+Table3[[#This Row],[Column3]]</f>
        <v>3.8000000000000003</v>
      </c>
      <c r="CL20">
        <f>Table3[[#This Row],[Column5]]/Table3[[#This Row],[GP]]</f>
        <v>0.34545454545454546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24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10</v>
      </c>
      <c r="E21" s="10">
        <f>Table3[[#This Row],[Watched]]/Table3[[#This Row],[GP]]</f>
        <v>0.90909090909090906</v>
      </c>
      <c r="F21">
        <f>COUNTIFS(DataRegularSeason20242025!$N$3:$N$1315,1,DataRegularSeason20242025!$D$3:$D$1315,$A21)</f>
        <v>6</v>
      </c>
      <c r="G21">
        <f>41-Table3[[#This Row],[GP_A]]</f>
        <v>35</v>
      </c>
      <c r="H21">
        <f>COUNTIFS(DataRegularSeason20242025!$E$3:$E$1315,$A21,DataRegularSeason20242025!$N$3:$N$1315,1)</f>
        <v>5</v>
      </c>
      <c r="I21">
        <f>41-Table3[[#This Row],[GP_H]]</f>
        <v>36</v>
      </c>
      <c r="J21">
        <f t="shared" si="0"/>
        <v>11</v>
      </c>
      <c r="K21">
        <f>82-Table3[[#This Row],[GP]]</f>
        <v>71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 t="shared" si="1"/>
        <v>3</v>
      </c>
      <c r="Q21">
        <f>COUNTIFS(DataRegularSeason20242025!$D$3:$D$1315,$A21, DataRegularSeason20242025!$S$3:$S$1315, $A21,DataRegularSeason20242025!$M$3:$M$1315,"REG")</f>
        <v>3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2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1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0.45454545454545453</v>
      </c>
      <c r="AC21">
        <f>Table3[[#This Row],[W_A]]+Table3[[#This Row],[W_H]]</f>
        <v>5</v>
      </c>
      <c r="AD21">
        <f>Table3[[#This Row],[L_A]]+Table3[[#This Row],[L_H]]</f>
        <v>6</v>
      </c>
      <c r="AE21">
        <f>Table3[[#This Row],[RW_A]]+Table3[[#This Row],[RW_H]]</f>
        <v>3</v>
      </c>
      <c r="AF21">
        <f>Table3[[#This Row],[RL_A]]+Table3[[#This Row],[RL_H]]</f>
        <v>6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2-0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0.18181818181818182</v>
      </c>
      <c r="AO21">
        <f>(2*(Table3[[#This Row],[W_A]]+Table3[[#This Row],[W_H]]))+Table3[[#This Row],[OTL_A]]+Table3[[#This Row],[SOL_A]]+Table3[[#This Row],[OTL_H]]+Table3[[#This Row],[SOL_H]]</f>
        <v>10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1" s="10">
        <f>Table3[[#This Row],[PTS]]/(2*Table3[[#This Row],[GP]])</f>
        <v>0.45454545454545453</v>
      </c>
      <c r="AR21" s="10">
        <f>Table3[[#This Row],[PTS2]]/(3*Table3[[#This Row],[GP]])</f>
        <v>0.39393939393939392</v>
      </c>
      <c r="AS21">
        <f>(2*Table3[[#This Row],[GR]])+Table3[[#This Row],[PTS]]</f>
        <v>152</v>
      </c>
      <c r="AT21">
        <f>(3*Table3[[#This Row],[GR]])+Table3[[#This Row],[PTS2]]</f>
        <v>226</v>
      </c>
      <c r="AU21">
        <f>Table3[[#This Row],[PTS]]+(2 * Table3[[#This Row],[GR]] * Table3[[#This Row],[PTS%]])</f>
        <v>74.545454545454547</v>
      </c>
      <c r="AV21">
        <f>Table3[[#This Row],[PTS2]]+(3 * Table3[[#This Row],[GR]] * Table3[[#This Row],[PTS%2]])</f>
        <v>96.909090909090907</v>
      </c>
      <c r="AW21" s="15" t="str">
        <f>_xlfn.CONCAT(TEXT(Table3[[#This Row],[W]], "0"), "-", TEXT(Table3[[#This Row],[RL]],"0"), "-", TEXT(Table3[[#This Row],[OTL]]+Table3[[#This Row],[SOL]], "0"))</f>
        <v>5-6-0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15</v>
      </c>
      <c r="AZ21">
        <f>SUMIF(DataRegularSeason20242025!$D$3:$D$1315,$A21, DataRegularSeason20242025!$K$3:$K$1315)</f>
        <v>18</v>
      </c>
      <c r="BA21">
        <f t="shared" si="3"/>
        <v>-3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14</v>
      </c>
      <c r="BD21">
        <f>SUMIF(DataRegularSeason20242025!$E$3:$E$1315,$A21,DataRegularSeason20242025!$J$3:$J$1315)</f>
        <v>15</v>
      </c>
      <c r="BE21">
        <f t="shared" si="4"/>
        <v>-1</v>
      </c>
      <c r="BF21">
        <f t="shared" si="5"/>
        <v>29</v>
      </c>
      <c r="BG21">
        <f t="shared" si="6"/>
        <v>33</v>
      </c>
      <c r="BH21">
        <f t="shared" si="7"/>
        <v>-4</v>
      </c>
      <c r="BI21" s="12">
        <f>Table3[[#This Row],[GF]]/Table3[[#This Row],[GP]]</f>
        <v>2.6363636363636362</v>
      </c>
      <c r="BJ21" s="12">
        <f>Table3[[#This Row],[GA]]/Table3[[#This Row],[GP]]</f>
        <v>3</v>
      </c>
      <c r="BK21" s="12">
        <f>(Table3[[#This Row],[GF]]-Table3[[#This Row],[GA]])/Table3[[#This Row],[GP]]</f>
        <v>-0.36363636363636365</v>
      </c>
      <c r="BL21" s="42" t="str">
        <f>_xlfn.CONCAT(TEXT(Table3[[#This Row],[W_H]], "0"), "-", TEXT(Table3[[#This Row],[RL_H]],"0"), "-", TEXT(Table3[[#This Row],[OTL_H]]+Table3[[#This Row],[SOL_H]], "0"))</f>
        <v>2-3-0</v>
      </c>
      <c r="BM21" s="42" t="str">
        <f>_xlfn.CONCAT(TEXT(Table3[[#This Row],[W_A]], "0"), "-", TEXT(Table3[[#This Row],[RL_A]],"0"), "-", TEXT(Table3[[#This Row],[OTL_A]]+Table3[[#This Row],[SOL_A]], "0"))</f>
        <v>3-3-0</v>
      </c>
      <c r="BN21" s="42">
        <f>((2*(Table3[[#This Row],[W_H]]))+Table3[[#This Row],[OTL_H]]+Table3[[#This Row],[SOL_H]])/(2*Table3[[#This Row],[GP_H]])</f>
        <v>0.4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11.95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71.891322314049575</v>
      </c>
      <c r="BR21" s="16">
        <f>(Table3[[#This Row],[W]]*0.7) + ((Table3[[#This Row],[GF]] - Table3[[#This Row],[GA]])*0.25)+(Table3[[#This Row],[GF]]*0.1)+(Table3[[#This Row],[GA]]*0.05)+(Table3[[#This Row],[L]]*0.3)</f>
        <v>8.8500000000000014</v>
      </c>
      <c r="BS21" s="16">
        <f>Table3[[#This Row],[TeamCost83]]/Table3[[#This Row],[GP]]</f>
        <v>0.80454545454545467</v>
      </c>
      <c r="BT21">
        <f>COUNTIFS(Table2[AwayTeam],$A21,Table2[PredictedWinner], $A21, Table2[GameIsOver], 1)</f>
        <v>2</v>
      </c>
      <c r="BU21">
        <f>COUNTIFS(Table2[HomeTeam],$A21,Table2[PredictedWinner], $A21, Table2[GameIsOver], 1)</f>
        <v>2</v>
      </c>
      <c r="BV21">
        <f t="shared" si="8"/>
        <v>4</v>
      </c>
      <c r="BW21">
        <f t="shared" si="9"/>
        <v>4</v>
      </c>
      <c r="BX21">
        <f t="shared" si="10"/>
        <v>3</v>
      </c>
      <c r="BY21">
        <f t="shared" si="11"/>
        <v>7</v>
      </c>
      <c r="BZ21">
        <f>Table3[[#This Row],[TimesPredictedWinner]]/Table3[[#This Row],[GP]]</f>
        <v>0.36363636363636365</v>
      </c>
      <c r="CC21" s="1">
        <v>45756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2.5</v>
      </c>
      <c r="CJ21">
        <f>SUMIFS(Table2[GamePredictionScore], Table2[HomeTeam], Table3[[#This Row],[Teams]])</f>
        <v>2.8000000000000003</v>
      </c>
      <c r="CK21">
        <f>Table3[[#This Row],[Column4]]+Table3[[#This Row],[Column3]]</f>
        <v>5.3000000000000007</v>
      </c>
      <c r="CL21">
        <f>Table3[[#This Row],[Column5]]/Table3[[#This Row],[GP]]</f>
        <v>0.48181818181818187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40</v>
      </c>
      <c r="B22" t="s">
        <v>91</v>
      </c>
      <c r="C22" t="s">
        <v>74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8</v>
      </c>
      <c r="E22" s="10">
        <f>Table3[[#This Row],[Watched]]/Table3[[#This Row],[GP]]</f>
        <v>0.8</v>
      </c>
      <c r="F22">
        <f>COUNTIFS(DataRegularSeason20242025!$N$3:$N$1315,1,DataRegularSeason20242025!$D$3:$D$1315,$A22)</f>
        <v>5</v>
      </c>
      <c r="G22">
        <f>41-Table3[[#This Row],[GP_A]]</f>
        <v>36</v>
      </c>
      <c r="H22">
        <f>COUNTIFS(DataRegularSeason20242025!$E$3:$E$1315,$A22,DataRegularSeason20242025!$N$3:$N$1315,1)</f>
        <v>5</v>
      </c>
      <c r="I22">
        <f>41-Table3[[#This Row],[GP_H]]</f>
        <v>36</v>
      </c>
      <c r="J22">
        <f t="shared" si="0"/>
        <v>10</v>
      </c>
      <c r="K22">
        <f>82-Table3[[#This Row],[GP]]</f>
        <v>72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3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2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1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4</v>
      </c>
      <c r="AD22">
        <f>Table3[[#This Row],[L_A]]+Table3[[#This Row],[L_H]]</f>
        <v>6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2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1-2</v>
      </c>
      <c r="AL22">
        <f>SUM(Table3[[#This Row],[OTW]],Table3[[#This Row],[OTL]],Table3[[#This Row],[SOW]],Table3[[#This Row],[SOL]])</f>
        <v>3</v>
      </c>
      <c r="AM22">
        <f>(Table3[[#This Row],[OTW]]+Table3[[#This Row],[SOW]])/IF(Table3[[#This Row],[Total_ExtraTimes]]=0,1,Table3[[#This Row],[Total_ExtraTimes]])</f>
        <v>0.33333333333333331</v>
      </c>
      <c r="AN22">
        <f>Table3[[#This Row],[Total_ExtraTimes]]/MAX(1,Table3[[#This Row],[GP]])</f>
        <v>0.3</v>
      </c>
      <c r="AO22">
        <f>(2*(Table3[[#This Row],[W_A]]+Table3[[#This Row],[W_H]]))+Table3[[#This Row],[OTL_A]]+Table3[[#This Row],[SOL_A]]+Table3[[#This Row],[OTL_H]]+Table3[[#This Row],[SOL_H]]</f>
        <v>10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2" s="10">
        <f>Table3[[#This Row],[PTS]]/(2*Table3[[#This Row],[GP]])</f>
        <v>0.5</v>
      </c>
      <c r="AR22" s="10">
        <f>Table3[[#This Row],[PTS2]]/(3*Table3[[#This Row],[GP]])</f>
        <v>0.43333333333333335</v>
      </c>
      <c r="AS22">
        <f>(2*Table3[[#This Row],[GR]])+Table3[[#This Row],[PTS]]</f>
        <v>154</v>
      </c>
      <c r="AT22">
        <f>(3*Table3[[#This Row],[GR]])+Table3[[#This Row],[PTS2]]</f>
        <v>229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106.60000000000001</v>
      </c>
      <c r="AW22" s="15" t="str">
        <f>_xlfn.CONCAT(TEXT(Table3[[#This Row],[W]], "0"), "-", TEXT(Table3[[#This Row],[RL]],"0"), "-", TEXT(Table3[[#This Row],[OTL]]+Table3[[#This Row],[SOL]], "0"))</f>
        <v>4-4-2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14</v>
      </c>
      <c r="AZ22">
        <f>SUMIF(DataRegularSeason20242025!$D$3:$D$1315,$A22, DataRegularSeason20242025!$K$3:$K$1315)</f>
        <v>13</v>
      </c>
      <c r="BA22">
        <f t="shared" si="3"/>
        <v>1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15</v>
      </c>
      <c r="BD22">
        <f>SUMIF(DataRegularSeason20242025!$E$3:$E$1315,$A22,DataRegularSeason20242025!$J$3:$J$1315)</f>
        <v>17</v>
      </c>
      <c r="BE22">
        <f t="shared" si="4"/>
        <v>-2</v>
      </c>
      <c r="BF22">
        <f t="shared" si="5"/>
        <v>29</v>
      </c>
      <c r="BG22">
        <f t="shared" si="6"/>
        <v>30</v>
      </c>
      <c r="BH22">
        <f t="shared" si="7"/>
        <v>-1</v>
      </c>
      <c r="BI22" s="12">
        <f>Table3[[#This Row],[GF]]/Table3[[#This Row],[GP]]</f>
        <v>2.9</v>
      </c>
      <c r="BJ22" s="12">
        <f>Table3[[#This Row],[GA]]/Table3[[#This Row],[GP]]</f>
        <v>3</v>
      </c>
      <c r="BK22" s="12">
        <f>(Table3[[#This Row],[GF]]-Table3[[#This Row],[GA]])/Table3[[#This Row],[GP]]</f>
        <v>-0.1</v>
      </c>
      <c r="BL22" s="42" t="str">
        <f>_xlfn.CONCAT(TEXT(Table3[[#This Row],[W_H]], "0"), "-", TEXT(Table3[[#This Row],[RL_H]],"0"), "-", TEXT(Table3[[#This Row],[OTL_H]]+Table3[[#This Row],[SOL_H]], "0"))</f>
        <v>2-3-0</v>
      </c>
      <c r="BM22" s="42" t="str">
        <f>_xlfn.CONCAT(TEXT(Table3[[#This Row],[W_A]], "0"), "-", TEXT(Table3[[#This Row],[RL_A]],"0"), "-", TEXT(Table3[[#This Row],[OTL_A]]+Table3[[#This Row],[SOL_A]], "0"))</f>
        <v>2-1-2</v>
      </c>
      <c r="BN22" s="42">
        <f>((2*(Table3[[#This Row],[W_H]]))+Table3[[#This Row],[OTL_H]]+Table3[[#This Row],[SOL_H]])/(2*Table3[[#This Row],[GP_H]])</f>
        <v>0.4</v>
      </c>
      <c r="BO22" s="42">
        <f>((2*(Table3[[#This Row],[W_A]]))+Table3[[#This Row],[OTL_A]]+Table3[[#This Row],[SOL_A]])/(2*Table3[[#This Row],[GP_A]])</f>
        <v>0.6</v>
      </c>
      <c r="BP22" s="16">
        <f>(Table3[[#This Row],[W]]*$CX$3)+(Table3[[#This Row],[L]]*$CX$4)+(Table3[[#This Row],[GF]]*$CX$5)+(Table3[[#This Row],[GA]]*$CX$6)</f>
        <v>11.149999999999999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74.7</v>
      </c>
      <c r="BR22" s="16">
        <f>(Table3[[#This Row],[W]]*0.7) + ((Table3[[#This Row],[GF]] - Table3[[#This Row],[GA]])*0.25)+(Table3[[#This Row],[GF]]*0.1)+(Table3[[#This Row],[GA]]*0.05)+(Table3[[#This Row],[L]]*0.3)</f>
        <v>8.75</v>
      </c>
      <c r="BS22" s="16">
        <f>Table3[[#This Row],[TeamCost83]]/Table3[[#This Row],[GP]]</f>
        <v>0.875</v>
      </c>
      <c r="BT22">
        <f>COUNTIFS(Table2[AwayTeam],$A22,Table2[PredictedWinner], $A22, Table2[GameIsOver], 1)</f>
        <v>3</v>
      </c>
      <c r="BU22">
        <f>COUNTIFS(Table2[HomeTeam],$A22,Table2[PredictedWinner], $A22, Table2[GameIsOver], 1)</f>
        <v>3</v>
      </c>
      <c r="BV22">
        <f t="shared" si="8"/>
        <v>6</v>
      </c>
      <c r="BW22">
        <f t="shared" si="9"/>
        <v>2</v>
      </c>
      <c r="BX22">
        <f t="shared" si="10"/>
        <v>2</v>
      </c>
      <c r="BY22">
        <f t="shared" si="11"/>
        <v>4</v>
      </c>
      <c r="BZ22">
        <f>Table3[[#This Row],[TimesPredictedWinner]]/Table3[[#This Row],[GP]]</f>
        <v>0.6</v>
      </c>
      <c r="CB22">
        <v>2021</v>
      </c>
      <c r="CD22" s="1">
        <v>45751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3.4</v>
      </c>
      <c r="CJ22">
        <f>SUMIFS(Table2[GamePredictionScore], Table2[HomeTeam], Table3[[#This Row],[Teams]])</f>
        <v>1.8</v>
      </c>
      <c r="CK22">
        <f>Table3[[#This Row],[Column4]]+Table3[[#This Row],[Column3]]</f>
        <v>5.2</v>
      </c>
      <c r="CL22">
        <f>Table3[[#This Row],[Column5]]/Table3[[#This Row],[GP]]</f>
        <v>0.52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10</v>
      </c>
      <c r="E23" s="10">
        <f>Table3[[#This Row],[Watched]]/Table3[[#This Row],[GP]]</f>
        <v>0.90909090909090906</v>
      </c>
      <c r="F23">
        <f>COUNTIFS(DataRegularSeason20242025!$N$3:$N$1315,1,DataRegularSeason20242025!$D$3:$D$1315,$A23)</f>
        <v>5</v>
      </c>
      <c r="G23">
        <f>41-Table3[[#This Row],[GP_A]]</f>
        <v>36</v>
      </c>
      <c r="H23">
        <f>COUNTIFS(DataRegularSeason20242025!$E$3:$E$1315,$A23,DataRegularSeason20242025!$N$3:$N$1315,1)</f>
        <v>6</v>
      </c>
      <c r="I23">
        <f>41-Table3[[#This Row],[GP_H]]</f>
        <v>35</v>
      </c>
      <c r="J23">
        <f t="shared" si="0"/>
        <v>11</v>
      </c>
      <c r="K23">
        <f>82-Table3[[#This Row],[GP]]</f>
        <v>71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3</v>
      </c>
      <c r="Q23">
        <f>COUNTIFS(DataRegularSeason20242025!$D$3:$D$1315,$A23, DataRegularSeason20242025!$S$3:$S$1315, $A23,DataRegularSeason20242025!$M$3:$M$1315,"REG")</f>
        <v>3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3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 t="shared" si="2"/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0.45454545454545453</v>
      </c>
      <c r="AC23">
        <f>Table3[[#This Row],[W_A]]+Table3[[#This Row],[W_H]]</f>
        <v>5</v>
      </c>
      <c r="AD23">
        <f>Table3[[#This Row],[L_A]]+Table3[[#This Row],[L_H]]</f>
        <v>6</v>
      </c>
      <c r="AE23">
        <f>Table3[[#This Row],[RW_A]]+Table3[[#This Row],[RW_H]]</f>
        <v>4</v>
      </c>
      <c r="AF23">
        <f>Table3[[#This Row],[RL_A]]+Table3[[#This Row],[RL_H]]</f>
        <v>5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0.18181818181818182</v>
      </c>
      <c r="AO23">
        <f>(2*(Table3[[#This Row],[W_A]]+Table3[[#This Row],[W_H]]))+Table3[[#This Row],[OTL_A]]+Table3[[#This Row],[SOL_A]]+Table3[[#This Row],[OTL_H]]+Table3[[#This Row],[SOL_H]]</f>
        <v>11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23" s="10">
        <f>Table3[[#This Row],[PTS]]/(2*Table3[[#This Row],[GP]])</f>
        <v>0.5</v>
      </c>
      <c r="AR23" s="10">
        <f>Table3[[#This Row],[PTS2]]/(3*Table3[[#This Row],[GP]])</f>
        <v>0.45454545454545453</v>
      </c>
      <c r="AS23">
        <f>(2*Table3[[#This Row],[GR]])+Table3[[#This Row],[PTS]]</f>
        <v>153</v>
      </c>
      <c r="AT23">
        <f>(3*Table3[[#This Row],[GR]])+Table3[[#This Row],[PTS2]]</f>
        <v>228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111.81818181818181</v>
      </c>
      <c r="AW23" s="15" t="str">
        <f>_xlfn.CONCAT(TEXT(Table3[[#This Row],[W]], "0"), "-", TEXT(Table3[[#This Row],[RL]],"0"), "-", TEXT(Table3[[#This Row],[OTL]]+Table3[[#This Row],[SOL]], "0"))</f>
        <v>5-5-1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21</v>
      </c>
      <c r="AZ23">
        <f>SUMIF(DataRegularSeason20242025!$D$3:$D$1315,$A23, DataRegularSeason20242025!$K$3:$K$1315)</f>
        <v>26</v>
      </c>
      <c r="BA23">
        <f t="shared" si="3"/>
        <v>-5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20</v>
      </c>
      <c r="BD23">
        <f>SUMIF(DataRegularSeason20242025!$E$3:$E$1315,$A23,DataRegularSeason20242025!$J$3:$J$1315)</f>
        <v>18</v>
      </c>
      <c r="BE23">
        <f t="shared" si="4"/>
        <v>2</v>
      </c>
      <c r="BF23">
        <f t="shared" si="5"/>
        <v>41</v>
      </c>
      <c r="BG23">
        <f t="shared" si="6"/>
        <v>44</v>
      </c>
      <c r="BH23">
        <f t="shared" si="7"/>
        <v>-3</v>
      </c>
      <c r="BI23" s="12">
        <f>Table3[[#This Row],[GF]]/Table3[[#This Row],[GP]]</f>
        <v>3.7272727272727271</v>
      </c>
      <c r="BJ23" s="12">
        <f>Table3[[#This Row],[GA]]/Table3[[#This Row],[GP]]</f>
        <v>4</v>
      </c>
      <c r="BK23" s="12">
        <f>(Table3[[#This Row],[GF]]-Table3[[#This Row],[GA]])/Table3[[#This Row],[GP]]</f>
        <v>-0.27272727272727271</v>
      </c>
      <c r="BL23" s="42" t="str">
        <f>_xlfn.CONCAT(TEXT(Table3[[#This Row],[W_H]], "0"), "-", TEXT(Table3[[#This Row],[RL_H]],"0"), "-", TEXT(Table3[[#This Row],[OTL_H]]+Table3[[#This Row],[SOL_H]], "0"))</f>
        <v>3-2-1</v>
      </c>
      <c r="BM23" s="42" t="str">
        <f>_xlfn.CONCAT(TEXT(Table3[[#This Row],[W_A]], "0"), "-", TEXT(Table3[[#This Row],[RL_A]],"0"), "-", TEXT(Table3[[#This Row],[OTL_A]]+Table3[[#This Row],[SOL_A]], "0"))</f>
        <v>2-3-0</v>
      </c>
      <c r="BN23" s="42">
        <f>((2*(Table3[[#This Row],[W_H]]))+Table3[[#This Row],[OTL_H]]+Table3[[#This Row],[SOL_H]])/(2*Table3[[#This Row],[GP_H]])</f>
        <v>0.58333333333333337</v>
      </c>
      <c r="BO23" s="42">
        <f>((2*(Table3[[#This Row],[W_A]]))+Table3[[#This Row],[OTL_A]]+Table3[[#This Row],[SOL_A]])/(2*Table3[[#This Row],[GP_A]])</f>
        <v>0.4</v>
      </c>
      <c r="BP23" s="16">
        <f>(Table3[[#This Row],[W]]*$CX$3)+(Table3[[#This Row],[L]]*$CX$4)+(Table3[[#This Row],[GF]]*$CX$5)+(Table3[[#This Row],[GA]]*$CX$6)</f>
        <v>14.85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96.477272727272734</v>
      </c>
      <c r="BR23" s="16">
        <f>(Table3[[#This Row],[W]]*0.7) + ((Table3[[#This Row],[GF]] - Table3[[#This Row],[GA]])*0.25)+(Table3[[#This Row],[GF]]*0.1)+(Table3[[#This Row],[GA]]*0.05)+(Table3[[#This Row],[L]]*0.3)</f>
        <v>10.850000000000001</v>
      </c>
      <c r="BS23" s="16">
        <f>Table3[[#This Row],[TeamCost83]]/Table3[[#This Row],[GP]]</f>
        <v>0.98636363636363644</v>
      </c>
      <c r="BT23">
        <f>COUNTIFS(Table2[AwayTeam],$A23,Table2[PredictedWinner], $A23, Table2[GameIsOver], 1)</f>
        <v>2</v>
      </c>
      <c r="BU23">
        <f>COUNTIFS(Table2[HomeTeam],$A23,Table2[PredictedWinner], $A23, Table2[GameIsOver], 1)</f>
        <v>3</v>
      </c>
      <c r="BV23">
        <f t="shared" si="8"/>
        <v>5</v>
      </c>
      <c r="BW23">
        <f t="shared" si="9"/>
        <v>3</v>
      </c>
      <c r="BX23">
        <f t="shared" si="10"/>
        <v>3</v>
      </c>
      <c r="BY23">
        <f t="shared" si="11"/>
        <v>6</v>
      </c>
      <c r="BZ23">
        <f>Table3[[#This Row],[TimesPredictedWinner]]/Table3[[#This Row],[GP]]</f>
        <v>0.45454545454545453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0.23636363636363636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28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7</v>
      </c>
      <c r="I24">
        <f>41-Table3[[#This Row],[GP_H]]</f>
        <v>34</v>
      </c>
      <c r="J24">
        <f t="shared" si="0"/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4</v>
      </c>
      <c r="U24">
        <f>COUNTIFS(DataRegularSeason20242025!$E$3:$E$1315,$A24, DataRegularSeason20242025!$L$3:$L$1315, $A24,DataRegularSeason20242025!$N$3:$N$1315,1,DataRegularSeason20242025!$M$3:$M$1315,"REG")</f>
        <v>4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4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0-2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0.2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4" s="10">
        <f>Table3[[#This Row],[PTS]]/(2*Table3[[#This Row],[GP]])</f>
        <v>0.5</v>
      </c>
      <c r="AR24" s="10">
        <f>Table3[[#This Row],[PTS2]]/(3*Table3[[#This Row],[GP]])</f>
        <v>0.46666666666666667</v>
      </c>
      <c r="AS24">
        <f>(2*Table3[[#This Row],[GR]])+Table3[[#This Row],[PTS]]</f>
        <v>154</v>
      </c>
      <c r="AT24">
        <f>(3*Table3[[#This Row],[GR]])+Table3[[#This Row],[PTS2]]</f>
        <v>230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114.8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6</v>
      </c>
      <c r="AZ24">
        <f>SUMIF(DataRegularSeason20242025!$D$3:$D$1315,$A24, DataRegularSeason20242025!$K$3:$K$1315)</f>
        <v>11</v>
      </c>
      <c r="BA24">
        <f t="shared" si="3"/>
        <v>-5</v>
      </c>
      <c r="BB24">
        <f>COUNTIFS(DataRegularSeason20242025!$E$3:$E$1315,Table3[[#This Row],[Teams]],DataRegularSeason20242025!$J$3:$J$1315,0)</f>
        <v>1</v>
      </c>
      <c r="BC24">
        <f>SUMIF(DataRegularSeason20242025!$E$3:$E$1315,$A24,DataRegularSeason20242025!$K$3:$K$1315)</f>
        <v>24</v>
      </c>
      <c r="BD24">
        <f>SUMIF(DataRegularSeason20242025!$E$3:$E$1315,$A24,DataRegularSeason20242025!$J$3:$J$1315)</f>
        <v>20</v>
      </c>
      <c r="BE24">
        <f t="shared" si="4"/>
        <v>4</v>
      </c>
      <c r="BF24">
        <f t="shared" si="5"/>
        <v>30</v>
      </c>
      <c r="BG24">
        <f t="shared" si="6"/>
        <v>31</v>
      </c>
      <c r="BH24">
        <f t="shared" si="7"/>
        <v>-1</v>
      </c>
      <c r="BI24" s="12">
        <f>Table3[[#This Row],[GF]]/Table3[[#This Row],[GP]]</f>
        <v>3</v>
      </c>
      <c r="BJ24" s="12">
        <f>Table3[[#This Row],[GA]]/Table3[[#This Row],[GP]]</f>
        <v>3.1</v>
      </c>
      <c r="BK24" s="12">
        <f>(Table3[[#This Row],[GF]]-Table3[[#This Row],[GA]])/Table3[[#This Row],[GP]]</f>
        <v>-0.1</v>
      </c>
      <c r="BL24" s="42" t="str">
        <f>_xlfn.CONCAT(TEXT(Table3[[#This Row],[W_H]], "0"), "-", TEXT(Table3[[#This Row],[RL_H]],"0"), "-", TEXT(Table3[[#This Row],[OTL_H]]+Table3[[#This Row],[SOL_H]], "0"))</f>
        <v>4-2-1</v>
      </c>
      <c r="BM24" s="42" t="str">
        <f>_xlfn.CONCAT(TEXT(Table3[[#This Row],[W_A]], "0"), "-", TEXT(Table3[[#This Row],[RL_A]],"0"), "-", TEXT(Table3[[#This Row],[OTL_A]]+Table3[[#This Row],[SOL_A]], "0"))</f>
        <v>0-2-1</v>
      </c>
      <c r="BN24" s="42">
        <f>((2*(Table3[[#This Row],[W_H]]))+Table3[[#This Row],[OTL_H]]+Table3[[#This Row],[SOL_H]])/(2*Table3[[#This Row],[GP_H]])</f>
        <v>0.6428571428571429</v>
      </c>
      <c r="BO24" s="42">
        <f>((2*(Table3[[#This Row],[W_A]]))+Table3[[#This Row],[OTL_A]]+Table3[[#This Row],[SOL_A]])/(2*Table3[[#This Row],[GP_A]])</f>
        <v>0.16666666666666666</v>
      </c>
      <c r="BP24" s="16">
        <f>(Table3[[#This Row],[W]]*$CX$3)+(Table3[[#This Row],[L]]*$CX$4)+(Table3[[#This Row],[GF]]*$CX$5)+(Table3[[#This Row],[GA]]*$CX$6)</f>
        <v>11.4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</v>
      </c>
      <c r="BR24" s="16">
        <f>(Table3[[#This Row],[W]]*0.7) + ((Table3[[#This Row],[GF]] - Table3[[#This Row],[GA]])*0.25)+(Table3[[#This Row],[GF]]*0.1)+(Table3[[#This Row],[GA]]*0.05)+(Table3[[#This Row],[L]]*0.3)</f>
        <v>8.8999999999999986</v>
      </c>
      <c r="BS24" s="16">
        <f>Table3[[#This Row],[TeamCost83]]/Table3[[#This Row],[GP]]</f>
        <v>0.8899999999999999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4</v>
      </c>
      <c r="BV24">
        <f t="shared" si="8"/>
        <v>5</v>
      </c>
      <c r="BW24">
        <f t="shared" si="9"/>
        <v>2</v>
      </c>
      <c r="BX24">
        <f t="shared" si="10"/>
        <v>3</v>
      </c>
      <c r="BY24">
        <f t="shared" si="11"/>
        <v>5</v>
      </c>
      <c r="BZ24">
        <f>Table3[[#This Row],[TimesPredictedWinner]]/Table3[[#This Row],[GP]]</f>
        <v>0.5</v>
      </c>
      <c r="CC24" s="1">
        <v>45755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1.6</v>
      </c>
      <c r="CJ24">
        <f>SUMIFS(Table2[GamePredictionScore], Table2[HomeTeam], Table3[[#This Row],[Teams]])</f>
        <v>2.5</v>
      </c>
      <c r="CK24">
        <f>Table3[[#This Row],[Column4]]+Table3[[#This Row],[Column3]]</f>
        <v>4.0999999999999996</v>
      </c>
      <c r="CL24">
        <f>Table3[[#This Row],[Column5]]/Table3[[#This Row],[GP]]</f>
        <v>0.41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32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4</v>
      </c>
      <c r="E25" s="10">
        <f>Table3[[#This Row],[Watched]]/Table3[[#This Row],[GP]]</f>
        <v>0.44444444444444442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5</v>
      </c>
      <c r="I25">
        <f>41-Table3[[#This Row],[GP_H]]</f>
        <v>36</v>
      </c>
      <c r="J25">
        <f t="shared" si="0"/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3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1</v>
      </c>
      <c r="T25">
        <f>COUNTIFS(DataRegularSeason20242025!$E$3:$E$1315,$A25, DataRegularSeason20242025!$L$3:$L$1315, $A25, DataRegularSeason20242025!$N$3:$N$1315,1)</f>
        <v>3</v>
      </c>
      <c r="U25">
        <f>COUNTIFS(DataRegularSeason20242025!$E$3:$E$1315,$A25, DataRegularSeason20242025!$L$3:$L$1315, $A25,DataRegularSeason20242025!$N$3:$N$1315,1,DataRegularSeason20242025!$M$3:$M$1315,"REG")</f>
        <v>3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0.44444444444444442</v>
      </c>
      <c r="AC25">
        <f>Table3[[#This Row],[W_A]]+Table3[[#This Row],[W_H]]</f>
        <v>4</v>
      </c>
      <c r="AD25">
        <f>Table3[[#This Row],[L_A]]+Table3[[#This Row],[L_H]]</f>
        <v>5</v>
      </c>
      <c r="AE25">
        <f>Table3[[#This Row],[RW_A]]+Table3[[#This Row],[RW_H]]</f>
        <v>4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0.1111111111111111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5" s="10">
        <f>Table3[[#This Row],[PTS]]/(2*Table3[[#This Row],[GP]])</f>
        <v>0.5</v>
      </c>
      <c r="AR25" s="10">
        <f>Table3[[#This Row],[PTS2]]/(3*Table3[[#This Row],[GP]])</f>
        <v>0.48148148148148145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118.44444444444444</v>
      </c>
      <c r="AW25" s="15" t="str">
        <f>_xlfn.CONCAT(TEXT(Table3[[#This Row],[W]], "0"), "-", TEXT(Table3[[#This Row],[RL]],"0"), "-", TEXT(Table3[[#This Row],[OTL]]+Table3[[#This Row],[SOL]], "0"))</f>
        <v>4-4-1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13</v>
      </c>
      <c r="AZ25">
        <f>SUMIF(DataRegularSeason20242025!$D$3:$D$1315,$A25, DataRegularSeason20242025!$K$3:$K$1315)</f>
        <v>17</v>
      </c>
      <c r="BA25">
        <f t="shared" si="3"/>
        <v>-4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19</v>
      </c>
      <c r="BD25">
        <f>SUMIF(DataRegularSeason20242025!$E$3:$E$1315,$A25,DataRegularSeason20242025!$J$3:$J$1315)</f>
        <v>16</v>
      </c>
      <c r="BE25">
        <f t="shared" si="4"/>
        <v>3</v>
      </c>
      <c r="BF25">
        <f t="shared" si="5"/>
        <v>32</v>
      </c>
      <c r="BG25">
        <f t="shared" si="6"/>
        <v>33</v>
      </c>
      <c r="BH25">
        <f t="shared" si="7"/>
        <v>-1</v>
      </c>
      <c r="BI25" s="12">
        <f>Table3[[#This Row],[GF]]/Table3[[#This Row],[GP]]</f>
        <v>3.5555555555555554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-0.1111111111111111</v>
      </c>
      <c r="BL25" s="42" t="str">
        <f>_xlfn.CONCAT(TEXT(Table3[[#This Row],[W_H]], "0"), "-", TEXT(Table3[[#This Row],[RL_H]],"0"), "-", TEXT(Table3[[#This Row],[OTL_H]]+Table3[[#This Row],[SOL_H]], "0"))</f>
        <v>3-2-0</v>
      </c>
      <c r="BM25" s="42" t="str">
        <f>_xlfn.CONCAT(TEXT(Table3[[#This Row],[W_A]], "0"), "-", TEXT(Table3[[#This Row],[RL_A]],"0"), "-", TEXT(Table3[[#This Row],[OTL_A]]+Table3[[#This Row],[SOL_A]], "0"))</f>
        <v>1-2-1</v>
      </c>
      <c r="BN25" s="42">
        <f>((2*(Table3[[#This Row],[W_H]]))+Table3[[#This Row],[OTL_H]]+Table3[[#This Row],[SOL_H]])/(2*Table3[[#This Row],[GP_H]])</f>
        <v>0.6</v>
      </c>
      <c r="BO25" s="42">
        <f>((2*(Table3[[#This Row],[W_A]]))+Table3[[#This Row],[OTL_A]]+Table3[[#This Row],[SOL_A]])/(2*Table3[[#This Row],[GP_A]])</f>
        <v>0.375</v>
      </c>
      <c r="BP25" s="16">
        <f>(Table3[[#This Row],[W]]*$CX$3)+(Table3[[#This Row],[L]]*$CX$4)+(Table3[[#This Row],[GF]]*$CX$5)+(Table3[[#This Row],[GA]]*$CX$6)</f>
        <v>11.600000000000001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89.044444444444437</v>
      </c>
      <c r="BR25" s="16">
        <f>(Table3[[#This Row],[W]]*0.7) + ((Table3[[#This Row],[GF]] - Table3[[#This Row],[GA]])*0.25)+(Table3[[#This Row],[GF]]*0.1)+(Table3[[#This Row],[GA]]*0.05)+(Table3[[#This Row],[L]]*0.3)</f>
        <v>8.9</v>
      </c>
      <c r="BS25" s="16">
        <f>Table3[[#This Row],[TeamCost83]]/Table3[[#This Row],[GP]]</f>
        <v>0.98888888888888893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1</v>
      </c>
      <c r="BV25">
        <f t="shared" si="8"/>
        <v>1</v>
      </c>
      <c r="BW25">
        <f t="shared" si="9"/>
        <v>4</v>
      </c>
      <c r="BX25">
        <f t="shared" si="10"/>
        <v>4</v>
      </c>
      <c r="BY25">
        <f t="shared" si="11"/>
        <v>8</v>
      </c>
      <c r="BZ25">
        <f>Table3[[#This Row],[TimesPredictedWinner]]/Table3[[#This Row],[GP]]</f>
        <v>0.1111111111111111</v>
      </c>
      <c r="CB25">
        <v>1983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2.5</v>
      </c>
      <c r="CJ25">
        <f>SUMIFS(Table2[GamePredictionScore], Table2[HomeTeam], Table3[[#This Row],[Teams]])</f>
        <v>2.9</v>
      </c>
      <c r="CK25">
        <f>Table3[[#This Row],[Column4]]+Table3[[#This Row],[Column3]]</f>
        <v>5.4</v>
      </c>
      <c r="CL25">
        <f>Table3[[#This Row],[Column5]]/Table3[[#This Row],[GP]]</f>
        <v>0.60000000000000009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13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0.81818181818181823</v>
      </c>
      <c r="F26">
        <f>COUNTIFS(DataRegularSeason20242025!$N$3:$N$1315,1,DataRegularSeason20242025!$D$3:$D$1315,$A26)</f>
        <v>5</v>
      </c>
      <c r="G26">
        <f>41-Table3[[#This Row],[GP_A]]</f>
        <v>36</v>
      </c>
      <c r="H26">
        <f>COUNTIFS(DataRegularSeason20242025!$E$3:$E$1315,$A26,DataRegularSeason20242025!$N$3:$N$1315,1)</f>
        <v>6</v>
      </c>
      <c r="I26">
        <f>41-Table3[[#This Row],[GP_H]]</f>
        <v>35</v>
      </c>
      <c r="J26">
        <f t="shared" si="0"/>
        <v>11</v>
      </c>
      <c r="K26">
        <f>82-Table3[[#This Row],[GP]]</f>
        <v>71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4</v>
      </c>
      <c r="Q26">
        <f>COUNTIFS(DataRegularSeason20242025!$D$3:$D$1315,$A26, DataRegularSeason20242025!$S$3:$S$1315, $A26,DataRegularSeason20242025!$M$3:$M$1315,"REG")</f>
        <v>4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4</v>
      </c>
      <c r="U26">
        <f>COUNTIFS(DataRegularSeason20242025!$E$3:$E$1315,$A26, DataRegularSeason20242025!$L$3:$L$1315, $A26,DataRegularSeason20242025!$N$3:$N$1315,1,DataRegularSeason20242025!$M$3:$M$1315,"REG")</f>
        <v>4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1</v>
      </c>
      <c r="AB26">
        <f>Table3[[#This Row],[W]]/MAX(1,Table3[[#This Row],[W]]+Table3[[#This Row],[L]])</f>
        <v>0.45454545454545453</v>
      </c>
      <c r="AC26">
        <f>Table3[[#This Row],[W_A]]+Table3[[#This Row],[W_H]]</f>
        <v>5</v>
      </c>
      <c r="AD26">
        <f>Table3[[#This Row],[L_A]]+Table3[[#This Row],[L_H]]</f>
        <v>6</v>
      </c>
      <c r="AE26">
        <f>Table3[[#This Row],[RW_A]]+Table3[[#This Row],[RW_H]]</f>
        <v>5</v>
      </c>
      <c r="AF26">
        <f>Table3[[#This Row],[RL_A]]+Table3[[#This Row],[RL_H]]</f>
        <v>5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1</v>
      </c>
      <c r="AK26" s="15" t="str">
        <f>_xlfn.CONCAT(TEXT(Table3[[#This Row],[OTW]]+Table3[[#This Row],[SOW]], "0"), "-", TEXT(Table3[[#This Row],[OTL]]+Table3[[#This Row],[SOL]],"0"))</f>
        <v>0-1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9.0909090909090912E-2</v>
      </c>
      <c r="AO26">
        <f>(2*(Table3[[#This Row],[W_A]]+Table3[[#This Row],[W_H]]))+Table3[[#This Row],[OTL_A]]+Table3[[#This Row],[SOL_A]]+Table3[[#This Row],[OTL_H]]+Table3[[#This Row],[SOL_H]]</f>
        <v>11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6" s="10">
        <f>Table3[[#This Row],[PTS]]/(2*Table3[[#This Row],[GP]])</f>
        <v>0.5</v>
      </c>
      <c r="AR26" s="10">
        <f>Table3[[#This Row],[PTS2]]/(3*Table3[[#This Row],[GP]])</f>
        <v>0.48484848484848486</v>
      </c>
      <c r="AS26">
        <f>(2*Table3[[#This Row],[GR]])+Table3[[#This Row],[PTS]]</f>
        <v>153</v>
      </c>
      <c r="AT26">
        <f>(3*Table3[[#This Row],[GR]])+Table3[[#This Row],[PTS2]]</f>
        <v>229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119.27272727272728</v>
      </c>
      <c r="AW26" s="15" t="str">
        <f>_xlfn.CONCAT(TEXT(Table3[[#This Row],[W]], "0"), "-", TEXT(Table3[[#This Row],[RL]],"0"), "-", TEXT(Table3[[#This Row],[OTL]]+Table3[[#This Row],[SOL]], "0"))</f>
        <v>5-5-1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8</v>
      </c>
      <c r="AZ26">
        <f>SUMIF(DataRegularSeason20242025!$D$3:$D$1315,$A26, DataRegularSeason20242025!$K$3:$K$1315)</f>
        <v>18</v>
      </c>
      <c r="BA26">
        <f t="shared" si="3"/>
        <v>-10</v>
      </c>
      <c r="BB26">
        <f>COUNTIFS(DataRegularSeason20242025!$E$3:$E$1315,Table3[[#This Row],[Teams]],DataRegularSeason20242025!$J$3:$J$1315,0)</f>
        <v>1</v>
      </c>
      <c r="BC26">
        <f>SUMIF(DataRegularSeason20242025!$E$3:$E$1315,$A26,DataRegularSeason20242025!$K$3:$K$1315)</f>
        <v>19</v>
      </c>
      <c r="BD26">
        <f>SUMIF(DataRegularSeason20242025!$E$3:$E$1315,$A26,DataRegularSeason20242025!$J$3:$J$1315)</f>
        <v>13</v>
      </c>
      <c r="BE26">
        <f t="shared" si="4"/>
        <v>6</v>
      </c>
      <c r="BF26">
        <f t="shared" si="5"/>
        <v>27</v>
      </c>
      <c r="BG26">
        <f t="shared" si="6"/>
        <v>31</v>
      </c>
      <c r="BH26">
        <f t="shared" si="7"/>
        <v>-4</v>
      </c>
      <c r="BI26" s="12">
        <f>Table3[[#This Row],[GF]]/Table3[[#This Row],[GP]]</f>
        <v>2.4545454545454546</v>
      </c>
      <c r="BJ26" s="12">
        <f>Table3[[#This Row],[GA]]/Table3[[#This Row],[GP]]</f>
        <v>2.8181818181818183</v>
      </c>
      <c r="BK26" s="12">
        <f>(Table3[[#This Row],[GF]]-Table3[[#This Row],[GA]])/Table3[[#This Row],[GP]]</f>
        <v>-0.36363636363636365</v>
      </c>
      <c r="BL26" s="42" t="str">
        <f>_xlfn.CONCAT(TEXT(Table3[[#This Row],[W_H]], "0"), "-", TEXT(Table3[[#This Row],[RL_H]],"0"), "-", TEXT(Table3[[#This Row],[OTL_H]]+Table3[[#This Row],[SOL_H]], "0"))</f>
        <v>4-1-1</v>
      </c>
      <c r="BM26" s="42" t="str">
        <f>_xlfn.CONCAT(TEXT(Table3[[#This Row],[W_A]], "0"), "-", TEXT(Table3[[#This Row],[RL_A]],"0"), "-", TEXT(Table3[[#This Row],[OTL_A]]+Table3[[#This Row],[SOL_A]], "0"))</f>
        <v>1-4-0</v>
      </c>
      <c r="BN26" s="42">
        <f>((2*(Table3[[#This Row],[W_H]]))+Table3[[#This Row],[OTL_H]]+Table3[[#This Row],[SOL_H]])/(2*Table3[[#This Row],[GP_H]])</f>
        <v>0.75</v>
      </c>
      <c r="BO26" s="42">
        <f>((2*(Table3[[#This Row],[W_A]]))+Table3[[#This Row],[OTL_A]]+Table3[[#This Row],[SOL_A]])/(2*Table3[[#This Row],[GP_A]])</f>
        <v>0.2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67.73181818181817</v>
      </c>
      <c r="BR26" s="16">
        <f>(Table3[[#This Row],[W]]*0.7) + ((Table3[[#This Row],[GF]] - Table3[[#This Row],[GA]])*0.25)+(Table3[[#This Row],[GF]]*0.1)+(Table3[[#This Row],[GA]]*0.05)+(Table3[[#This Row],[L]]*0.3)</f>
        <v>8.5500000000000007</v>
      </c>
      <c r="BS26" s="16">
        <f>Table3[[#This Row],[TeamCost83]]/Table3[[#This Row],[GP]]</f>
        <v>0.77727272727272734</v>
      </c>
      <c r="BT26">
        <f>COUNTIFS(Table2[AwayTeam],$A26,Table2[PredictedWinner], $A26, Table2[GameIsOver], 1)</f>
        <v>1</v>
      </c>
      <c r="BU26">
        <f>COUNTIFS(Table2[HomeTeam],$A26,Table2[PredictedWinner], $A26, Table2[GameIsOver], 1)</f>
        <v>3</v>
      </c>
      <c r="BV26">
        <f t="shared" si="8"/>
        <v>4</v>
      </c>
      <c r="BW26">
        <f t="shared" si="9"/>
        <v>4</v>
      </c>
      <c r="BX26">
        <f t="shared" si="10"/>
        <v>3</v>
      </c>
      <c r="BY26">
        <f t="shared" si="11"/>
        <v>7</v>
      </c>
      <c r="BZ26">
        <f>Table3[[#This Row],[TimesPredictedWinner]]/Table3[[#This Row],[GP]]</f>
        <v>0.36363636363636365</v>
      </c>
      <c r="CB26">
        <v>2025</v>
      </c>
      <c r="CD26" s="1">
        <v>45752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2.7</v>
      </c>
      <c r="CJ26">
        <f>SUMIFS(Table2[GamePredictionScore], Table2[HomeTeam], Table3[[#This Row],[Teams]])</f>
        <v>2.6</v>
      </c>
      <c r="CK26">
        <f>Table3[[#This Row],[Column4]]+Table3[[#This Row],[Column3]]</f>
        <v>5.3000000000000007</v>
      </c>
      <c r="CL26">
        <f>Table3[[#This Row],[Column5]]/Table3[[#This Row],[GP]]</f>
        <v>0.48181818181818187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34</v>
      </c>
      <c r="B27" t="s">
        <v>90</v>
      </c>
      <c r="C27" t="s">
        <v>88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9</v>
      </c>
      <c r="E27" s="10">
        <f>Table3[[#This Row],[Watched]]/Table3[[#This Row],[GP]]</f>
        <v>0.81818181818181823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7</v>
      </c>
      <c r="I27">
        <f>41-Table3[[#This Row],[GP_H]]</f>
        <v>34</v>
      </c>
      <c r="J27">
        <f t="shared" si="0"/>
        <v>11</v>
      </c>
      <c r="K27">
        <f>82-Table3[[#This Row],[GP]]</f>
        <v>71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3</v>
      </c>
      <c r="Q27">
        <f>COUNTIFS(DataRegularSeason20242025!$D$3:$D$1315,$A27, DataRegularSeason20242025!$S$3:$S$1315, $A27,DataRegularSeason20242025!$M$3:$M$1315,"REG")</f>
        <v>2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3</v>
      </c>
      <c r="U27">
        <f>COUNTIFS(DataRegularSeason20242025!$E$3:$E$1315,$A27, DataRegularSeason20242025!$L$3:$L$1315, $A27,DataRegularSeason20242025!$N$3:$N$1315,1,DataRegularSeason20242025!$M$3:$M$1315,"REG")</f>
        <v>2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1</v>
      </c>
      <c r="X27">
        <f t="shared" si="2"/>
        <v>4</v>
      </c>
      <c r="Y27">
        <f>COUNTIFS(DataRegularSeason20242025!$E$3:$E$1315,$A27, DataRegularSeason20242025!$S$3:$S$1315, $A27,DataRegularSeason20242025!$M$3:$M$1315,"REG")</f>
        <v>3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0.36363636363636365</v>
      </c>
      <c r="AC27">
        <f>Table3[[#This Row],[W_A]]+Table3[[#This Row],[W_H]]</f>
        <v>4</v>
      </c>
      <c r="AD27">
        <f>Table3[[#This Row],[L_A]]+Table3[[#This Row],[L_H]]</f>
        <v>7</v>
      </c>
      <c r="AE27">
        <f>Table3[[#This Row],[RW_A]]+Table3[[#This Row],[RW_H]]</f>
        <v>3</v>
      </c>
      <c r="AF27">
        <f>Table3[[#This Row],[RL_A]]+Table3[[#This Row],[RL_H]]</f>
        <v>5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1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1-2</v>
      </c>
      <c r="AL27">
        <f>SUM(Table3[[#This Row],[OTW]],Table3[[#This Row],[OTL]],Table3[[#This Row],[SOW]],Table3[[#This Row],[SOL]])</f>
        <v>3</v>
      </c>
      <c r="AM27">
        <f>(Table3[[#This Row],[OTW]]+Table3[[#This Row],[SOW]])/IF(Table3[[#This Row],[Total_ExtraTimes]]=0,1,Table3[[#This Row],[Total_ExtraTimes]])</f>
        <v>0.33333333333333331</v>
      </c>
      <c r="AN27">
        <f>Table3[[#This Row],[Total_ExtraTimes]]/MAX(1,Table3[[#This Row],[GP]])</f>
        <v>0.27272727272727271</v>
      </c>
      <c r="AO27">
        <f>(2*(Table3[[#This Row],[W_A]]+Table3[[#This Row],[W_H]]))+Table3[[#This Row],[OTL_A]]+Table3[[#This Row],[SOL_A]]+Table3[[#This Row],[OTL_H]]+Table3[[#This Row],[SOL_H]]</f>
        <v>10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7" s="10">
        <f>Table3[[#This Row],[PTS]]/(2*Table3[[#This Row],[GP]])</f>
        <v>0.45454545454545453</v>
      </c>
      <c r="AR27" s="10">
        <f>Table3[[#This Row],[PTS2]]/(3*Table3[[#This Row],[GP]])</f>
        <v>0.39393939393939392</v>
      </c>
      <c r="AS27">
        <f>(2*Table3[[#This Row],[GR]])+Table3[[#This Row],[PTS]]</f>
        <v>152</v>
      </c>
      <c r="AT27">
        <f>(3*Table3[[#This Row],[GR]])+Table3[[#This Row],[PTS2]]</f>
        <v>226</v>
      </c>
      <c r="AU27">
        <f>Table3[[#This Row],[PTS]]+(2 * Table3[[#This Row],[GR]] * Table3[[#This Row],[PTS%]])</f>
        <v>74.545454545454547</v>
      </c>
      <c r="AV27">
        <f>Table3[[#This Row],[PTS2]]+(3 * Table3[[#This Row],[GR]] * Table3[[#This Row],[PTS%2]])</f>
        <v>96.909090909090907</v>
      </c>
      <c r="AW27" s="15" t="str">
        <f>_xlfn.CONCAT(TEXT(Table3[[#This Row],[W]], "0"), "-", TEXT(Table3[[#This Row],[RL]],"0"), "-", TEXT(Table3[[#This Row],[OTL]]+Table3[[#This Row],[SOL]], "0"))</f>
        <v>4-5-2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11</v>
      </c>
      <c r="AZ27">
        <f>SUMIF(DataRegularSeason20242025!$D$3:$D$1315,$A27, DataRegularSeason20242025!$K$3:$K$1315)</f>
        <v>15</v>
      </c>
      <c r="BA27">
        <f t="shared" si="3"/>
        <v>-4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17</v>
      </c>
      <c r="BD27">
        <f>SUMIF(DataRegularSeason20242025!$E$3:$E$1315,$A27,DataRegularSeason20242025!$J$3:$J$1315)</f>
        <v>22</v>
      </c>
      <c r="BE27">
        <f t="shared" si="4"/>
        <v>-5</v>
      </c>
      <c r="BF27">
        <f t="shared" si="5"/>
        <v>28</v>
      </c>
      <c r="BG27">
        <f t="shared" si="6"/>
        <v>37</v>
      </c>
      <c r="BH27">
        <f t="shared" si="7"/>
        <v>-9</v>
      </c>
      <c r="BI27" s="12">
        <f>Table3[[#This Row],[GF]]/Table3[[#This Row],[GP]]</f>
        <v>2.5454545454545454</v>
      </c>
      <c r="BJ27" s="12">
        <f>Table3[[#This Row],[GA]]/Table3[[#This Row],[GP]]</f>
        <v>3.3636363636363638</v>
      </c>
      <c r="BK27" s="12">
        <f>(Table3[[#This Row],[GF]]-Table3[[#This Row],[GA]])/Table3[[#This Row],[GP]]</f>
        <v>-0.81818181818181823</v>
      </c>
      <c r="BL27" s="42" t="str">
        <f>_xlfn.CONCAT(TEXT(Table3[[#This Row],[W_H]], "0"), "-", TEXT(Table3[[#This Row],[RL_H]],"0"), "-", TEXT(Table3[[#This Row],[OTL_H]]+Table3[[#This Row],[SOL_H]], "0"))</f>
        <v>3-3-1</v>
      </c>
      <c r="BM27" s="42" t="str">
        <f>_xlfn.CONCAT(TEXT(Table3[[#This Row],[W_A]], "0"), "-", TEXT(Table3[[#This Row],[RL_A]],"0"), "-", TEXT(Table3[[#This Row],[OTL_A]]+Table3[[#This Row],[SOL_A]], "0"))</f>
        <v>1-2-1</v>
      </c>
      <c r="BN27" s="42">
        <f>((2*(Table3[[#This Row],[W_H]]))+Table3[[#This Row],[OTL_H]]+Table3[[#This Row],[SOL_H]])/(2*Table3[[#This Row],[GP_H]])</f>
        <v>0.5</v>
      </c>
      <c r="BO27" s="42">
        <f>((2*(Table3[[#This Row],[W_A]]))+Table3[[#This Row],[OTL_A]]+Table3[[#This Row],[SOL_A]])/(2*Table3[[#This Row],[GP_A]])</f>
        <v>0.375</v>
      </c>
      <c r="BP27" s="16">
        <f>(Table3[[#This Row],[W]]*$CX$3)+(Table3[[#This Row],[L]]*$CX$4)+(Table3[[#This Row],[GF]]*$CX$5)+(Table3[[#This Row],[GA]]*$CX$6)</f>
        <v>12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73.80495867768596</v>
      </c>
      <c r="BR27" s="16">
        <f>(Table3[[#This Row],[W]]*0.7) + ((Table3[[#This Row],[GF]] - Table3[[#This Row],[GA]])*0.25)+(Table3[[#This Row],[GF]]*0.1)+(Table3[[#This Row],[GA]]*0.05)+(Table3[[#This Row],[L]]*0.3)</f>
        <v>7.3000000000000007</v>
      </c>
      <c r="BS27" s="16">
        <f>Table3[[#This Row],[TeamCost83]]/Table3[[#This Row],[GP]]</f>
        <v>0.66363636363636369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3</v>
      </c>
      <c r="BV27">
        <f t="shared" si="8"/>
        <v>3</v>
      </c>
      <c r="BW27">
        <f t="shared" si="9"/>
        <v>4</v>
      </c>
      <c r="BX27">
        <f t="shared" si="10"/>
        <v>4</v>
      </c>
      <c r="BY27">
        <f t="shared" si="11"/>
        <v>8</v>
      </c>
      <c r="BZ27">
        <f>Table3[[#This Row],[TimesPredictedWinner]]/Table3[[#This Row],[GP]]</f>
        <v>0.27272727272727271</v>
      </c>
      <c r="CC27" s="1">
        <v>45743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2.6</v>
      </c>
      <c r="CJ27">
        <f>SUMIFS(Table2[GamePredictionScore], Table2[HomeTeam], Table3[[#This Row],[Teams]])</f>
        <v>4.2000000000000011</v>
      </c>
      <c r="CK27">
        <f>Table3[[#This Row],[Column4]]+Table3[[#This Row],[Column3]]</f>
        <v>6.8000000000000007</v>
      </c>
      <c r="CL27">
        <f>Table3[[#This Row],[Column5]]/Table3[[#This Row],[GP]]</f>
        <v>0.61818181818181828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15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8</v>
      </c>
      <c r="E28" s="10">
        <f>Table3[[#This Row],[Watched]]/Table3[[#This Row],[GP]]</f>
        <v>0.66666666666666663</v>
      </c>
      <c r="F28">
        <f>COUNTIFS(DataRegularSeason20242025!$N$3:$N$1315,1,DataRegularSeason20242025!$D$3:$D$1315,$A28)</f>
        <v>5</v>
      </c>
      <c r="G28">
        <f>41-Table3[[#This Row],[GP_A]]</f>
        <v>36</v>
      </c>
      <c r="H28">
        <f>COUNTIFS(DataRegularSeason20242025!$E$3:$E$1315,$A28,DataRegularSeason20242025!$N$3:$N$1315,1)</f>
        <v>7</v>
      </c>
      <c r="I28">
        <f>41-Table3[[#This Row],[GP_H]]</f>
        <v>34</v>
      </c>
      <c r="J28">
        <f t="shared" si="0"/>
        <v>12</v>
      </c>
      <c r="K28">
        <f>82-Table3[[#This Row],[GP]]</f>
        <v>70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4</v>
      </c>
      <c r="Q28">
        <f>COUNTIFS(DataRegularSeason20242025!$D$3:$D$1315,$A28, DataRegularSeason20242025!$S$3:$S$1315, $A28,DataRegularSeason20242025!$M$3:$M$1315,"REG")</f>
        <v>4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4</v>
      </c>
      <c r="U28">
        <f>COUNTIFS(DataRegularSeason20242025!$E$3:$E$1315,$A28, DataRegularSeason20242025!$L$3:$L$1315, $A28,DataRegularSeason20242025!$N$3:$N$1315,1,DataRegularSeason20242025!$M$3:$M$1315,"REG")</f>
        <v>3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3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0.41666666666666669</v>
      </c>
      <c r="AC28">
        <f>Table3[[#This Row],[W_A]]+Table3[[#This Row],[W_H]]</f>
        <v>5</v>
      </c>
      <c r="AD28">
        <f>Table3[[#This Row],[L_A]]+Table3[[#This Row],[L_H]]</f>
        <v>7</v>
      </c>
      <c r="AE28">
        <f>Table3[[#This Row],[RW_A]]+Table3[[#This Row],[RW_H]]</f>
        <v>4</v>
      </c>
      <c r="AF28">
        <f>Table3[[#This Row],[RL_A]]+Table3[[#This Row],[RL_H]]</f>
        <v>7</v>
      </c>
      <c r="AG28">
        <f>Table3[[#This Row],[OTW_A]]+Table3[[#This Row],[OTW_H]]</f>
        <v>1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8.3333333333333329E-2</v>
      </c>
      <c r="AO28">
        <f>(2*(Table3[[#This Row],[W_A]]+Table3[[#This Row],[W_H]]))+Table3[[#This Row],[OTL_A]]+Table3[[#This Row],[SOL_A]]+Table3[[#This Row],[OTL_H]]+Table3[[#This Row],[SOL_H]]</f>
        <v>10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8" s="10">
        <f>Table3[[#This Row],[PTS]]/(2*Table3[[#This Row],[GP]])</f>
        <v>0.41666666666666669</v>
      </c>
      <c r="AR28" s="10">
        <f>Table3[[#This Row],[PTS2]]/(3*Table3[[#This Row],[GP]])</f>
        <v>0.3888888888888889</v>
      </c>
      <c r="AS28">
        <f>(2*Table3[[#This Row],[GR]])+Table3[[#This Row],[PTS]]</f>
        <v>150</v>
      </c>
      <c r="AT28">
        <f>(3*Table3[[#This Row],[GR]])+Table3[[#This Row],[PTS2]]</f>
        <v>224</v>
      </c>
      <c r="AU28">
        <f>Table3[[#This Row],[PTS]]+(2 * Table3[[#This Row],[GR]] * Table3[[#This Row],[PTS%]])</f>
        <v>68.333333333333343</v>
      </c>
      <c r="AV28">
        <f>Table3[[#This Row],[PTS2]]+(3 * Table3[[#This Row],[GR]] * Table3[[#This Row],[PTS%2]])</f>
        <v>95.666666666666671</v>
      </c>
      <c r="AW28" s="15" t="str">
        <f>_xlfn.CONCAT(TEXT(Table3[[#This Row],[W]], "0"), "-", TEXT(Table3[[#This Row],[RL]],"0"), "-", TEXT(Table3[[#This Row],[OTL]]+Table3[[#This Row],[SOL]], "0"))</f>
        <v>5-7-0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13</v>
      </c>
      <c r="AZ28">
        <f>SUMIF(DataRegularSeason20242025!$D$3:$D$1315,$A28, DataRegularSeason20242025!$K$3:$K$1315)</f>
        <v>21</v>
      </c>
      <c r="BA28">
        <f t="shared" si="3"/>
        <v>-8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26</v>
      </c>
      <c r="BD28">
        <f>SUMIF(DataRegularSeason20242025!$E$3:$E$1315,$A28,DataRegularSeason20242025!$J$3:$J$1315)</f>
        <v>23</v>
      </c>
      <c r="BE28">
        <f t="shared" si="4"/>
        <v>3</v>
      </c>
      <c r="BF28">
        <f t="shared" si="5"/>
        <v>39</v>
      </c>
      <c r="BG28">
        <f t="shared" si="6"/>
        <v>44</v>
      </c>
      <c r="BH28">
        <f t="shared" si="7"/>
        <v>-5</v>
      </c>
      <c r="BI28" s="12">
        <f>Table3[[#This Row],[GF]]/Table3[[#This Row],[GP]]</f>
        <v>3.25</v>
      </c>
      <c r="BJ28" s="12">
        <f>Table3[[#This Row],[GA]]/Table3[[#This Row],[GP]]</f>
        <v>3.6666666666666665</v>
      </c>
      <c r="BK28" s="12">
        <f>(Table3[[#This Row],[GF]]-Table3[[#This Row],[GA]])/Table3[[#This Row],[GP]]</f>
        <v>-0.41666666666666669</v>
      </c>
      <c r="BL28" s="42" t="str">
        <f>_xlfn.CONCAT(TEXT(Table3[[#This Row],[W_H]], "0"), "-", TEXT(Table3[[#This Row],[RL_H]],"0"), "-", TEXT(Table3[[#This Row],[OTL_H]]+Table3[[#This Row],[SOL_H]], "0"))</f>
        <v>4-3-0</v>
      </c>
      <c r="BM28" s="42" t="str">
        <f>_xlfn.CONCAT(TEXT(Table3[[#This Row],[W_A]], "0"), "-", TEXT(Table3[[#This Row],[RL_A]],"0"), "-", TEXT(Table3[[#This Row],[OTL_A]]+Table3[[#This Row],[SOL_A]], "0"))</f>
        <v>1-4-0</v>
      </c>
      <c r="BN28" s="42">
        <f>((2*(Table3[[#This Row],[W_H]]))+Table3[[#This Row],[OTL_H]]+Table3[[#This Row],[SOL_H]])/(2*Table3[[#This Row],[GP_H]])</f>
        <v>0.5714285714285714</v>
      </c>
      <c r="BO28" s="42">
        <f>((2*(Table3[[#This Row],[W_A]]))+Table3[[#This Row],[OTL_A]]+Table3[[#This Row],[SOL_A]])/(2*Table3[[#This Row],[GP_A]])</f>
        <v>0.2</v>
      </c>
      <c r="BP28" s="16">
        <f>(Table3[[#This Row],[W]]*$CX$3)+(Table3[[#This Row],[L]]*$CX$4)+(Table3[[#This Row],[GF]]*$CX$5)+(Table3[[#This Row],[GA]]*$CX$6)</f>
        <v>14.85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87.511111111111106</v>
      </c>
      <c r="BR28" s="16">
        <f>(Table3[[#This Row],[W]]*0.7) + ((Table3[[#This Row],[GF]] - Table3[[#This Row],[GA]])*0.25)+(Table3[[#This Row],[GF]]*0.1)+(Table3[[#This Row],[GA]]*0.05)+(Table3[[#This Row],[L]]*0.3)</f>
        <v>10.450000000000001</v>
      </c>
      <c r="BS28" s="16">
        <f>Table3[[#This Row],[TeamCost83]]/Table3[[#This Row],[GP]]</f>
        <v>0.87083333333333346</v>
      </c>
      <c r="BT28">
        <f>COUNTIFS(Table2[AwayTeam],$A28,Table2[PredictedWinner], $A28, Table2[GameIsOver], 1)</f>
        <v>1</v>
      </c>
      <c r="BU28">
        <f>COUNTIFS(Table2[HomeTeam],$A28,Table2[PredictedWinner], $A28, Table2[GameIsOver], 1)</f>
        <v>4</v>
      </c>
      <c r="BV28">
        <f t="shared" si="8"/>
        <v>5</v>
      </c>
      <c r="BW28">
        <f t="shared" si="9"/>
        <v>4</v>
      </c>
      <c r="BX28">
        <f t="shared" si="10"/>
        <v>3</v>
      </c>
      <c r="BY28">
        <f t="shared" si="11"/>
        <v>7</v>
      </c>
      <c r="BZ28">
        <f>Table3[[#This Row],[TimesPredictedWinner]]/Table3[[#This Row],[GP]]</f>
        <v>0.41666666666666669</v>
      </c>
      <c r="CB28">
        <v>2011</v>
      </c>
      <c r="CC28" s="1">
        <v>45752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4.3</v>
      </c>
      <c r="CK28">
        <f>Table3[[#This Row],[Column4]]+Table3[[#This Row],[Column3]]</f>
        <v>6.8</v>
      </c>
      <c r="CL28">
        <f>Table3[[#This Row],[Column5]]/Table3[[#This Row],[GP]]</f>
        <v>0.56666666666666665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36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0.54545454545454541</v>
      </c>
      <c r="F29">
        <f>COUNTIFS(DataRegularSeason20242025!$N$3:$N$1315,1,DataRegularSeason20242025!$D$3:$D$1315,$A29)</f>
        <v>6</v>
      </c>
      <c r="G29">
        <f>41-Table3[[#This Row],[GP_A]]</f>
        <v>35</v>
      </c>
      <c r="H29">
        <f>COUNTIFS(DataRegularSeason20242025!$E$3:$E$1315,$A29,DataRegularSeason20242025!$N$3:$N$1315,1)</f>
        <v>5</v>
      </c>
      <c r="I29">
        <f>41-Table3[[#This Row],[GP_H]]</f>
        <v>36</v>
      </c>
      <c r="J29">
        <f t="shared" si="0"/>
        <v>11</v>
      </c>
      <c r="K29">
        <f>82-Table3[[#This Row],[GP]]</f>
        <v>71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4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1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 t="shared" si="2"/>
        <v>4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2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0.27272727272727271</v>
      </c>
      <c r="AC29">
        <f>Table3[[#This Row],[W_A]]+Table3[[#This Row],[W_H]]</f>
        <v>3</v>
      </c>
      <c r="AD29">
        <f>Table3[[#This Row],[L_A]]+Table3[[#This Row],[L_H]]</f>
        <v>8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0</v>
      </c>
      <c r="AH29">
        <f>Table3[[#This Row],[OTL_A]]+Table3[[#This Row],[OTL_H]]</f>
        <v>3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1-3</v>
      </c>
      <c r="AL29">
        <f>SUM(Table3[[#This Row],[OTW]],Table3[[#This Row],[OTL]],Table3[[#This Row],[SOW]],Table3[[#This Row],[SOL]])</f>
        <v>4</v>
      </c>
      <c r="AM29">
        <f>(Table3[[#This Row],[OTW]]+Table3[[#This Row],[SOW]])/IF(Table3[[#This Row],[Total_ExtraTimes]]=0,1,Table3[[#This Row],[Total_ExtraTimes]])</f>
        <v>0.25</v>
      </c>
      <c r="AN29">
        <f>Table3[[#This Row],[Total_ExtraTimes]]/MAX(1,Table3[[#This Row],[GP]])</f>
        <v>0.36363636363636365</v>
      </c>
      <c r="AO29">
        <f>(2*(Table3[[#This Row],[W_A]]+Table3[[#This Row],[W_H]]))+Table3[[#This Row],[OTL_A]]+Table3[[#This Row],[SOL_A]]+Table3[[#This Row],[OTL_H]]+Table3[[#This Row],[SOL_H]]</f>
        <v>9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9" s="10">
        <f>Table3[[#This Row],[PTS]]/(2*Table3[[#This Row],[GP]])</f>
        <v>0.40909090909090912</v>
      </c>
      <c r="AR29" s="10">
        <f>Table3[[#This Row],[PTS2]]/(3*Table3[[#This Row],[GP]])</f>
        <v>0.33333333333333331</v>
      </c>
      <c r="AS29">
        <f>(2*Table3[[#This Row],[GR]])+Table3[[#This Row],[PTS]]</f>
        <v>151</v>
      </c>
      <c r="AT29">
        <f>(3*Table3[[#This Row],[GR]])+Table3[[#This Row],[PTS2]]</f>
        <v>224</v>
      </c>
      <c r="AU29">
        <f>Table3[[#This Row],[PTS]]+(2 * Table3[[#This Row],[GR]] * Table3[[#This Row],[PTS%]])</f>
        <v>67.090909090909093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3-5-3</v>
      </c>
      <c r="AX29">
        <f>COUNTIFS(DataRegularSeason20242025!$D$3:$D$1315,Table3[[#This Row],[Teams]],DataRegularSeason20242025!$K$3:$K$1315,0)</f>
        <v>1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17</v>
      </c>
      <c r="BA29">
        <f t="shared" si="3"/>
        <v>-4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17</v>
      </c>
      <c r="BD29">
        <f>SUMIF(DataRegularSeason20242025!$E$3:$E$1315,$A29,DataRegularSeason20242025!$J$3:$J$1315)</f>
        <v>26</v>
      </c>
      <c r="BE29">
        <f t="shared" si="4"/>
        <v>-9</v>
      </c>
      <c r="BF29">
        <f t="shared" si="5"/>
        <v>30</v>
      </c>
      <c r="BG29">
        <f t="shared" si="6"/>
        <v>43</v>
      </c>
      <c r="BH29">
        <f t="shared" si="7"/>
        <v>-13</v>
      </c>
      <c r="BI29" s="12">
        <f>Table3[[#This Row],[GF]]/Table3[[#This Row],[GP]]</f>
        <v>2.7272727272727271</v>
      </c>
      <c r="BJ29" s="12">
        <f>Table3[[#This Row],[GA]]/Table3[[#This Row],[GP]]</f>
        <v>3.9090909090909092</v>
      </c>
      <c r="BK29" s="12">
        <f>(Table3[[#This Row],[GF]]-Table3[[#This Row],[GA]])/Table3[[#This Row],[GP]]</f>
        <v>-1.1818181818181819</v>
      </c>
      <c r="BL29" s="42" t="str">
        <f>_xlfn.CONCAT(TEXT(Table3[[#This Row],[W_H]], "0"), "-", TEXT(Table3[[#This Row],[RL_H]],"0"), "-", TEXT(Table3[[#This Row],[OTL_H]]+Table3[[#This Row],[SOL_H]], "0"))</f>
        <v>1-2-2</v>
      </c>
      <c r="BM29" s="42" t="str">
        <f>_xlfn.CONCAT(TEXT(Table3[[#This Row],[W_A]], "0"), "-", TEXT(Table3[[#This Row],[RL_A]],"0"), "-", TEXT(Table3[[#This Row],[OTL_A]]+Table3[[#This Row],[SOL_A]], "0"))</f>
        <v>2-3-1</v>
      </c>
      <c r="BN29" s="42">
        <f>((2*(Table3[[#This Row],[W_H]]))+Table3[[#This Row],[OTL_H]]+Table3[[#This Row],[SOL_H]])/(2*Table3[[#This Row],[GP_H]])</f>
        <v>0.4</v>
      </c>
      <c r="BO29" s="42">
        <f>((2*(Table3[[#This Row],[W_A]]))+Table3[[#This Row],[OTL_A]]+Table3[[#This Row],[SOL_A]])/(2*Table3[[#This Row],[GP_A]])</f>
        <v>0.41666666666666669</v>
      </c>
      <c r="BP29" s="16">
        <f>(Table3[[#This Row],[W]]*$CX$3)+(Table3[[#This Row],[L]]*$CX$4)+(Table3[[#This Row],[GF]]*$CX$5)+(Table3[[#This Row],[GA]]*$CX$6)</f>
        <v>12.7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81.146280991735537</v>
      </c>
      <c r="BR29" s="16">
        <f>(Table3[[#This Row],[W]]*0.7) + ((Table3[[#This Row],[GF]] - Table3[[#This Row],[GA]])*0.25)+(Table3[[#This Row],[GF]]*0.1)+(Table3[[#This Row],[GA]]*0.05)+(Table3[[#This Row],[L]]*0.3)</f>
        <v>6.3999999999999995</v>
      </c>
      <c r="BS29" s="16">
        <f>Table3[[#This Row],[TeamCost83]]/Table3[[#This Row],[GP]]</f>
        <v>0.58181818181818179</v>
      </c>
      <c r="BT29">
        <f>COUNTIFS(Table2[AwayTeam],$A29,Table2[PredictedWinner], $A29, Table2[GameIsOver], 1)</f>
        <v>3</v>
      </c>
      <c r="BU29">
        <f>COUNTIFS(Table2[HomeTeam],$A29,Table2[PredictedWinner], $A29, Table2[GameIsOver], 1)</f>
        <v>4</v>
      </c>
      <c r="BV29">
        <f t="shared" si="8"/>
        <v>7</v>
      </c>
      <c r="BW29">
        <f t="shared" si="9"/>
        <v>3</v>
      </c>
      <c r="BX29">
        <f t="shared" si="10"/>
        <v>1</v>
      </c>
      <c r="BY29">
        <f t="shared" si="11"/>
        <v>4</v>
      </c>
      <c r="BZ29">
        <f>Table3[[#This Row],[TimesPredictedWinner]]/Table3[[#This Row],[GP]]</f>
        <v>0.63636363636363635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4.5000000000000009</v>
      </c>
      <c r="CJ29">
        <f>SUMIFS(Table2[GamePredictionScore], Table2[HomeTeam], Table3[[#This Row],[Teams]])</f>
        <v>2</v>
      </c>
      <c r="CK29">
        <f>Table3[[#This Row],[Column4]]+Table3[[#This Row],[Column3]]</f>
        <v>6.5000000000000009</v>
      </c>
      <c r="CL29">
        <f>Table3[[#This Row],[Column5]]/Table3[[#This Row],[GP]]</f>
        <v>0.59090909090909094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19</v>
      </c>
      <c r="B30" t="s">
        <v>91</v>
      </c>
      <c r="C30" t="s">
        <v>92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9</v>
      </c>
      <c r="E30" s="10">
        <f>Table3[[#This Row],[Watched]]/Table3[[#This Row],[GP]]</f>
        <v>0.81818181818181823</v>
      </c>
      <c r="F30">
        <f>COUNTIFS(DataRegularSeason20242025!$N$3:$N$1315,1,DataRegularSeason20242025!$D$3:$D$1315,$A30)</f>
        <v>6</v>
      </c>
      <c r="G30">
        <f>41-Table3[[#This Row],[GP_A]]</f>
        <v>35</v>
      </c>
      <c r="H30">
        <f>COUNTIFS(DataRegularSeason20242025!$E$3:$E$1315,$A30,DataRegularSeason20242025!$N$3:$N$1315,1)</f>
        <v>5</v>
      </c>
      <c r="I30">
        <f>41-Table3[[#This Row],[GP_H]]</f>
        <v>36</v>
      </c>
      <c r="J30">
        <f t="shared" si="0"/>
        <v>11</v>
      </c>
      <c r="K30">
        <f>82-Table3[[#This Row],[GP]]</f>
        <v>71</v>
      </c>
      <c r="L30">
        <f>COUNTIFS(DataRegularSeason20242025!$D$3:$D$1315,$A30, DataRegularSeason20242025!$L$3:$L$1315, $A30,DataRegularSeason20242025!$N$3:$N$1315,1)</f>
        <v>4</v>
      </c>
      <c r="M30">
        <f>COUNTIFS(DataRegularSeason20242025!$D$3:$D$1315,$A30, DataRegularSeason20242025!$L$3:$L$1315, $A30,DataRegularSeason20242025!$N$3:$N$1315,1,DataRegularSeason20242025!$M$3:$M$1315,"REG")</f>
        <v>4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1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5</v>
      </c>
      <c r="Y30">
        <f>COUNTIFS(DataRegularSeason20242025!$E$3:$E$1315,$A30, DataRegularSeason20242025!$S$3:$S$1315, $A30,DataRegularSeason20242025!$M$3:$M$1315,"REG")</f>
        <v>4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0.36363636363636365</v>
      </c>
      <c r="AC30">
        <f>Table3[[#This Row],[W_A]]+Table3[[#This Row],[W_H]]</f>
        <v>4</v>
      </c>
      <c r="AD30">
        <f>Table3[[#This Row],[L_A]]+Table3[[#This Row],[L_H]]</f>
        <v>7</v>
      </c>
      <c r="AE30">
        <f>Table3[[#This Row],[RW_A]]+Table3[[#This Row],[RW_H]]</f>
        <v>4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2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0-2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0.18181818181818182</v>
      </c>
      <c r="AO30">
        <f>(2*(Table3[[#This Row],[W_A]]+Table3[[#This Row],[W_H]]))+Table3[[#This Row],[OTL_A]]+Table3[[#This Row],[SOL_A]]+Table3[[#This Row],[OTL_H]]+Table3[[#This Row],[SOL_H]]</f>
        <v>10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30" s="10">
        <f>Table3[[#This Row],[PTS]]/(2*Table3[[#This Row],[GP]])</f>
        <v>0.45454545454545453</v>
      </c>
      <c r="AR30" s="10">
        <f>Table3[[#This Row],[PTS2]]/(3*Table3[[#This Row],[GP]])</f>
        <v>0.42424242424242425</v>
      </c>
      <c r="AS30">
        <f>(2*Table3[[#This Row],[GR]])+Table3[[#This Row],[PTS]]</f>
        <v>152</v>
      </c>
      <c r="AT30">
        <f>(3*Table3[[#This Row],[GR]])+Table3[[#This Row],[PTS2]]</f>
        <v>227</v>
      </c>
      <c r="AU30">
        <f>Table3[[#This Row],[PTS]]+(2 * Table3[[#This Row],[GR]] * Table3[[#This Row],[PTS%]])</f>
        <v>74.545454545454547</v>
      </c>
      <c r="AV30">
        <f>Table3[[#This Row],[PTS2]]+(3 * Table3[[#This Row],[GR]] * Table3[[#This Row],[PTS%2]])</f>
        <v>104.36363636363636</v>
      </c>
      <c r="AW30" s="15" t="str">
        <f>_xlfn.CONCAT(TEXT(Table3[[#This Row],[W]], "0"), "-", TEXT(Table3[[#This Row],[RL]],"0"), "-", TEXT(Table3[[#This Row],[OTL]]+Table3[[#This Row],[SOL]], "0"))</f>
        <v>4-5-2</v>
      </c>
      <c r="AX30">
        <f>COUNTIFS(DataRegularSeason20242025!$D$3:$D$1315,Table3[[#This Row],[Teams]],DataRegularSeason20242025!$K$3:$K$1315,0)</f>
        <v>2</v>
      </c>
      <c r="AY30">
        <f>SUMIF(DataRegularSeason20242025!$D$3:$D$1315,$A30, DataRegularSeason20242025!$J$3:$J$1315)</f>
        <v>18</v>
      </c>
      <c r="AZ30">
        <f>SUMIF(DataRegularSeason20242025!$D$3:$D$1315,$A30, DataRegularSeason20242025!$K$3:$K$1315)</f>
        <v>11</v>
      </c>
      <c r="BA30">
        <f t="shared" si="3"/>
        <v>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6</v>
      </c>
      <c r="BD30">
        <f>SUMIF(DataRegularSeason20242025!$E$3:$E$1315,$A30,DataRegularSeason20242025!$J$3:$J$1315)</f>
        <v>15</v>
      </c>
      <c r="BE30">
        <f t="shared" si="4"/>
        <v>-9</v>
      </c>
      <c r="BF30">
        <f t="shared" si="5"/>
        <v>24</v>
      </c>
      <c r="BG30">
        <f t="shared" si="6"/>
        <v>26</v>
      </c>
      <c r="BH30">
        <f t="shared" si="7"/>
        <v>-2</v>
      </c>
      <c r="BI30" s="12">
        <f>Table3[[#This Row],[GF]]/Table3[[#This Row],[GP]]</f>
        <v>2.1818181818181817</v>
      </c>
      <c r="BJ30" s="12">
        <f>Table3[[#This Row],[GA]]/Table3[[#This Row],[GP]]</f>
        <v>2.3636363636363638</v>
      </c>
      <c r="BK30" s="12">
        <f>(Table3[[#This Row],[GF]]-Table3[[#This Row],[GA]])/Table3[[#This Row],[GP]]</f>
        <v>-0.18181818181818182</v>
      </c>
      <c r="BL30" s="42" t="str">
        <f>_xlfn.CONCAT(TEXT(Table3[[#This Row],[W_H]], "0"), "-", TEXT(Table3[[#This Row],[RL_H]],"0"), "-", TEXT(Table3[[#This Row],[OTL_H]]+Table3[[#This Row],[SOL_H]], "0"))</f>
        <v>0-4-1</v>
      </c>
      <c r="BM30" s="42" t="str">
        <f>_xlfn.CONCAT(TEXT(Table3[[#This Row],[W_A]], "0"), "-", TEXT(Table3[[#This Row],[RL_A]],"0"), "-", TEXT(Table3[[#This Row],[OTL_A]]+Table3[[#This Row],[SOL_A]], "0"))</f>
        <v>4-1-1</v>
      </c>
      <c r="BN30" s="42">
        <f>((2*(Table3[[#This Row],[W_H]]))+Table3[[#This Row],[OTL_H]]+Table3[[#This Row],[SOL_H]])/(2*Table3[[#This Row],[GP_H]])</f>
        <v>0.1</v>
      </c>
      <c r="BO30" s="42">
        <f>((2*(Table3[[#This Row],[W_A]]))+Table3[[#This Row],[OTL_A]]+Table3[[#This Row],[SOL_A]])/(2*Table3[[#This Row],[GP_A]])</f>
        <v>0.75</v>
      </c>
      <c r="BP30" s="16">
        <f>(Table3[[#This Row],[W]]*$CX$3)+(Table3[[#This Row],[L]]*$CX$4)+(Table3[[#This Row],[GF]]*$CX$5)+(Table3[[#This Row],[GA]]*$CX$6)</f>
        <v>10.299999999999999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59.432231404958671</v>
      </c>
      <c r="BR30" s="16">
        <f>(Table3[[#This Row],[W]]*0.7) + ((Table3[[#This Row],[GF]] - Table3[[#This Row],[GA]])*0.25)+(Table3[[#This Row],[GF]]*0.1)+(Table3[[#This Row],[GA]]*0.05)+(Table3[[#This Row],[L]]*0.3)</f>
        <v>8.1</v>
      </c>
      <c r="BS30" s="16">
        <f>Table3[[#This Row],[TeamCost83]]/Table3[[#This Row],[GP]]</f>
        <v>0.73636363636363633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1</v>
      </c>
      <c r="BV30">
        <f t="shared" si="8"/>
        <v>2</v>
      </c>
      <c r="BW30">
        <f t="shared" si="9"/>
        <v>5</v>
      </c>
      <c r="BX30">
        <f t="shared" si="10"/>
        <v>4</v>
      </c>
      <c r="BY30">
        <f t="shared" si="11"/>
        <v>9</v>
      </c>
      <c r="BZ30">
        <f>Table3[[#This Row],[TimesPredictedWinner]]/Table3[[#This Row],[GP]]</f>
        <v>0.18181818181818182</v>
      </c>
      <c r="CB30">
        <v>1994</v>
      </c>
      <c r="CC30" s="1">
        <v>45759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3.3</v>
      </c>
      <c r="CK30">
        <f>Table3[[#This Row],[Column4]]+Table3[[#This Row],[Column3]]</f>
        <v>4.2</v>
      </c>
      <c r="CL30">
        <f>Table3[[#This Row],[Column5]]/Table3[[#This Row],[GP]]</f>
        <v>0.38181818181818183</v>
      </c>
      <c r="CU30" s="57"/>
      <c r="CV30" s="178" t="s">
        <v>760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12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9</v>
      </c>
      <c r="E31" s="10">
        <f>Table3[[#This Row],[Watched]]/Table3[[#This Row],[GP]]</f>
        <v>0.9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6</v>
      </c>
      <c r="I31">
        <f>41-Table3[[#This Row],[GP_H]]</f>
        <v>35</v>
      </c>
      <c r="J31">
        <f t="shared" si="0"/>
        <v>10</v>
      </c>
      <c r="K31">
        <f>82-Table3[[#This Row],[GP]]</f>
        <v>72</v>
      </c>
      <c r="L31">
        <f>COUNTIFS(DataRegularSeason20242025!$D$3:$D$1315,$A31, DataRegularSeason20242025!$L$3:$L$1315, $A31,DataRegularSeason20242025!$N$3:$N$1315,1)</f>
        <v>2</v>
      </c>
      <c r="M31">
        <f>COUNTIFS(DataRegularSeason20242025!$D$3:$D$1315,$A31, DataRegularSeason20242025!$L$3:$L$1315, $A31,DataRegularSeason20242025!$N$3:$N$1315,1,DataRegularSeason20242025!$M$3:$M$1315,"REG")</f>
        <v>2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2</v>
      </c>
      <c r="Q31">
        <f>COUNTIFS(DataRegularSeason20242025!$D$3:$D$1315,$A31, DataRegularSeason20242025!$S$3:$S$1315, $A31,DataRegularSeason20242025!$M$3:$M$1315,"REG")</f>
        <v>2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5</v>
      </c>
      <c r="Y31">
        <f>COUNTIFS(DataRegularSeason20242025!$E$3:$E$1315,$A31, DataRegularSeason20242025!$S$3:$S$1315, $A31,DataRegularSeason20242025!$M$3:$M$1315,"REG")</f>
        <v>4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</v>
      </c>
      <c r="AC31">
        <f>Table3[[#This Row],[W_A]]+Table3[[#This Row],[W_H]]</f>
        <v>3</v>
      </c>
      <c r="AD31">
        <f>Table3[[#This Row],[L_A]]+Table3[[#This Row],[L_H]]</f>
        <v>7</v>
      </c>
      <c r="AE31">
        <f>Table3[[#This Row],[RW_A]]+Table3[[#This Row],[RW_H]]</f>
        <v>3</v>
      </c>
      <c r="AF31">
        <f>Table3[[#This Row],[RL_A]]+Table3[[#This Row],[RL_H]]</f>
        <v>6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0-1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0.1</v>
      </c>
      <c r="AO31">
        <f>(2*(Table3[[#This Row],[W_A]]+Table3[[#This Row],[W_H]]))+Table3[[#This Row],[OTL_A]]+Table3[[#This Row],[SOL_A]]+Table3[[#This Row],[OTL_H]]+Table3[[#This Row],[SOL_H]]</f>
        <v>7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1" s="10">
        <f>Table3[[#This Row],[PTS]]/(2*Table3[[#This Row],[GP]])</f>
        <v>0.35</v>
      </c>
      <c r="AR31" s="10">
        <f>Table3[[#This Row],[PTS2]]/(3*Table3[[#This Row],[GP]])</f>
        <v>0.33333333333333331</v>
      </c>
      <c r="AS31">
        <f>(2*Table3[[#This Row],[GR]])+Table3[[#This Row],[PTS]]</f>
        <v>151</v>
      </c>
      <c r="AT31">
        <f>(3*Table3[[#This Row],[GR]])+Table3[[#This Row],[PTS2]]</f>
        <v>226</v>
      </c>
      <c r="AU31">
        <f>Table3[[#This Row],[PTS]]+(2 * Table3[[#This Row],[GR]] * Table3[[#This Row],[PTS%]])</f>
        <v>57.4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3-6-1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16</v>
      </c>
      <c r="AZ31">
        <f>SUMIF(DataRegularSeason20242025!$D$3:$D$1315,$A31, DataRegularSeason20242025!$K$3:$K$1315)</f>
        <v>16</v>
      </c>
      <c r="BA31">
        <f t="shared" si="3"/>
        <v>0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13</v>
      </c>
      <c r="BD31">
        <f>SUMIF(DataRegularSeason20242025!$E$3:$E$1315,$A31,DataRegularSeason20242025!$J$3:$J$1315)</f>
        <v>28</v>
      </c>
      <c r="BE31">
        <f t="shared" si="4"/>
        <v>-15</v>
      </c>
      <c r="BF31">
        <f t="shared" si="5"/>
        <v>29</v>
      </c>
      <c r="BG31">
        <f t="shared" si="6"/>
        <v>44</v>
      </c>
      <c r="BH31">
        <f t="shared" si="7"/>
        <v>-15</v>
      </c>
      <c r="BI31" s="12">
        <f>Table3[[#This Row],[GF]]/Table3[[#This Row],[GP]]</f>
        <v>2.9</v>
      </c>
      <c r="BJ31" s="12">
        <f>Table3[[#This Row],[GA]]/Table3[[#This Row],[GP]]</f>
        <v>4.4000000000000004</v>
      </c>
      <c r="BK31" s="12">
        <f>(Table3[[#This Row],[GF]]-Table3[[#This Row],[GA]])/Table3[[#This Row],[GP]]</f>
        <v>-1.5</v>
      </c>
      <c r="BL31" s="42" t="str">
        <f>_xlfn.CONCAT(TEXT(Table3[[#This Row],[W_H]], "0"), "-", TEXT(Table3[[#This Row],[RL_H]],"0"), "-", TEXT(Table3[[#This Row],[OTL_H]]+Table3[[#This Row],[SOL_H]], "0"))</f>
        <v>1-4-1</v>
      </c>
      <c r="BM31" s="42" t="str">
        <f>_xlfn.CONCAT(TEXT(Table3[[#This Row],[W_A]], "0"), "-", TEXT(Table3[[#This Row],[RL_A]],"0"), "-", TEXT(Table3[[#This Row],[OTL_A]]+Table3[[#This Row],[SOL_A]], "0"))</f>
        <v>2-2-0</v>
      </c>
      <c r="BN31" s="42">
        <f>((2*(Table3[[#This Row],[W_H]]))+Table3[[#This Row],[OTL_H]]+Table3[[#This Row],[SOL_H]])/(2*Table3[[#This Row],[GP_H]])</f>
        <v>0.25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12.35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87.134</v>
      </c>
      <c r="BR31" s="16">
        <f>(Table3[[#This Row],[W]]*0.7) + ((Table3[[#This Row],[GF]] - Table3[[#This Row],[GA]])*0.25)+(Table3[[#This Row],[GF]]*0.1)+(Table3[[#This Row],[GA]]*0.05)+(Table3[[#This Row],[L]]*0.3)</f>
        <v>5.5500000000000007</v>
      </c>
      <c r="BS31" s="16">
        <f>Table3[[#This Row],[TeamCost83]]/Table3[[#This Row],[GP]]</f>
        <v>0.55500000000000005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 t="shared" si="8"/>
        <v>4</v>
      </c>
      <c r="BW31">
        <f t="shared" si="9"/>
        <v>2</v>
      </c>
      <c r="BX31">
        <f t="shared" si="10"/>
        <v>4</v>
      </c>
      <c r="BY31">
        <f t="shared" si="11"/>
        <v>6</v>
      </c>
      <c r="BZ31">
        <f>Table3[[#This Row],[TimesPredictedWinner]]/Table3[[#This Row],[GP]]</f>
        <v>0.4</v>
      </c>
      <c r="CB31">
        <v>2019</v>
      </c>
      <c r="CD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2.5</v>
      </c>
      <c r="CK31">
        <f>Table3[[#This Row],[Column4]]+Table3[[#This Row],[Column3]]</f>
        <v>4.2</v>
      </c>
      <c r="CL31">
        <f>Table3[[#This Row],[Column5]]/Table3[[#This Row],[GP]]</f>
        <v>0.42000000000000004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7</v>
      </c>
      <c r="E32" s="10">
        <f>Table3[[#This Row],[Watched]]/Table3[[#This Row],[GP]]</f>
        <v>0.7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5</v>
      </c>
      <c r="I32">
        <f>41-Table3[[#This Row],[GP_H]]</f>
        <v>36</v>
      </c>
      <c r="J32">
        <f t="shared" si="0"/>
        <v>10</v>
      </c>
      <c r="K32">
        <f>82-Table3[[#This Row],[GP]]</f>
        <v>72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5</v>
      </c>
      <c r="Y32">
        <f>COUNTIFS(DataRegularSeason20242025!$E$3:$E$1315,$A32, DataRegularSeason20242025!$S$3:$S$1315, $A32,DataRegularSeason20242025!$M$3:$M$1315,"REG")</f>
        <v>3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</v>
      </c>
      <c r="AC32">
        <f>Table3[[#This Row],[W_A]]+Table3[[#This Row],[W_H]]</f>
        <v>2</v>
      </c>
      <c r="AD32">
        <f>Table3[[#This Row],[L_A]]+Table3[[#This Row],[L_H]]</f>
        <v>8</v>
      </c>
      <c r="AE32">
        <f>Table3[[#This Row],[RW_A]]+Table3[[#This Row],[RW_H]]</f>
        <v>0</v>
      </c>
      <c r="AF32">
        <f>Table3[[#This Row],[RL_A]]+Table3[[#This Row],[RL_H]]</f>
        <v>6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</v>
      </c>
      <c r="AR32" s="10">
        <f>Table3[[#This Row],[PTS2]]/(3*Table3[[#This Row],[GP]])</f>
        <v>0.2</v>
      </c>
      <c r="AS32">
        <f>(2*Table3[[#This Row],[GR]])+Table3[[#This Row],[PTS]]</f>
        <v>150</v>
      </c>
      <c r="AT32">
        <f>(3*Table3[[#This Row],[GR]])+Table3[[#This Row],[PTS2]]</f>
        <v>222</v>
      </c>
      <c r="AU32">
        <f>Table3[[#This Row],[PTS]]+(2 * Table3[[#This Row],[GR]] * Table3[[#This Row],[PTS%]])</f>
        <v>49.199999999999996</v>
      </c>
      <c r="AV32">
        <f>Table3[[#This Row],[PTS2]]+(3 * Table3[[#This Row],[GR]] * Table3[[#This Row],[PTS%2]])</f>
        <v>49.2</v>
      </c>
      <c r="AW32" s="15" t="str">
        <f>_xlfn.CONCAT(TEXT(Table3[[#This Row],[W]], "0"), "-", TEXT(Table3[[#This Row],[RL]],"0"), "-", TEXT(Table3[[#This Row],[OTL]]+Table3[[#This Row],[SOL]], "0"))</f>
        <v>2-6-2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 t="shared" si="3"/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13</v>
      </c>
      <c r="BD32">
        <f>SUMIF(DataRegularSeason20242025!$E$3:$E$1315,$A32,DataRegularSeason20242025!$J$3:$J$1315)</f>
        <v>23</v>
      </c>
      <c r="BE32">
        <f t="shared" si="4"/>
        <v>-10</v>
      </c>
      <c r="BF32">
        <f t="shared" si="5"/>
        <v>32</v>
      </c>
      <c r="BG32">
        <f t="shared" si="6"/>
        <v>46</v>
      </c>
      <c r="BH32">
        <f t="shared" si="7"/>
        <v>-14</v>
      </c>
      <c r="BI32" s="12">
        <f>Table3[[#This Row],[GF]]/Table3[[#This Row],[GP]]</f>
        <v>3.2</v>
      </c>
      <c r="BJ32" s="12">
        <f>Table3[[#This Row],[GA]]/Table3[[#This Row],[GP]]</f>
        <v>4.5999999999999996</v>
      </c>
      <c r="BK32" s="12">
        <f>(Table3[[#This Row],[GF]]-Table3[[#This Row],[GA]])/Table3[[#This Row],[GP]]</f>
        <v>-1.4</v>
      </c>
      <c r="BL32" s="42" t="str">
        <f>_xlfn.CONCAT(TEXT(Table3[[#This Row],[W_H]], "0"), "-", TEXT(Table3[[#This Row],[RL_H]],"0"), "-", TEXT(Table3[[#This Row],[OTL_H]]+Table3[[#This Row],[SOL_H]], "0"))</f>
        <v>0-3-2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12.8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92.832000000000008</v>
      </c>
      <c r="BR32" s="16">
        <f>(Table3[[#This Row],[W]]*0.7) + ((Table3[[#This Row],[GF]] - Table3[[#This Row],[GA]])*0.25)+(Table3[[#This Row],[GF]]*0.1)+(Table3[[#This Row],[GA]]*0.05)+(Table3[[#This Row],[L]]*0.3)</f>
        <v>5.8000000000000007</v>
      </c>
      <c r="BS32" s="16">
        <f>Table3[[#This Row],[TeamCost83]]/Table3[[#This Row],[GP]]</f>
        <v>0.58000000000000007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2</v>
      </c>
      <c r="BV32">
        <f t="shared" si="8"/>
        <v>5</v>
      </c>
      <c r="BW32">
        <f t="shared" si="9"/>
        <v>2</v>
      </c>
      <c r="BX32">
        <f t="shared" si="10"/>
        <v>3</v>
      </c>
      <c r="BY32">
        <f t="shared" si="11"/>
        <v>5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0.46000000000000008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2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11</v>
      </c>
      <c r="E33" s="10">
        <f>Table3[[#This Row],[Watched]]/Table3[[#This Row],[GP]]</f>
        <v>1</v>
      </c>
      <c r="F33">
        <f>COUNTIFS(DataRegularSeason20242025!$N$3:$N$1315,1,DataRegularSeason20242025!$D$3:$D$1315,$A33)</f>
        <v>6</v>
      </c>
      <c r="G33">
        <f>41-Table3[[#This Row],[GP_A]]</f>
        <v>35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 t="shared" si="0"/>
        <v>11</v>
      </c>
      <c r="K33">
        <f>82-Table3[[#This Row],[GP]]</f>
        <v>71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5</v>
      </c>
      <c r="Q33">
        <f>COUNTIFS(DataRegularSeason20242025!$D$3:$D$1315,$A33, DataRegularSeason20242025!$S$3:$S$1315, $A33,DataRegularSeason20242025!$M$3:$M$1315,"REG")</f>
        <v>5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0.18181818181818182</v>
      </c>
      <c r="AC33">
        <f>Table3[[#This Row],[W_A]]+Table3[[#This Row],[W_H]]</f>
        <v>2</v>
      </c>
      <c r="AD33">
        <f>Table3[[#This Row],[L_A]]+Table3[[#This Row],[L_H]]</f>
        <v>9</v>
      </c>
      <c r="AE33">
        <f>Table3[[#This Row],[RW_A]]+Table3[[#This Row],[RW_H]]</f>
        <v>1</v>
      </c>
      <c r="AF33">
        <f>Table3[[#This Row],[RL_A]]+Table3[[#This Row],[RL_H]]</f>
        <v>8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0.18181818181818182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0.22727272727272727</v>
      </c>
      <c r="AR33" s="10">
        <f>Table3[[#This Row],[PTS2]]/(3*Table3[[#This Row],[GP]])</f>
        <v>0.18181818181818182</v>
      </c>
      <c r="AS33">
        <f>(2*Table3[[#This Row],[GR]])+Table3[[#This Row],[PTS]]</f>
        <v>147</v>
      </c>
      <c r="AT33">
        <f>(3*Table3[[#This Row],[GR]])+Table3[[#This Row],[PTS2]]</f>
        <v>219</v>
      </c>
      <c r="AU33">
        <f>Table3[[#This Row],[PTS]]+(2 * Table3[[#This Row],[GR]] * Table3[[#This Row],[PTS%]])</f>
        <v>37.272727272727273</v>
      </c>
      <c r="AV33">
        <f>Table3[[#This Row],[PTS2]]+(3 * Table3[[#This Row],[GR]] * Table3[[#This Row],[PTS%2]])</f>
        <v>44.727272727272727</v>
      </c>
      <c r="AW33" s="15" t="str">
        <f>_xlfn.CONCAT(TEXT(Table3[[#This Row],[W]], "0"), "-", TEXT(Table3[[#This Row],[RL]],"0"), "-", TEXT(Table3[[#This Row],[OTL]]+Table3[[#This Row],[SOL]], "0"))</f>
        <v>2-8-1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13</v>
      </c>
      <c r="AZ33">
        <f>SUMIF(DataRegularSeason20242025!$D$3:$D$1315,$A33, DataRegularSeason20242025!$K$3:$K$1315)</f>
        <v>26</v>
      </c>
      <c r="BA33">
        <f t="shared" si="3"/>
        <v>-13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 t="shared" si="4"/>
        <v>-2</v>
      </c>
      <c r="BF33">
        <f t="shared" si="5"/>
        <v>24</v>
      </c>
      <c r="BG33">
        <f t="shared" si="6"/>
        <v>39</v>
      </c>
      <c r="BH33">
        <f t="shared" si="7"/>
        <v>-15</v>
      </c>
      <c r="BI33" s="12">
        <f>Table3[[#This Row],[GF]]/Table3[[#This Row],[GP]]</f>
        <v>2.1818181818181817</v>
      </c>
      <c r="BJ33" s="12">
        <f>Table3[[#This Row],[GA]]/Table3[[#This Row],[GP]]</f>
        <v>3.5454545454545454</v>
      </c>
      <c r="BK33" s="12">
        <f>(Table3[[#This Row],[GF]]-Table3[[#This Row],[GA]])/Table3[[#This Row],[GP]]</f>
        <v>-1.3636363636363635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1-5-0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0.16666666666666666</v>
      </c>
      <c r="BP33" s="16">
        <f>(Table3[[#This Row],[W]]*$CX$3)+(Table3[[#This Row],[L]]*$CX$4)+(Table3[[#This Row],[GF]]*$CX$5)+(Table3[[#This Row],[GA]]*$CX$6)</f>
        <v>11.2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69.684297520661161</v>
      </c>
      <c r="BR33" s="16">
        <f>(Table3[[#This Row],[W]]*0.7) + ((Table3[[#This Row],[GF]] - Table3[[#This Row],[GA]])*0.25)+(Table3[[#This Row],[GF]]*0.1)+(Table3[[#This Row],[GA]]*0.05)+(Table3[[#This Row],[L]]*0.3)</f>
        <v>4.7</v>
      </c>
      <c r="BS33" s="16">
        <f>Table3[[#This Row],[TeamCost83]]/Table3[[#This Row],[GP]]</f>
        <v>0.4272727272727273</v>
      </c>
      <c r="BT33">
        <f>COUNTIFS(Table2[AwayTeam],$A33,Table2[PredictedWinner], $A33, Table2[GameIsOver], 1)</f>
        <v>3</v>
      </c>
      <c r="BU33">
        <f>COUNTIFS(Table2[HomeTeam],$A33,Table2[PredictedWinner], $A33, Table2[GameIsOver], 1)</f>
        <v>5</v>
      </c>
      <c r="BV33">
        <f t="shared" si="8"/>
        <v>8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0.72727272727272729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0.26363636363636367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-2</v>
      </c>
      <c r="DA33" s="14">
        <f>(COUNTIFS(Table2[AwayTeam],UPPER($CV$30), Table2[ActualAwayScore],$CW33, Table2[ActualHomeScore],DA$31)+COUNTIFS(Table2[HomeTeam],UPPER($CV$30), Table2[ActualAwayScore],DA$31, Table2[ActualHomeScore],$CW33))*-1</f>
        <v>-1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-1</v>
      </c>
      <c r="DD33" s="14">
        <f>(COUNTIFS(Table2[AwayTeam],UPPER($CV$30), Table2[ActualAwayScore],$CW33, Table2[ActualHomeScore],DD$31)+COUNTIFS(Table2[HomeTeam],UPPER($CV$30), Table2[ActualAwayScore],DD$31, Table2[ActualHomeScore],$CW33))*-1</f>
        <v>-1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1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0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0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11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7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258</v>
      </c>
      <c r="E35">
        <f t="shared" ref="E35:CA35" si="25">SUM(E$2:E$33)</f>
        <v>24.760606060606051</v>
      </c>
      <c r="F35">
        <f t="shared" si="25"/>
        <v>166</v>
      </c>
      <c r="G35">
        <f t="shared" si="25"/>
        <v>1146</v>
      </c>
      <c r="H35">
        <f t="shared" si="25"/>
        <v>166</v>
      </c>
      <c r="I35">
        <f t="shared" si="25"/>
        <v>1146</v>
      </c>
      <c r="J35">
        <f t="shared" si="25"/>
        <v>332</v>
      </c>
      <c r="K35">
        <f t="shared" si="25"/>
        <v>2292</v>
      </c>
      <c r="L35">
        <f t="shared" si="25"/>
        <v>79</v>
      </c>
      <c r="M35">
        <f t="shared" si="25"/>
        <v>58</v>
      </c>
      <c r="N35">
        <f t="shared" si="25"/>
        <v>14</v>
      </c>
      <c r="O35">
        <f t="shared" si="25"/>
        <v>7</v>
      </c>
      <c r="P35">
        <f t="shared" si="25"/>
        <v>87</v>
      </c>
      <c r="Q35">
        <f t="shared" si="25"/>
        <v>67</v>
      </c>
      <c r="R35">
        <f t="shared" si="25"/>
        <v>15</v>
      </c>
      <c r="S35">
        <f t="shared" si="25"/>
        <v>5</v>
      </c>
      <c r="T35">
        <f t="shared" si="25"/>
        <v>87</v>
      </c>
      <c r="U35">
        <f t="shared" si="25"/>
        <v>67</v>
      </c>
      <c r="V35">
        <f t="shared" si="25"/>
        <v>15</v>
      </c>
      <c r="W35">
        <f t="shared" si="25"/>
        <v>5</v>
      </c>
      <c r="X35">
        <f t="shared" si="25"/>
        <v>79</v>
      </c>
      <c r="Y35">
        <f t="shared" si="25"/>
        <v>58</v>
      </c>
      <c r="Z35">
        <f t="shared" si="25"/>
        <v>14</v>
      </c>
      <c r="AA35">
        <f t="shared" si="25"/>
        <v>7</v>
      </c>
      <c r="AC35">
        <f t="shared" si="25"/>
        <v>166</v>
      </c>
      <c r="AD35">
        <f t="shared" si="25"/>
        <v>166</v>
      </c>
      <c r="AE35">
        <f t="shared" si="25"/>
        <v>125</v>
      </c>
      <c r="AF35">
        <f t="shared" si="25"/>
        <v>125</v>
      </c>
      <c r="AG35">
        <f t="shared" si="25"/>
        <v>29</v>
      </c>
      <c r="AH35">
        <f t="shared" si="25"/>
        <v>29</v>
      </c>
      <c r="AI35">
        <f t="shared" si="25"/>
        <v>12</v>
      </c>
      <c r="AJ35">
        <f t="shared" si="25"/>
        <v>12</v>
      </c>
      <c r="AO35">
        <f t="shared" si="25"/>
        <v>373</v>
      </c>
      <c r="AP35">
        <f t="shared" si="25"/>
        <v>498</v>
      </c>
      <c r="AQ35">
        <f t="shared" si="25"/>
        <v>18.051010101010103</v>
      </c>
      <c r="AR35">
        <f t="shared" si="25"/>
        <v>16.05925925925926</v>
      </c>
      <c r="AS35">
        <f t="shared" si="25"/>
        <v>4957</v>
      </c>
      <c r="AT35">
        <f t="shared" si="25"/>
        <v>7374</v>
      </c>
      <c r="AU35">
        <f t="shared" si="25"/>
        <v>2960.3656565656565</v>
      </c>
      <c r="AV35">
        <f t="shared" si="25"/>
        <v>3950.577777777778</v>
      </c>
      <c r="AX35">
        <f t="shared" si="25"/>
        <v>8</v>
      </c>
      <c r="AY35">
        <f t="shared" si="25"/>
        <v>517</v>
      </c>
      <c r="AZ35">
        <f t="shared" si="25"/>
        <v>533</v>
      </c>
      <c r="BA35">
        <f t="shared" si="25"/>
        <v>-16</v>
      </c>
      <c r="BB35">
        <f t="shared" si="25"/>
        <v>3</v>
      </c>
      <c r="BC35">
        <f t="shared" si="25"/>
        <v>533</v>
      </c>
      <c r="BD35">
        <f t="shared" si="25"/>
        <v>517</v>
      </c>
      <c r="BE35">
        <f t="shared" si="25"/>
        <v>16</v>
      </c>
      <c r="BF35">
        <f t="shared" si="25"/>
        <v>1050</v>
      </c>
      <c r="BG35">
        <f t="shared" si="25"/>
        <v>1050</v>
      </c>
      <c r="BH35">
        <f t="shared" si="25"/>
        <v>0</v>
      </c>
      <c r="BI35">
        <f t="shared" si="25"/>
        <v>101.45505050505054</v>
      </c>
      <c r="BJ35">
        <f t="shared" si="25"/>
        <v>101.0989898989899</v>
      </c>
      <c r="BK35">
        <f t="shared" si="25"/>
        <v>0.3560606060606093</v>
      </c>
      <c r="BL35">
        <f t="shared" si="25"/>
        <v>0</v>
      </c>
      <c r="BM35">
        <f t="shared" si="25"/>
        <v>0</v>
      </c>
      <c r="BN35">
        <f t="shared" si="25"/>
        <v>18.826785714285716</v>
      </c>
      <c r="BO35">
        <f t="shared" si="25"/>
        <v>16.527380952380952</v>
      </c>
      <c r="BP35">
        <f t="shared" si="25"/>
        <v>395.3</v>
      </c>
      <c r="BQ35">
        <f t="shared" si="25"/>
        <v>2577.2813802673195</v>
      </c>
      <c r="BR35">
        <f t="shared" si="25"/>
        <v>323.49999999999994</v>
      </c>
      <c r="BS35">
        <f t="shared" si="25"/>
        <v>31.323207070707074</v>
      </c>
      <c r="BT35">
        <f t="shared" si="25"/>
        <v>74</v>
      </c>
      <c r="BU35">
        <f t="shared" si="25"/>
        <v>92</v>
      </c>
      <c r="BV35">
        <f t="shared" si="25"/>
        <v>166</v>
      </c>
      <c r="BW35">
        <f t="shared" si="25"/>
        <v>92</v>
      </c>
      <c r="BX35">
        <f t="shared" si="25"/>
        <v>74</v>
      </c>
      <c r="BY35">
        <f t="shared" si="25"/>
        <v>166</v>
      </c>
      <c r="BZ35">
        <f t="shared" si="25"/>
        <v>15.933838383838383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0</v>
      </c>
      <c r="CZ35" s="14">
        <f>COUNTIFS(Table2[AwayTeam],UPPER($CV$30), Table2[ActualAwayScore],$CW35, Table2[ActualHomeScore],CZ$31)+COUNTIFS(Table2[HomeTeam],UPPER($CV$30), Table2[ActualAwayScore],CZ$31, Table2[ActualHomeScore],$CW35)</f>
        <v>0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-1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10</v>
      </c>
      <c r="DO35" s="127"/>
      <c r="DP35" s="14">
        <f>COUNTIFS(Table2[[ActualHomeScore]:[ActualHomeScore]],$DK35, Table2[[ActualAwayScore]:[ActualAwayScore]],DP$31)</f>
        <v>13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1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8.0625</v>
      </c>
      <c r="E36">
        <f t="shared" ref="E36:CA36" si="26">AVERAGE(E$2:E$33)</f>
        <v>0.77376893939393909</v>
      </c>
      <c r="F36">
        <f t="shared" si="26"/>
        <v>5.1875</v>
      </c>
      <c r="G36">
        <f t="shared" si="26"/>
        <v>35.8125</v>
      </c>
      <c r="H36">
        <f t="shared" si="26"/>
        <v>5.1875</v>
      </c>
      <c r="I36">
        <f t="shared" si="26"/>
        <v>35.8125</v>
      </c>
      <c r="J36">
        <f t="shared" si="26"/>
        <v>10.375</v>
      </c>
      <c r="K36">
        <f t="shared" si="26"/>
        <v>71.625</v>
      </c>
      <c r="L36">
        <f t="shared" si="26"/>
        <v>2.46875</v>
      </c>
      <c r="M36">
        <f t="shared" si="26"/>
        <v>1.8125</v>
      </c>
      <c r="N36">
        <f t="shared" si="26"/>
        <v>0.4375</v>
      </c>
      <c r="O36">
        <f t="shared" si="26"/>
        <v>0.21875</v>
      </c>
      <c r="P36">
        <f t="shared" si="26"/>
        <v>2.71875</v>
      </c>
      <c r="Q36">
        <f t="shared" si="26"/>
        <v>2.09375</v>
      </c>
      <c r="R36">
        <f t="shared" si="26"/>
        <v>0.46875</v>
      </c>
      <c r="S36">
        <f t="shared" si="26"/>
        <v>0.15625</v>
      </c>
      <c r="T36">
        <f t="shared" si="26"/>
        <v>2.71875</v>
      </c>
      <c r="U36">
        <f t="shared" si="26"/>
        <v>2.09375</v>
      </c>
      <c r="V36">
        <f t="shared" si="26"/>
        <v>0.46875</v>
      </c>
      <c r="W36">
        <f t="shared" si="26"/>
        <v>0.15625</v>
      </c>
      <c r="X36">
        <f t="shared" si="26"/>
        <v>2.46875</v>
      </c>
      <c r="Y36">
        <f t="shared" si="26"/>
        <v>1.8125</v>
      </c>
      <c r="Z36">
        <f t="shared" si="26"/>
        <v>0.4375</v>
      </c>
      <c r="AA36">
        <f t="shared" si="26"/>
        <v>0.21875</v>
      </c>
      <c r="AC36">
        <f t="shared" si="26"/>
        <v>5.1875</v>
      </c>
      <c r="AD36">
        <f t="shared" si="26"/>
        <v>5.1875</v>
      </c>
      <c r="AE36">
        <f t="shared" si="26"/>
        <v>3.90625</v>
      </c>
      <c r="AF36">
        <f t="shared" si="26"/>
        <v>3.90625</v>
      </c>
      <c r="AG36">
        <f t="shared" si="26"/>
        <v>0.90625</v>
      </c>
      <c r="AH36">
        <f t="shared" si="26"/>
        <v>0.90625</v>
      </c>
      <c r="AI36">
        <f t="shared" si="26"/>
        <v>0.375</v>
      </c>
      <c r="AJ36">
        <f t="shared" si="26"/>
        <v>0.375</v>
      </c>
      <c r="AO36">
        <f t="shared" si="26"/>
        <v>11.65625</v>
      </c>
      <c r="AP36">
        <f t="shared" si="26"/>
        <v>15.5625</v>
      </c>
      <c r="AQ36">
        <f t="shared" si="26"/>
        <v>0.56409406565656572</v>
      </c>
      <c r="AR36">
        <f t="shared" si="26"/>
        <v>0.50185185185185188</v>
      </c>
      <c r="AS36">
        <f t="shared" si="26"/>
        <v>154.90625</v>
      </c>
      <c r="AT36">
        <f t="shared" si="26"/>
        <v>230.4375</v>
      </c>
      <c r="AU36">
        <f t="shared" si="26"/>
        <v>92.511426767676767</v>
      </c>
      <c r="AV36">
        <f t="shared" si="26"/>
        <v>123.45555555555556</v>
      </c>
      <c r="AX36">
        <f t="shared" si="26"/>
        <v>0.25</v>
      </c>
      <c r="AY36">
        <f t="shared" si="26"/>
        <v>16.15625</v>
      </c>
      <c r="AZ36">
        <f t="shared" si="26"/>
        <v>16.65625</v>
      </c>
      <c r="BA36">
        <f t="shared" si="26"/>
        <v>-0.5</v>
      </c>
      <c r="BB36">
        <f t="shared" si="26"/>
        <v>9.375E-2</v>
      </c>
      <c r="BC36">
        <f t="shared" si="26"/>
        <v>16.65625</v>
      </c>
      <c r="BD36">
        <f t="shared" si="26"/>
        <v>16.15625</v>
      </c>
      <c r="BE36">
        <f t="shared" si="26"/>
        <v>0.5</v>
      </c>
      <c r="BF36">
        <f t="shared" si="26"/>
        <v>32.8125</v>
      </c>
      <c r="BG36">
        <f t="shared" si="26"/>
        <v>32.8125</v>
      </c>
      <c r="BH36">
        <f t="shared" si="26"/>
        <v>0</v>
      </c>
      <c r="BI36">
        <f t="shared" si="26"/>
        <v>3.1704703282828293</v>
      </c>
      <c r="BJ36">
        <f t="shared" si="26"/>
        <v>3.1593434343434343</v>
      </c>
      <c r="BK36">
        <f t="shared" si="26"/>
        <v>1.1126893939394041E-2</v>
      </c>
      <c r="BL36" t="e">
        <f t="shared" si="26"/>
        <v>#DIV/0!</v>
      </c>
      <c r="BM36" t="e">
        <f t="shared" si="26"/>
        <v>#DIV/0!</v>
      </c>
      <c r="BN36">
        <f t="shared" si="26"/>
        <v>0.58833705357142863</v>
      </c>
      <c r="BO36">
        <f t="shared" si="26"/>
        <v>0.51648065476190474</v>
      </c>
      <c r="BP36">
        <f t="shared" si="26"/>
        <v>12.353125</v>
      </c>
      <c r="BQ36">
        <f t="shared" si="26"/>
        <v>80.540043133353734</v>
      </c>
      <c r="BR36">
        <f t="shared" si="26"/>
        <v>10.109374999999998</v>
      </c>
      <c r="BS36">
        <f t="shared" si="26"/>
        <v>0.97885022095959606</v>
      </c>
      <c r="BT36">
        <f t="shared" si="26"/>
        <v>2.3125</v>
      </c>
      <c r="BU36">
        <f t="shared" si="26"/>
        <v>2.875</v>
      </c>
      <c r="BV36">
        <f t="shared" si="26"/>
        <v>5.1875</v>
      </c>
      <c r="BW36">
        <f t="shared" si="26"/>
        <v>2.875</v>
      </c>
      <c r="BX36">
        <f t="shared" si="26"/>
        <v>2.3125</v>
      </c>
      <c r="BY36">
        <f t="shared" si="26"/>
        <v>5.1875</v>
      </c>
      <c r="BZ36">
        <f t="shared" si="26"/>
        <v>0.49793244949494947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1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14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1.9354828209002528</v>
      </c>
      <c r="E37">
        <f t="shared" ref="E37:CA37" si="27">_xlfn.STDEV.P(E$2:E$33)</f>
        <v>0.16577825745024075</v>
      </c>
      <c r="F37">
        <f t="shared" si="27"/>
        <v>1.2854352375751958</v>
      </c>
      <c r="G37">
        <f t="shared" si="27"/>
        <v>1.2854352375751958</v>
      </c>
      <c r="H37">
        <f t="shared" si="27"/>
        <v>1.260890062614501</v>
      </c>
      <c r="I37">
        <f t="shared" si="27"/>
        <v>1.260890062614501</v>
      </c>
      <c r="J37">
        <f t="shared" si="27"/>
        <v>0.73950997288745202</v>
      </c>
      <c r="K37">
        <f t="shared" si="27"/>
        <v>0.73950997288745202</v>
      </c>
      <c r="L37">
        <f t="shared" si="27"/>
        <v>1.3915902548882699</v>
      </c>
      <c r="M37">
        <f t="shared" si="27"/>
        <v>1.1021995055342748</v>
      </c>
      <c r="N37">
        <f t="shared" si="27"/>
        <v>0.65847835955329614</v>
      </c>
      <c r="O37">
        <f t="shared" si="27"/>
        <v>0.41339864235384227</v>
      </c>
      <c r="P37">
        <f t="shared" si="27"/>
        <v>1.0964252995530521</v>
      </c>
      <c r="Q37">
        <f t="shared" si="27"/>
        <v>1.1280341029862528</v>
      </c>
      <c r="R37">
        <f t="shared" si="27"/>
        <v>0.66069920349581168</v>
      </c>
      <c r="S37">
        <f t="shared" si="27"/>
        <v>0.4408354993645589</v>
      </c>
      <c r="T37">
        <f t="shared" si="27"/>
        <v>1.4193831186469705</v>
      </c>
      <c r="U37">
        <f t="shared" si="27"/>
        <v>1.2338804388999771</v>
      </c>
      <c r="V37">
        <f t="shared" si="27"/>
        <v>0.61157455596190391</v>
      </c>
      <c r="W37">
        <f t="shared" si="27"/>
        <v>0.4408354993645589</v>
      </c>
      <c r="X37">
        <f t="shared" si="27"/>
        <v>1.3689497571130944</v>
      </c>
      <c r="Y37">
        <f t="shared" si="27"/>
        <v>1.2103072956898178</v>
      </c>
      <c r="Z37">
        <f t="shared" si="27"/>
        <v>0.60917464655056019</v>
      </c>
      <c r="AA37">
        <f t="shared" si="27"/>
        <v>0.48311327605438459</v>
      </c>
      <c r="AC37">
        <f t="shared" si="27"/>
        <v>1.5296547813150521</v>
      </c>
      <c r="AD37">
        <f t="shared" si="27"/>
        <v>1.7036266463048764</v>
      </c>
      <c r="AE37">
        <f t="shared" si="27"/>
        <v>1.60778137117582</v>
      </c>
      <c r="AF37">
        <f t="shared" si="27"/>
        <v>1.60778137117582</v>
      </c>
      <c r="AG37">
        <f t="shared" si="27"/>
        <v>0.91376196982584035</v>
      </c>
      <c r="AH37">
        <f t="shared" si="27"/>
        <v>0.87889756940157704</v>
      </c>
      <c r="AI37">
        <f t="shared" si="27"/>
        <v>0.54486236794258425</v>
      </c>
      <c r="AJ37">
        <f t="shared" si="27"/>
        <v>0.649519052838329</v>
      </c>
      <c r="AO37">
        <f t="shared" si="27"/>
        <v>2.8130207851169531</v>
      </c>
      <c r="AP37">
        <f t="shared" si="27"/>
        <v>4.1902975729654335</v>
      </c>
      <c r="AQ37">
        <f t="shared" si="27"/>
        <v>0.1373568718859558</v>
      </c>
      <c r="AR37">
        <f t="shared" si="27"/>
        <v>0.13521893486657061</v>
      </c>
      <c r="AS37">
        <f t="shared" si="27"/>
        <v>3.1160810222938684</v>
      </c>
      <c r="AT37">
        <f t="shared" si="27"/>
        <v>4.6161232381729151</v>
      </c>
      <c r="AU37">
        <f t="shared" si="27"/>
        <v>22.526526989296752</v>
      </c>
      <c r="AV37">
        <f t="shared" si="27"/>
        <v>33.263857977176386</v>
      </c>
      <c r="AX37">
        <f t="shared" si="27"/>
        <v>0.55901699437494745</v>
      </c>
      <c r="AY37">
        <f t="shared" si="27"/>
        <v>5.545884594679193</v>
      </c>
      <c r="AZ37">
        <f t="shared" si="27"/>
        <v>5.3712741446978853</v>
      </c>
      <c r="BA37">
        <f t="shared" si="27"/>
        <v>5.5283360968739954</v>
      </c>
      <c r="BB37">
        <f t="shared" si="27"/>
        <v>0.29148059540902549</v>
      </c>
      <c r="BC37">
        <f t="shared" si="27"/>
        <v>5.4176181055423243</v>
      </c>
      <c r="BD37">
        <f t="shared" si="27"/>
        <v>5.0751193027849109</v>
      </c>
      <c r="BE37">
        <f t="shared" si="27"/>
        <v>5.7445626465380286</v>
      </c>
      <c r="BF37">
        <f t="shared" si="27"/>
        <v>5.0586405041275668</v>
      </c>
      <c r="BG37">
        <f t="shared" si="27"/>
        <v>6.385714036033872</v>
      </c>
      <c r="BH37">
        <f t="shared" si="27"/>
        <v>7.4372373903217586</v>
      </c>
      <c r="BI37">
        <f t="shared" si="27"/>
        <v>0.47365358919762574</v>
      </c>
      <c r="BJ37">
        <f t="shared" si="27"/>
        <v>0.55390716195670764</v>
      </c>
      <c r="BK37">
        <f t="shared" si="27"/>
        <v>0.71023498855937861</v>
      </c>
      <c r="BL37" t="e">
        <f t="shared" si="27"/>
        <v>#DIV/0!</v>
      </c>
      <c r="BM37" t="e">
        <f t="shared" si="27"/>
        <v>#DIV/0!</v>
      </c>
      <c r="BN37">
        <f t="shared" si="27"/>
        <v>0.23533725649641293</v>
      </c>
      <c r="BO37">
        <f t="shared" si="27"/>
        <v>0.22886481151549873</v>
      </c>
      <c r="BP37">
        <f t="shared" si="27"/>
        <v>1.2588398366650793</v>
      </c>
      <c r="BQ37">
        <f t="shared" si="27"/>
        <v>8.554252150742645</v>
      </c>
      <c r="BR37">
        <f t="shared" si="27"/>
        <v>2.55084047117318</v>
      </c>
      <c r="BS37">
        <f t="shared" si="27"/>
        <v>0.2497108384230407</v>
      </c>
      <c r="BT37">
        <f t="shared" si="27"/>
        <v>1.4456291882775472</v>
      </c>
      <c r="BU37">
        <f t="shared" si="27"/>
        <v>1.4737282653189494</v>
      </c>
      <c r="BV37">
        <f t="shared" si="27"/>
        <v>2.2836032383056386</v>
      </c>
      <c r="BW37">
        <f t="shared" si="27"/>
        <v>1.3169567191065923</v>
      </c>
      <c r="BX37">
        <f t="shared" si="27"/>
        <v>1.6476782908080085</v>
      </c>
      <c r="BY37">
        <f t="shared" si="27"/>
        <v>2.1999644883497553</v>
      </c>
      <c r="BZ37">
        <f t="shared" si="27"/>
        <v>0.21733206874392544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1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5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0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6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2</v>
      </c>
      <c r="DO39" s="14">
        <f>COUNTIFS(Table2[[ActualHomeScore]:[ActualHomeScore]],$DK39, Table2[[ActualAwayScore]:[ActualAwayScore]],DO$31)</f>
        <v>1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2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1</v>
      </c>
      <c r="DO46" s="131">
        <f t="shared" si="29"/>
        <v>1.8000000000000003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1.2999999999999998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0.65</v>
      </c>
      <c r="DM47" s="127"/>
      <c r="DN47" s="131">
        <f t="shared" si="31"/>
        <v>1.9499999999999997</v>
      </c>
      <c r="DO47" s="131">
        <f t="shared" si="31"/>
        <v>3</v>
      </c>
      <c r="DP47" s="131">
        <f t="shared" si="31"/>
        <v>3.4000000000000004</v>
      </c>
      <c r="DQ47" s="131">
        <f t="shared" si="31"/>
        <v>3.8</v>
      </c>
      <c r="DR47" s="131">
        <f t="shared" si="31"/>
        <v>1.05</v>
      </c>
      <c r="DS47" s="131">
        <f t="shared" si="31"/>
        <v>1.1500000000000001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9.9</v>
      </c>
      <c r="DN48" s="127"/>
      <c r="DO48" s="131">
        <f t="shared" si="33"/>
        <v>9.9000000000000021</v>
      </c>
      <c r="DP48" s="131">
        <f t="shared" si="33"/>
        <v>4</v>
      </c>
      <c r="DQ48" s="131">
        <f t="shared" si="33"/>
        <v>7.7000000000000011</v>
      </c>
      <c r="DR48" s="131">
        <f t="shared" si="33"/>
        <v>1.2000000000000002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1.1499999999999999</v>
      </c>
      <c r="DC49" s="131">
        <f t="shared" si="34"/>
        <v>1.25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1.9</v>
      </c>
      <c r="DM49" s="131">
        <f t="shared" si="35"/>
        <v>8.3999999999999986</v>
      </c>
      <c r="DN49" s="131">
        <f t="shared" si="35"/>
        <v>11.5</v>
      </c>
      <c r="DO49" s="127"/>
      <c r="DP49" s="131">
        <f t="shared" si="35"/>
        <v>14.95</v>
      </c>
      <c r="DQ49" s="131">
        <f t="shared" si="35"/>
        <v>3.75</v>
      </c>
      <c r="DR49" s="131">
        <f t="shared" si="35"/>
        <v>1.35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7.1999999999999993</v>
      </c>
      <c r="DN50" s="131">
        <f t="shared" si="37"/>
        <v>5.2</v>
      </c>
      <c r="DO50" s="131">
        <f t="shared" si="37"/>
        <v>19.599999999999998</v>
      </c>
      <c r="DP50" s="127"/>
      <c r="DQ50" s="131">
        <f t="shared" si="37"/>
        <v>8.4</v>
      </c>
      <c r="DR50" s="131">
        <f t="shared" si="37"/>
        <v>0</v>
      </c>
      <c r="DS50" s="131">
        <f t="shared" si="37"/>
        <v>1.6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1.35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5.4</v>
      </c>
      <c r="DN51" s="131">
        <f t="shared" si="39"/>
        <v>7.25</v>
      </c>
      <c r="DO51" s="131">
        <f t="shared" si="39"/>
        <v>4.6500000000000004</v>
      </c>
      <c r="DP51" s="131">
        <f t="shared" si="39"/>
        <v>3.3</v>
      </c>
      <c r="DQ51" s="127"/>
      <c r="DR51" s="131">
        <f t="shared" si="39"/>
        <v>4.95</v>
      </c>
      <c r="DS51" s="131">
        <f t="shared" si="39"/>
        <v>1.7500000000000002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10.199999999999999</v>
      </c>
      <c r="DP52" s="131">
        <f t="shared" si="41"/>
        <v>1.7999999999999998</v>
      </c>
      <c r="DQ52" s="131">
        <f t="shared" si="41"/>
        <v>3.8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3.5</v>
      </c>
      <c r="DO53" s="131">
        <f t="shared" si="43"/>
        <v>1.85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4.2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11.2</v>
      </c>
      <c r="DW57" s="88">
        <f>SUM(DL46:DV56)</f>
        <v>198.85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11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15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4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10</v>
      </c>
      <c r="E3" s="62">
        <f>INDEX(Table3[PTS], MATCH(Table6[[#This Row],[Teams]], Table3[Teams],0))</f>
        <v>10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2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10</v>
      </c>
      <c r="E4" s="62">
        <f>INDEX(Table3[PTS], MATCH(Table6[[#This Row],[Teams]], Table3[Teams],0))</f>
        <v>10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12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2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12</v>
      </c>
      <c r="E6" s="62">
        <f>INDEX(Table3[PTS], MATCH(Table6[[#This Row],[Teams]], Table3[Teams],0))</f>
        <v>12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11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2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12</v>
      </c>
      <c r="E8" s="62">
        <f>INDEX(Table3[PTS], MATCH(Table6[[#This Row],[Teams]], Table3[Teams],0))</f>
        <v>12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13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2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16</v>
      </c>
      <c r="E9" s="62">
        <f>INDEX(Table3[PTS], MATCH(Table6[[#This Row],[Teams]], Table3[Teams],0))</f>
        <v>16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13</v>
      </c>
      <c r="E10" s="62">
        <f>INDEX(Table3[PTS], MATCH(Table6[[#This Row],[Teams]], Table3[Teams],0))</f>
        <v>13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14</v>
      </c>
      <c r="E11" s="62">
        <f>INDEX(Table3[PTS], MATCH(Table6[[#This Row],[Teams]], Table3[Teams],0))</f>
        <v>14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12</v>
      </c>
      <c r="E12" s="62">
        <f>INDEX(Table3[PTS], MATCH(Table6[[#This Row],[Teams]], Table3[Teams],0))</f>
        <v>12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2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11</v>
      </c>
      <c r="E13" s="62">
        <f>INDEX(Table3[PTS], MATCH(Table6[[#This Row],[Teams]], Table3[Teams],0))</f>
        <v>11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13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2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13</v>
      </c>
      <c r="E14" s="62">
        <f>INDEX(Table3[PTS], MATCH(Table6[[#This Row],[Teams]], Table3[Teams],0))</f>
        <v>13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16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3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9</v>
      </c>
      <c r="E15" s="62">
        <f>INDEX(Table3[PTS], MATCH(Table6[[#This Row],[Teams]], Table3[Teams],0))</f>
        <v>9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16</v>
      </c>
      <c r="E16" s="62">
        <f>INDEX(Table3[PTS], MATCH(Table6[[#This Row],[Teams]], Table3[Teams],0))</f>
        <v>16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9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1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12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2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10</v>
      </c>
      <c r="E20" s="62">
        <f>INDEX(Table3[PTS], MATCH(Table6[[#This Row],[Teams]], Table3[Teams],0))</f>
        <v>10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11</v>
      </c>
      <c r="E21" s="62">
        <f>INDEX(Table3[PTS], MATCH(Table6[[#This Row],[Teams]], Table3[Teams],0))</f>
        <v>11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11</v>
      </c>
      <c r="E22" s="62">
        <f>INDEX(Table3[PTS], MATCH(Table6[[#This Row],[Teams]], Table3[Teams],0))</f>
        <v>11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16</v>
      </c>
      <c r="E23" s="62">
        <f>INDEX(Table3[PTS], MATCH(Table6[[#This Row],[Teams]], Table3[Teams],0))</f>
        <v>16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13</v>
      </c>
      <c r="E24" s="62">
        <f>INDEX(Table3[PTS], MATCH(Table6[[#This Row],[Teams]], Table3[Teams],0))</f>
        <v>13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10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2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10</v>
      </c>
      <c r="E27" s="62">
        <f>INDEX(Table3[PTS], MATCH(Table6[[#This Row],[Teams]], Table3[Teams],0))</f>
        <v>10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12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2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2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11</v>
      </c>
      <c r="E28" s="62">
        <f>INDEX(Table3[PTS], MATCH(Table6[[#This Row],[Teams]], Table3[Teams],0))</f>
        <v>11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16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2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1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11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2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15</v>
      </c>
      <c r="E31" s="62">
        <f>INDEX(Table3[PTS], MATCH(Table6[[#This Row],[Teams]], Table3[Teams],0))</f>
        <v>15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14</v>
      </c>
      <c r="E32" s="62">
        <f>INDEX(Table3[PTS], MATCH(Table6[[#This Row],[Teams]], Table3[Teams],0))</f>
        <v>14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11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10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2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11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1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2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11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2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2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10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1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10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16</v>
      </c>
    </row>
    <row r="42" spans="1:53" x14ac:dyDescent="0.25">
      <c r="U42" cm="1">
        <f t="array" ref="U42">SMALL(U35:U39 + U25:U29,5)</f>
        <v>26</v>
      </c>
    </row>
    <row r="44" spans="1:53" x14ac:dyDescent="0.25">
      <c r="U44">
        <f>LARGE(_xlfn._xlws.SORT(_xlfn.VSTACK(U35:U39,U25:U29),1,-1), 1)</f>
        <v>16</v>
      </c>
    </row>
    <row r="45" spans="1:53" x14ac:dyDescent="0.25">
      <c r="U45">
        <f>LARGE(_xlfn._xlws.SORT(_xlfn.VSTACK(U35:U39,U25:U29),1,-1), 2)</f>
        <v>16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71">
        <f>BO3+BO4</f>
        <v>9</v>
      </c>
      <c r="BQ3" s="167">
        <f>82-BP3</f>
        <v>73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0">SUM(C5:BN5)</f>
        <v>6</v>
      </c>
      <c r="BP5" s="171">
        <f t="shared" ref="BP5" si="1">BO5+BO6</f>
        <v>11</v>
      </c>
      <c r="BQ5" s="167">
        <f t="shared" ref="BQ5" si="2">82-BP5</f>
        <v>71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71">
        <f t="shared" ref="BP7" si="3">BO7+BO8</f>
        <v>11</v>
      </c>
      <c r="BQ7" s="167">
        <f t="shared" ref="BQ7" si="4">82-BP7</f>
        <v>71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4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8</v>
      </c>
      <c r="BP9" s="171">
        <f t="shared" ref="BP9" si="5">BO9+BO10</f>
        <v>11</v>
      </c>
      <c r="BQ9" s="167">
        <f t="shared" ref="BQ9" si="6">82-BP9</f>
        <v>71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71">
        <f t="shared" ref="BP11" si="7">BO11+BO12</f>
        <v>10</v>
      </c>
      <c r="BQ11" s="167">
        <f t="shared" ref="BQ11" si="8">82-BP11</f>
        <v>72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4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71">
        <f t="shared" ref="BP13" si="9">BO13+BO14</f>
        <v>10</v>
      </c>
      <c r="BQ13" s="167">
        <f t="shared" ref="BQ13" si="10">82-BP13</f>
        <v>72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5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71">
        <f t="shared" ref="BP15" si="11">BO15+BO16</f>
        <v>11</v>
      </c>
      <c r="BQ15" s="167">
        <f t="shared" ref="BQ15" si="12">82-BP15</f>
        <v>71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5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6</v>
      </c>
      <c r="BP17" s="171">
        <f t="shared" ref="BP17" si="13">BO17+BO18</f>
        <v>10</v>
      </c>
      <c r="BQ17" s="167">
        <f t="shared" ref="BQ17" si="14">82-BP17</f>
        <v>72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71">
        <f t="shared" ref="BP19" si="15">BO19+BO20</f>
        <v>10</v>
      </c>
      <c r="BQ19" s="167">
        <f t="shared" ref="BQ19" si="16">82-BP19</f>
        <v>72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6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71">
        <f t="shared" ref="BP21" si="17">BO21+BO22</f>
        <v>11</v>
      </c>
      <c r="BQ21" s="167">
        <f t="shared" ref="BQ21" si="18">82-BP21</f>
        <v>71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5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71">
        <f t="shared" ref="BP23" si="19">BO23+BO24</f>
        <v>10</v>
      </c>
      <c r="BQ23" s="167">
        <f t="shared" ref="BQ23" si="20">82-BP23</f>
        <v>72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6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71">
        <f t="shared" ref="BP25" si="21">BO25+BO26</f>
        <v>11</v>
      </c>
      <c r="BQ25" s="167">
        <f t="shared" ref="BQ25" si="22">82-BP25</f>
        <v>71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5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11</v>
      </c>
      <c r="BQ27" s="167">
        <f t="shared" ref="BQ27" si="24">82-BP27</f>
        <v>71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7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4</v>
      </c>
      <c r="BP29" s="171">
        <f t="shared" ref="BP29" si="25">BO29+BO30</f>
        <v>10</v>
      </c>
      <c r="BQ29" s="167">
        <f t="shared" ref="BQ29" si="26">82-BP29</f>
        <v>72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6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7</v>
      </c>
      <c r="BP31" s="171">
        <f t="shared" ref="BP31" si="27">BO31+BO32</f>
        <v>11</v>
      </c>
      <c r="BQ31" s="167">
        <f t="shared" ref="BQ31" si="28">82-BP31</f>
        <v>71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4</v>
      </c>
      <c r="BP33" s="171">
        <f t="shared" ref="BP33" si="29">BO33+BO34</f>
        <v>10</v>
      </c>
      <c r="BQ33" s="167">
        <f t="shared" ref="BQ33" si="30">82-BP33</f>
        <v>72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71">
        <f t="shared" ref="BP35" si="31">BO35+BO36</f>
        <v>9</v>
      </c>
      <c r="BQ35" s="167">
        <f t="shared" ref="BQ35" si="32">82-BP35</f>
        <v>73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3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5</v>
      </c>
      <c r="BP37" s="171">
        <f t="shared" ref="BP37" si="33">BO37+BO38</f>
        <v>10</v>
      </c>
      <c r="BQ37" s="167">
        <f t="shared" ref="BQ37" si="34">82-BP37</f>
        <v>72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1</v>
      </c>
      <c r="BN38" s="39"/>
      <c r="BO38" s="34">
        <f t="shared" si="0"/>
        <v>5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5</v>
      </c>
      <c r="BP39" s="171">
        <f t="shared" ref="BP39" si="35">BO39+BO40</f>
        <v>10</v>
      </c>
      <c r="BQ39" s="167">
        <f t="shared" ref="BQ39" si="36">82-BP39</f>
        <v>72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4</v>
      </c>
      <c r="BP41" s="171">
        <f t="shared" ref="BP41" si="37">BO41+BO42</f>
        <v>9</v>
      </c>
      <c r="BQ41" s="167">
        <f t="shared" ref="BQ41" si="38">82-BP41</f>
        <v>73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6</v>
      </c>
      <c r="BP43" s="171">
        <f t="shared" ref="BP43" si="39">BO43+BO44</f>
        <v>11</v>
      </c>
      <c r="BQ43" s="167">
        <f t="shared" ref="BQ43" si="40">82-BP43</f>
        <v>71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71">
        <f t="shared" ref="BP45" si="41">BO45+BO46</f>
        <v>9</v>
      </c>
      <c r="BQ45" s="167">
        <f t="shared" ref="BQ45" si="42">82-BP45</f>
        <v>73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6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6</v>
      </c>
      <c r="BP47" s="171">
        <f t="shared" ref="BP47" si="43">BO47+BO48</f>
        <v>11</v>
      </c>
      <c r="BQ47" s="167">
        <f t="shared" ref="BQ47" si="44">82-BP47</f>
        <v>71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5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4</v>
      </c>
      <c r="BP49" s="171">
        <f t="shared" ref="BP49" si="45">BO49+BO50</f>
        <v>10</v>
      </c>
      <c r="BQ49" s="167">
        <f t="shared" ref="BQ49" si="46">82-BP49</f>
        <v>72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5</v>
      </c>
      <c r="BP51" s="171">
        <f t="shared" ref="BP51" si="47">BO51+BO52</f>
        <v>12</v>
      </c>
      <c r="BQ51" s="167">
        <f t="shared" ref="BQ51" si="48">82-BP51</f>
        <v>70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7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71">
        <f t="shared" ref="BP53" si="49">BO53+BO54</f>
        <v>10</v>
      </c>
      <c r="BQ53" s="167">
        <f t="shared" ref="BQ53" si="50">82-BP53</f>
        <v>72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7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4</v>
      </c>
      <c r="BP55" s="171">
        <f t="shared" ref="BP55" si="51">BO55+BO56</f>
        <v>10</v>
      </c>
      <c r="BQ55" s="167">
        <f t="shared" ref="BQ55" si="52">82-BP55</f>
        <v>72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11</v>
      </c>
      <c r="BQ57" s="167">
        <f t="shared" ref="BQ57" si="54">82-BP57</f>
        <v>71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6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7</v>
      </c>
      <c r="BP59" s="171">
        <f t="shared" ref="BP59" si="55">BO59+BO60</f>
        <v>11</v>
      </c>
      <c r="BQ59" s="167">
        <f t="shared" ref="BQ59" si="56">82-BP59</f>
        <v>71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5</v>
      </c>
      <c r="BP61" s="171">
        <f t="shared" ref="BP61" si="57">BO61+BO62</f>
        <v>11</v>
      </c>
      <c r="BQ61" s="167">
        <f t="shared" ref="BQ61" si="58">82-BP61</f>
        <v>71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6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5</v>
      </c>
      <c r="BP63" s="171">
        <f t="shared" ref="BP63" si="59">BO63+BO64</f>
        <v>10</v>
      </c>
      <c r="BQ63" s="167">
        <f t="shared" ref="BQ63" si="60">82-BP63</f>
        <v>72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1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3</v>
      </c>
      <c r="BP65" s="171">
        <f t="shared" ref="BP65" si="61">BO65+BO66</f>
        <v>11</v>
      </c>
      <c r="BQ65" s="167">
        <f t="shared" ref="BQ65" si="62">82-BP65</f>
        <v>71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8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166</v>
      </c>
      <c r="BQ67" s="27">
        <f>SUM(BQ3:BQ66)/2</f>
        <v>1146</v>
      </c>
    </row>
    <row r="68" spans="1:69" x14ac:dyDescent="0.25">
      <c r="BP68" s="43">
        <f>2*BP67/SUM(BP3:BQ66)</f>
        <v>0.12652439024390244</v>
      </c>
      <c r="BQ68" s="43">
        <f>2*BQ67/SUM(BP3:BQ66)</f>
        <v>0.87347560975609762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1-0-0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0-1-0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1-0-0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1-0-0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0-0-2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0-1-0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0-1-0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2-0-0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1-0-0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1-0-1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1-0-0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0-0-1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0-1-0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0-1-0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0-2-0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0-1-0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1-0-0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0-2-0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1-0-0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1-0-0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1-1-0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0-1-0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1-0-0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1-0-0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1-0-0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0-0-1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0-1-0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1-0-0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0-1-0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0-0-1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2-0-0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0-0-1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2-0-0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0-1-0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1-0-0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1-0-0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1-0-0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0-1-0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>1</v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0.6</v>
      </c>
      <c r="AI37" s="101">
        <f>AVERAGE($B37:$Q37)</f>
        <v>0.625</v>
      </c>
      <c r="AJ37" s="103">
        <f>AVERAGE($Z37:$AG37)</f>
        <v>0.66666666666666663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>0</v>
      </c>
      <c r="AH38" s="101">
        <f t="shared" ref="AH38:AH68" si="0">AVERAGE($R38:$AG38)</f>
        <v>0.33333333333333331</v>
      </c>
      <c r="AI38" s="101">
        <f t="shared" ref="AI38:AI68" si="1">AVERAGE($B38:$Q38)</f>
        <v>0.33333333333333331</v>
      </c>
      <c r="AJ38" s="103">
        <f t="shared" ref="AJ38:AJ68" si="2">AVERAGE($Z38:$AG38)</f>
        <v>0.25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>0.5</v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0.375</v>
      </c>
      <c r="AJ39" s="103">
        <f t="shared" si="2"/>
        <v>0.5</v>
      </c>
      <c r="AK39" s="103">
        <f t="shared" si="3"/>
        <v>0.33333333333333331</v>
      </c>
      <c r="AL39" s="103">
        <f t="shared" si="4"/>
        <v>0.5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>1</v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0.72222222222222221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>0.5</v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>0.5</v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0.75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0.4375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0.75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>0.5</v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>0.5</v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>0.5</v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>0.5</v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>0</v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0.25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0.125</v>
      </c>
      <c r="AI50" s="101">
        <f t="shared" si="1"/>
        <v>0.6428571428571429</v>
      </c>
      <c r="AJ50" s="103">
        <f t="shared" si="2"/>
        <v>0.25</v>
      </c>
      <c r="AK50" s="103">
        <f t="shared" si="3"/>
        <v>0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>0</v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0.58333333333333337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0.33333333333333331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>1</v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0.6071428571428571</v>
      </c>
      <c r="AJ52" s="104" t="e">
        <f t="shared" si="2"/>
        <v>#DIV/0!</v>
      </c>
      <c r="AK52" s="104">
        <f t="shared" si="3"/>
        <v>1</v>
      </c>
      <c r="AL52" s="104">
        <f t="shared" si="4"/>
        <v>0.625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0.25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0.70833333333333337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0.8125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>1</v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>0.5</v>
      </c>
      <c r="AH54" s="101">
        <f t="shared" si="0"/>
        <v>0.66666666666666663</v>
      </c>
      <c r="AI54" s="101">
        <f t="shared" si="1"/>
        <v>0.625</v>
      </c>
      <c r="AJ54" s="103">
        <f t="shared" si="2"/>
        <v>0.66666666666666663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0.25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0.4375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0.375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>0</v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0.41666666666666669</v>
      </c>
      <c r="AI56" s="101">
        <f t="shared" si="1"/>
        <v>0.5</v>
      </c>
      <c r="AJ56" s="103">
        <f t="shared" si="2"/>
        <v>0.5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>1</v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>0.5</v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>0.5</v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>0.5</v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0.65</v>
      </c>
      <c r="AI59" s="101">
        <f t="shared" si="1"/>
        <v>0.6</v>
      </c>
      <c r="AJ59" s="103">
        <f t="shared" si="2"/>
        <v>1</v>
      </c>
      <c r="AK59" s="103">
        <f t="shared" si="3"/>
        <v>0.5625</v>
      </c>
      <c r="AL59" s="103">
        <f t="shared" si="4"/>
        <v>0.5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>0</v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0.375</v>
      </c>
      <c r="AJ60" s="104">
        <f t="shared" si="2"/>
        <v>0.5</v>
      </c>
      <c r="AK60" s="104">
        <f t="shared" si="3"/>
        <v>1</v>
      </c>
      <c r="AL60" s="104">
        <f t="shared" si="4"/>
        <v>0.25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>0.5</v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>0</v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0.5</v>
      </c>
      <c r="AI61" s="101">
        <f t="shared" si="1"/>
        <v>0.25</v>
      </c>
      <c r="AJ61" s="103">
        <f t="shared" si="2"/>
        <v>0.375</v>
      </c>
      <c r="AK61" s="103">
        <f t="shared" si="3"/>
        <v>0.75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>0.5</v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0.375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0.75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0.625</v>
      </c>
      <c r="AJ63" s="103">
        <f t="shared" si="2"/>
        <v>0.45</v>
      </c>
      <c r="AK63" s="103">
        <f t="shared" si="3"/>
        <v>0</v>
      </c>
      <c r="AL63" s="103">
        <f t="shared" si="4"/>
        <v>0.75</v>
      </c>
      <c r="AM63" s="103">
        <f t="shared" si="5"/>
        <v>0.5</v>
      </c>
    </row>
    <row r="64" spans="1:39" x14ac:dyDescent="0.25">
      <c r="A64" s="57" t="s">
        <v>13</v>
      </c>
      <c r="B64" s="24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>0.5</v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0.75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0.70833333333333337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0.6875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>0</v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>0.5</v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0.375</v>
      </c>
      <c r="AJ66" s="103">
        <f t="shared" si="2"/>
        <v>0.375</v>
      </c>
      <c r="AK66" s="103">
        <f t="shared" si="3"/>
        <v>0.66666666666666663</v>
      </c>
      <c r="AL66" s="103">
        <f t="shared" si="4"/>
        <v>0.25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>1</v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0.625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0.75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>0.5</v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>0</v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0.33333333333333331</v>
      </c>
      <c r="AI68" s="102">
        <f t="shared" si="1"/>
        <v>0.5</v>
      </c>
      <c r="AJ68" s="104">
        <f t="shared" si="2"/>
        <v>0.33333333333333331</v>
      </c>
      <c r="AK68" s="104">
        <f t="shared" si="3"/>
        <v>0.33333333333333331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2025-10-30T22:10:45Z</dcterms:modified>
</cp:coreProperties>
</file>