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E45BE2D9-0AAB-4D40-B64D-9E7A5D62E721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Y32" i="2" l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H390" i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T15" i="1" a="1"/>
  <c r="BT15" i="1" s="1"/>
  <c r="BV15" i="1" a="1"/>
  <c r="BV15" i="1" s="1"/>
  <c r="BT14" i="1" a="1"/>
  <c r="BT14" i="1" s="1"/>
  <c r="BV14" i="1" a="1"/>
  <c r="BV14" i="1" s="1"/>
  <c r="BV13" i="1" a="1"/>
  <c r="BV13" i="1" s="1"/>
  <c r="BV12" i="1" a="1"/>
  <c r="BV12" i="1" s="1"/>
  <c r="BV11" i="1" a="1"/>
  <c r="BV11" i="1" s="1"/>
  <c r="BV10" i="1" a="1"/>
  <c r="BV10" i="1" s="1"/>
  <c r="BV9" i="1" a="1"/>
  <c r="BV9" i="1" s="1"/>
  <c r="BV8" i="1" a="1"/>
  <c r="BV8" i="1" s="1"/>
  <c r="BV7" i="1" a="1"/>
  <c r="BV7" i="1" s="1"/>
  <c r="BT13" i="1" a="1"/>
  <c r="BT13" i="1" s="1"/>
  <c r="BT12" i="1" a="1"/>
  <c r="BT12" i="1" s="1"/>
  <c r="BT11" i="1" a="1"/>
  <c r="BT11" i="1" s="1"/>
  <c r="BT10" i="1" a="1"/>
  <c r="BT10" i="1" s="1"/>
  <c r="BT9" i="1" a="1"/>
  <c r="BT9" i="1" s="1"/>
  <c r="BT8" i="1" a="1"/>
  <c r="BT8" i="1" s="1"/>
  <c r="BT7" i="1" a="1"/>
  <c r="BT7" i="1" s="1"/>
  <c r="BT6" i="1" a="1"/>
  <c r="BT6" i="1" s="1"/>
  <c r="BV6" i="1" a="1"/>
  <c r="BV6" i="1" s="1"/>
  <c r="D6" i="7"/>
  <c r="E6" i="7"/>
  <c r="F6" i="7"/>
  <c r="G6" i="7"/>
  <c r="H6" i="7"/>
  <c r="D17" i="7"/>
  <c r="D2" i="7"/>
  <c r="E2" i="7"/>
  <c r="F2" i="7"/>
  <c r="G2" i="7"/>
  <c r="H2" i="7"/>
  <c r="I2" i="7"/>
  <c r="D16" i="7"/>
  <c r="E16" i="7"/>
  <c r="F16" i="7"/>
  <c r="G16" i="7"/>
  <c r="H16" i="7"/>
  <c r="I16" i="7"/>
  <c r="D31" i="7"/>
  <c r="E31" i="7"/>
  <c r="F31" i="7"/>
  <c r="G31" i="7"/>
  <c r="H31" i="7"/>
  <c r="D27" i="7"/>
  <c r="E27" i="7"/>
  <c r="F27" i="7"/>
  <c r="G27" i="7"/>
  <c r="D18" i="7"/>
  <c r="E18" i="7"/>
  <c r="F18" i="7"/>
  <c r="G18" i="7"/>
  <c r="D4" i="7"/>
  <c r="E4" i="7"/>
  <c r="F4" i="7"/>
  <c r="G4" i="7"/>
  <c r="H4" i="7"/>
  <c r="I4" i="7"/>
  <c r="D23" i="7"/>
  <c r="E23" i="7"/>
  <c r="F23" i="7"/>
  <c r="G23" i="7"/>
  <c r="H23" i="7"/>
  <c r="D13" i="7"/>
  <c r="E13" i="7"/>
  <c r="F13" i="7"/>
  <c r="G13" i="7"/>
  <c r="D24" i="7"/>
  <c r="E24" i="7"/>
  <c r="F24" i="7"/>
  <c r="G24" i="7"/>
  <c r="D20" i="7"/>
  <c r="E20" i="7"/>
  <c r="F20" i="7"/>
  <c r="G20" i="7"/>
  <c r="H20" i="7"/>
  <c r="I20" i="7"/>
  <c r="D10" i="7"/>
  <c r="D32" i="7"/>
  <c r="E32" i="7"/>
  <c r="F32" i="7"/>
  <c r="G32" i="7"/>
  <c r="H32" i="7"/>
  <c r="I32" i="7"/>
  <c r="D3" i="7"/>
  <c r="E3" i="7"/>
  <c r="F3" i="7"/>
  <c r="G3" i="7"/>
  <c r="H3" i="7"/>
  <c r="I3" i="7"/>
  <c r="D12" i="7"/>
  <c r="E12" i="7"/>
  <c r="F12" i="7"/>
  <c r="G12" i="7"/>
  <c r="D15" i="7"/>
  <c r="E15" i="7"/>
  <c r="F15" i="7"/>
  <c r="G15" i="7"/>
  <c r="H15" i="7"/>
  <c r="I15" i="7"/>
  <c r="D8" i="7"/>
  <c r="E8" i="7"/>
  <c r="F8" i="7"/>
  <c r="G8" i="7"/>
  <c r="H8" i="7"/>
  <c r="I8" i="7"/>
  <c r="D11" i="7"/>
  <c r="E11" i="7"/>
  <c r="F11" i="7"/>
  <c r="G11" i="7"/>
  <c r="D30" i="7"/>
  <c r="E30" i="7"/>
  <c r="F30" i="7"/>
  <c r="G30" i="7"/>
  <c r="H30" i="7"/>
  <c r="D25" i="7"/>
  <c r="E25" i="7"/>
  <c r="F25" i="7"/>
  <c r="G25" i="7"/>
  <c r="H25" i="7"/>
  <c r="I25" i="7"/>
  <c r="D28" i="7"/>
  <c r="E28" i="7"/>
  <c r="F28" i="7"/>
  <c r="G28" i="7"/>
  <c r="H28" i="7"/>
  <c r="D7" i="7"/>
  <c r="E7" i="7"/>
  <c r="F7" i="7"/>
  <c r="G7" i="7"/>
  <c r="H7" i="7"/>
  <c r="I7" i="7"/>
  <c r="D14" i="7"/>
  <c r="E14" i="7"/>
  <c r="F14" i="7"/>
  <c r="G14" i="7"/>
  <c r="H14" i="7"/>
  <c r="D26" i="7"/>
  <c r="E26" i="7"/>
  <c r="F26" i="7"/>
  <c r="G26" i="7"/>
  <c r="H26" i="7"/>
  <c r="D33" i="7"/>
  <c r="E33" i="7"/>
  <c r="F33" i="7"/>
  <c r="G33" i="7"/>
  <c r="H33" i="7"/>
  <c r="I33" i="7"/>
  <c r="D22" i="7"/>
  <c r="E22" i="7"/>
  <c r="F22" i="7"/>
  <c r="G22" i="7"/>
  <c r="H22" i="7"/>
  <c r="D29" i="7"/>
  <c r="E29" i="7"/>
  <c r="F29" i="7"/>
  <c r="G29" i="7"/>
  <c r="H29" i="7"/>
  <c r="I29" i="7"/>
  <c r="D5" i="7"/>
  <c r="E5" i="7"/>
  <c r="F5" i="7"/>
  <c r="G5" i="7"/>
  <c r="H5" i="7"/>
  <c r="E21" i="7"/>
  <c r="F21" i="7"/>
  <c r="G21" i="7"/>
  <c r="H21" i="7"/>
  <c r="I21" i="7"/>
  <c r="D21" i="7"/>
  <c r="CR34" i="2" a="1"/>
  <c r="BB19" i="2"/>
  <c r="BB28" i="2"/>
  <c r="BB32" i="2"/>
  <c r="BB17" i="2"/>
  <c r="BB16" i="2"/>
  <c r="BB24" i="2"/>
  <c r="BB26" i="2"/>
  <c r="BB23" i="2"/>
  <c r="BB13" i="2"/>
  <c r="BB33" i="2"/>
  <c r="BB4" i="2"/>
  <c r="BB2" i="2"/>
  <c r="BB11" i="2"/>
  <c r="BB29" i="2"/>
  <c r="BB9" i="2"/>
  <c r="BB8" i="2"/>
  <c r="BB10" i="2"/>
  <c r="BB15" i="2"/>
  <c r="BB14" i="2"/>
  <c r="BB18" i="2"/>
  <c r="BB20" i="2"/>
  <c r="BB6" i="2"/>
  <c r="BB27" i="2"/>
  <c r="BB3" i="2"/>
  <c r="BB5" i="2"/>
  <c r="BB25" i="2"/>
  <c r="BB21" i="2"/>
  <c r="BB30" i="2"/>
  <c r="BB12" i="2"/>
  <c r="BB22" i="2"/>
  <c r="BB31" i="2"/>
  <c r="BB7" i="2"/>
  <c r="AX19" i="2"/>
  <c r="AX28" i="2"/>
  <c r="AX32" i="2"/>
  <c r="AX17" i="2"/>
  <c r="AX16" i="2"/>
  <c r="AX24" i="2"/>
  <c r="AX26" i="2"/>
  <c r="AX23" i="2"/>
  <c r="AX13" i="2"/>
  <c r="AX33" i="2"/>
  <c r="AX4" i="2"/>
  <c r="AX2" i="2"/>
  <c r="AX11" i="2"/>
  <c r="AX29" i="2"/>
  <c r="AX9" i="2"/>
  <c r="AX8" i="2"/>
  <c r="AX10" i="2"/>
  <c r="AX15" i="2"/>
  <c r="AX14" i="2"/>
  <c r="AX18" i="2"/>
  <c r="AX20" i="2"/>
  <c r="AX6" i="2"/>
  <c r="AX27" i="2"/>
  <c r="AX3" i="2"/>
  <c r="AX5" i="2"/>
  <c r="AX25" i="2"/>
  <c r="AX21" i="2"/>
  <c r="AX30" i="2"/>
  <c r="AX12" i="2"/>
  <c r="AX22" i="2"/>
  <c r="AX31" i="2"/>
  <c r="AX7" i="2"/>
  <c r="AY16" i="2"/>
  <c r="AZ16" i="2"/>
  <c r="BC16" i="2"/>
  <c r="BD16" i="2"/>
  <c r="AY29" i="2"/>
  <c r="AZ29" i="2"/>
  <c r="BC29" i="2"/>
  <c r="BD29" i="2"/>
  <c r="AY4" i="2"/>
  <c r="AZ4" i="2"/>
  <c r="BC4" i="2"/>
  <c r="BD4" i="2"/>
  <c r="AY27" i="2"/>
  <c r="AZ27" i="2"/>
  <c r="BC27" i="2"/>
  <c r="BD27" i="2"/>
  <c r="AY32" i="2"/>
  <c r="AZ32" i="2"/>
  <c r="BC32" i="2"/>
  <c r="BD32" i="2"/>
  <c r="AY26" i="2"/>
  <c r="AZ26" i="2"/>
  <c r="BC26" i="2"/>
  <c r="BD26" i="2"/>
  <c r="AY2" i="2"/>
  <c r="AZ2" i="2"/>
  <c r="BC2" i="2"/>
  <c r="BD2" i="2"/>
  <c r="AY3" i="2"/>
  <c r="AZ3" i="2"/>
  <c r="BC3" i="2"/>
  <c r="BD3" i="2"/>
  <c r="AY14" i="2"/>
  <c r="AZ14" i="2"/>
  <c r="BC14" i="2"/>
  <c r="BD14" i="2"/>
  <c r="AY19" i="2"/>
  <c r="AZ19" i="2"/>
  <c r="BC19" i="2"/>
  <c r="BD19" i="2"/>
  <c r="AY17" i="2"/>
  <c r="AZ17" i="2"/>
  <c r="BC17" i="2"/>
  <c r="BD17" i="2"/>
  <c r="AY15" i="2"/>
  <c r="AZ15" i="2"/>
  <c r="BC15" i="2"/>
  <c r="BD15" i="2"/>
  <c r="AY6" i="2"/>
  <c r="AZ6" i="2"/>
  <c r="BC6" i="2"/>
  <c r="BD6" i="2"/>
  <c r="AY12" i="2"/>
  <c r="AZ12" i="2"/>
  <c r="BC12" i="2"/>
  <c r="BD12" i="2"/>
  <c r="AY18" i="2"/>
  <c r="AZ18" i="2"/>
  <c r="BC18" i="2"/>
  <c r="BD18" i="2"/>
  <c r="AY31" i="2"/>
  <c r="AZ31" i="2"/>
  <c r="BC31" i="2"/>
  <c r="BD31" i="2"/>
  <c r="AY8" i="2"/>
  <c r="AZ8" i="2"/>
  <c r="BC8" i="2"/>
  <c r="BD8" i="2"/>
  <c r="AY23" i="2"/>
  <c r="AZ23" i="2"/>
  <c r="BC23" i="2"/>
  <c r="BD23" i="2"/>
  <c r="AY21" i="2"/>
  <c r="AZ21" i="2"/>
  <c r="BC21" i="2"/>
  <c r="BD21" i="2"/>
  <c r="AY10" i="2"/>
  <c r="AZ10" i="2"/>
  <c r="BC10" i="2"/>
  <c r="BD10" i="2"/>
  <c r="AY11" i="2"/>
  <c r="AZ11" i="2"/>
  <c r="BC11" i="2"/>
  <c r="BD11" i="2"/>
  <c r="AY25" i="2"/>
  <c r="AZ25" i="2"/>
  <c r="BC25" i="2"/>
  <c r="BD25" i="2"/>
  <c r="AY22" i="2"/>
  <c r="AZ22" i="2"/>
  <c r="BC22" i="2"/>
  <c r="BD22" i="2"/>
  <c r="AY30" i="2"/>
  <c r="AZ30" i="2"/>
  <c r="BC30" i="2"/>
  <c r="BD30" i="2"/>
  <c r="AY13" i="2"/>
  <c r="AZ13" i="2"/>
  <c r="BC13" i="2"/>
  <c r="BD13" i="2"/>
  <c r="AY20" i="2"/>
  <c r="AZ20" i="2"/>
  <c r="BC20" i="2"/>
  <c r="BD20" i="2"/>
  <c r="AY24" i="2"/>
  <c r="AZ24" i="2"/>
  <c r="BC24" i="2"/>
  <c r="BD24" i="2"/>
  <c r="AY33" i="2"/>
  <c r="AZ33" i="2"/>
  <c r="BC33" i="2"/>
  <c r="BD33" i="2"/>
  <c r="AY5" i="2"/>
  <c r="AZ5" i="2"/>
  <c r="BC5" i="2"/>
  <c r="BD5" i="2"/>
  <c r="AY28" i="2"/>
  <c r="AZ28" i="2"/>
  <c r="BC28" i="2"/>
  <c r="BD28" i="2"/>
  <c r="AY7" i="2"/>
  <c r="AZ7" i="2"/>
  <c r="BC7" i="2"/>
  <c r="BD7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E4" i="1"/>
  <c r="BV5" i="1" s="1" a="1"/>
  <c r="BV5" i="1" s="1"/>
  <c r="I45" i="7"/>
  <c r="H45" i="7"/>
  <c r="G45" i="7"/>
  <c r="F45" i="7"/>
  <c r="I64" i="7"/>
  <c r="I26" i="7"/>
  <c r="I58" i="7"/>
  <c r="I57" i="7"/>
  <c r="E17" i="7"/>
  <c r="E45" i="7"/>
  <c r="I48" i="7"/>
  <c r="H48" i="7"/>
  <c r="G48" i="7"/>
  <c r="F48" i="7"/>
  <c r="E48" i="7"/>
  <c r="BT5" i="1" a="1"/>
  <c r="I30" i="7"/>
  <c r="I28" i="7"/>
  <c r="G17" i="7"/>
  <c r="H17" i="7"/>
  <c r="I17" i="7"/>
  <c r="F17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K3" i="6"/>
  <c r="L3" i="6"/>
  <c r="M3" i="6"/>
  <c r="N3" i="6"/>
  <c r="O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K4" i="6"/>
  <c r="L4" i="6"/>
  <c r="M4" i="6"/>
  <c r="N4" i="6"/>
  <c r="O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K5" i="6"/>
  <c r="L5" i="6"/>
  <c r="M5" i="6"/>
  <c r="N5" i="6"/>
  <c r="O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K6" i="6"/>
  <c r="L6" i="6"/>
  <c r="O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O2" i="6"/>
  <c r="N2" i="6"/>
  <c r="M2" i="6"/>
  <c r="L2" i="6"/>
  <c r="K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E28" i="1"/>
  <c r="BE29" i="1" s="1"/>
  <c r="JO70" i="7"/>
  <c r="CF7" i="2"/>
  <c r="CE7" i="2" s="1"/>
  <c r="CF28" i="2"/>
  <c r="CE28" i="2" s="1"/>
  <c r="CF5" i="2"/>
  <c r="CE5" i="2" s="1"/>
  <c r="CF19" i="2"/>
  <c r="CE19" i="2" s="1"/>
  <c r="CF15" i="2"/>
  <c r="CE15" i="2" s="1"/>
  <c r="CF6" i="2"/>
  <c r="CE6" i="2" s="1"/>
  <c r="CF3" i="2"/>
  <c r="CE3" i="2" s="1"/>
  <c r="CF20" i="2"/>
  <c r="CE20" i="2" s="1"/>
  <c r="CF4" i="2"/>
  <c r="CE4" i="2" s="1"/>
  <c r="CF2" i="2"/>
  <c r="CE2" i="2" s="1"/>
  <c r="CF18" i="2"/>
  <c r="CE18" i="2" s="1"/>
  <c r="CF17" i="2"/>
  <c r="CE17" i="2" s="1"/>
  <c r="CF13" i="2"/>
  <c r="CE13" i="2" s="1"/>
  <c r="CF32" i="2"/>
  <c r="CE32" i="2" s="1"/>
  <c r="CF27" i="2"/>
  <c r="CE27" i="2" s="1"/>
  <c r="CF21" i="2"/>
  <c r="CE21" i="2" s="1"/>
  <c r="CF33" i="2"/>
  <c r="CE33" i="2" s="1"/>
  <c r="CF12" i="2"/>
  <c r="CE12" i="2" s="1"/>
  <c r="CF16" i="2"/>
  <c r="CE16" i="2" s="1"/>
  <c r="CF14" i="2"/>
  <c r="CE14" i="2" s="1"/>
  <c r="CF30" i="2"/>
  <c r="CE30" i="2" s="1"/>
  <c r="CF23" i="2"/>
  <c r="CE23" i="2" s="1"/>
  <c r="CF10" i="2"/>
  <c r="CE10" i="2" s="1"/>
  <c r="CF11" i="2"/>
  <c r="CE11" i="2" s="1"/>
  <c r="CF24" i="2"/>
  <c r="CE24" i="2" s="1"/>
  <c r="CF9" i="2"/>
  <c r="CE9" i="2" s="1"/>
  <c r="CF8" i="2"/>
  <c r="CE8" i="2" s="1"/>
  <c r="CF25" i="2"/>
  <c r="CE25" i="2" s="1"/>
  <c r="CF29" i="2"/>
  <c r="CE29" i="2" s="1"/>
  <c r="CF31" i="2"/>
  <c r="CE31" i="2" s="1"/>
  <c r="CF22" i="2"/>
  <c r="CE22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I35" i="1"/>
  <c r="BI34" i="1"/>
  <c r="BI33" i="1"/>
  <c r="BI31" i="1"/>
  <c r="BJ20" i="1"/>
  <c r="BJ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Y33" i="2" l="1"/>
  <c r="AH877" i="1"/>
  <c r="AH1175" i="1"/>
  <c r="AI1175" i="1"/>
  <c r="AI590" i="1"/>
  <c r="AI877" i="1"/>
  <c r="AH590" i="1"/>
  <c r="AH954" i="1"/>
  <c r="AI954" i="1"/>
  <c r="DP46" i="2"/>
  <c r="BT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X13" i="1"/>
  <c r="BX11" i="1"/>
  <c r="BX9" i="1"/>
  <c r="BX7" i="1"/>
  <c r="BX10" i="1"/>
  <c r="BX8" i="1"/>
  <c r="BX6" i="1"/>
  <c r="BX12" i="1"/>
  <c r="BX15" i="1"/>
  <c r="BX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G13" i="1"/>
  <c r="BG12" i="1"/>
  <c r="BG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7" i="2" l="1"/>
  <c r="D18" i="2"/>
  <c r="D6" i="2"/>
  <c r="D8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8" i="2"/>
  <c r="V18" i="2"/>
  <c r="W18" i="2"/>
  <c r="AP47" i="5"/>
  <c r="AU42" i="5"/>
  <c r="AI32" i="5"/>
  <c r="AF35" i="5"/>
  <c r="BD39" i="5"/>
  <c r="AM56" i="5"/>
  <c r="AZ15" i="5"/>
  <c r="O52" i="5"/>
  <c r="BF13" i="5"/>
  <c r="M58" i="5"/>
  <c r="V24" i="2"/>
  <c r="W24" i="2"/>
  <c r="U24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5" i="2"/>
  <c r="V9" i="2"/>
  <c r="W9" i="2"/>
  <c r="U9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19" i="2"/>
  <c r="O19" i="2"/>
  <c r="M19" i="2"/>
  <c r="N25" i="2"/>
  <c r="W12" i="2"/>
  <c r="U12" i="2"/>
  <c r="O25" i="2"/>
  <c r="M25" i="2"/>
  <c r="V12" i="2"/>
  <c r="W15" i="2"/>
  <c r="T15" i="2"/>
  <c r="U15" i="2"/>
  <c r="V15" i="2"/>
  <c r="S66" i="1"/>
  <c r="T18" i="2"/>
  <c r="AA62" i="5"/>
  <c r="BJ27" i="5"/>
  <c r="E66" i="5"/>
  <c r="BN5" i="5"/>
  <c r="S62" i="1"/>
  <c r="T24" i="2"/>
  <c r="S77" i="1"/>
  <c r="L22" i="2"/>
  <c r="AH23" i="8"/>
  <c r="S58" i="1"/>
  <c r="T9" i="2"/>
  <c r="S57" i="1"/>
  <c r="L4" i="2"/>
  <c r="T5" i="2"/>
  <c r="V5" i="2"/>
  <c r="W5" i="2"/>
  <c r="U5" i="2"/>
  <c r="T3" i="2"/>
  <c r="U7" i="2"/>
  <c r="V7" i="2"/>
  <c r="O16" i="2"/>
  <c r="W7" i="2"/>
  <c r="N16" i="2"/>
  <c r="T7" i="2"/>
  <c r="S53" i="1"/>
  <c r="L19" i="2"/>
  <c r="S52" i="1"/>
  <c r="T12" i="2"/>
  <c r="L25" i="2"/>
  <c r="N11" i="2"/>
  <c r="O11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7" i="2"/>
  <c r="T27" i="2"/>
  <c r="V27" i="2"/>
  <c r="W27" i="2"/>
  <c r="S46" i="1"/>
  <c r="M17" i="2"/>
  <c r="W10" i="2"/>
  <c r="L17" i="2"/>
  <c r="T10" i="2"/>
  <c r="U10" i="2"/>
  <c r="O17" i="2"/>
  <c r="V10" i="2"/>
  <c r="N17" i="2"/>
  <c r="AP35" i="5"/>
  <c r="AI42" i="5"/>
  <c r="F53" i="5"/>
  <c r="BA6" i="5"/>
  <c r="AL63" i="5"/>
  <c r="BK38" i="5"/>
  <c r="D29" i="2"/>
  <c r="Q8" i="5"/>
  <c r="H17" i="5"/>
  <c r="S45" i="1"/>
  <c r="N14" i="2"/>
  <c r="W20" i="2"/>
  <c r="O14" i="2"/>
  <c r="L14" i="2"/>
  <c r="V20" i="2"/>
  <c r="M14" i="2"/>
  <c r="S44" i="1"/>
  <c r="N28" i="2"/>
  <c r="M28" i="2"/>
  <c r="O28" i="2"/>
  <c r="L28" i="2"/>
  <c r="S43" i="1"/>
  <c r="W21" i="2"/>
  <c r="O31" i="2"/>
  <c r="M31" i="2"/>
  <c r="V21" i="2"/>
  <c r="U21" i="2"/>
  <c r="T21" i="2"/>
  <c r="L31" i="2"/>
  <c r="N31" i="2"/>
  <c r="M13" i="2"/>
  <c r="L13" i="2"/>
  <c r="O13" i="2"/>
  <c r="N13" i="2"/>
  <c r="S41" i="1"/>
  <c r="O2" i="2"/>
  <c r="N2" i="2"/>
  <c r="BM40" i="5"/>
  <c r="AN65" i="5"/>
  <c r="D7" i="2"/>
  <c r="U23" i="2"/>
  <c r="T23" i="2"/>
  <c r="W23" i="2"/>
  <c r="V23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1" i="2"/>
  <c r="N33" i="2"/>
  <c r="M33" i="2"/>
  <c r="L33" i="2"/>
  <c r="U19" i="2"/>
  <c r="W19" i="2"/>
  <c r="O33" i="2"/>
  <c r="V19" i="2"/>
  <c r="T19" i="2"/>
  <c r="V6" i="2"/>
  <c r="T6" i="2"/>
  <c r="U6" i="2"/>
  <c r="W6" i="2"/>
  <c r="BM38" i="5"/>
  <c r="AL65" i="5"/>
  <c r="M7" i="2"/>
  <c r="O7" i="2"/>
  <c r="V8" i="2"/>
  <c r="L7" i="2"/>
  <c r="T8" i="2"/>
  <c r="N7" i="2"/>
  <c r="U8" i="2"/>
  <c r="W8" i="2"/>
  <c r="AO26" i="5"/>
  <c r="Z41" i="5"/>
  <c r="AM46" i="5"/>
  <c r="AT39" i="5"/>
  <c r="AG54" i="5"/>
  <c r="BB33" i="5"/>
  <c r="AQ10" i="5"/>
  <c r="D4" i="2"/>
  <c r="J43" i="5"/>
  <c r="D10" i="2"/>
  <c r="AE16" i="5"/>
  <c r="P31" i="5"/>
  <c r="G6" i="5"/>
  <c r="F7" i="5"/>
  <c r="S26" i="1"/>
  <c r="L29" i="2"/>
  <c r="M29" i="2"/>
  <c r="O29" i="2"/>
  <c r="N29" i="2"/>
  <c r="S33" i="1"/>
  <c r="V26" i="2"/>
  <c r="U26" i="2"/>
  <c r="W26" i="2"/>
  <c r="T26" i="2"/>
  <c r="BC22" i="5"/>
  <c r="V55" i="5"/>
  <c r="S27" i="1"/>
  <c r="L20" i="2"/>
  <c r="O20" i="2"/>
  <c r="N20" i="2"/>
  <c r="M20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28" i="2"/>
  <c r="M15" i="2"/>
  <c r="N15" i="2"/>
  <c r="BH13" i="5"/>
  <c r="D33" i="2"/>
  <c r="M60" i="5"/>
  <c r="BI50" i="5"/>
  <c r="AX61" i="5"/>
  <c r="C48" i="5"/>
  <c r="AV3" i="5"/>
  <c r="D25" i="2"/>
  <c r="D9" i="2"/>
  <c r="U22" i="2"/>
  <c r="L5" i="2"/>
  <c r="M5" i="2"/>
  <c r="T22" i="2"/>
  <c r="V22" i="2"/>
  <c r="W22" i="2"/>
  <c r="N5" i="2"/>
  <c r="O5" i="2"/>
  <c r="S23" i="1"/>
  <c r="W25" i="2"/>
  <c r="U25" i="2"/>
  <c r="M9" i="2"/>
  <c r="N9" i="2"/>
  <c r="O9" i="2"/>
  <c r="T25" i="2"/>
  <c r="L9" i="2"/>
  <c r="V25" i="2"/>
  <c r="BE18" i="5"/>
  <c r="R57" i="5"/>
  <c r="D24" i="2"/>
  <c r="S21" i="1"/>
  <c r="M32" i="2"/>
  <c r="V33" i="2"/>
  <c r="W33" i="2"/>
  <c r="N32" i="2"/>
  <c r="U33" i="2"/>
  <c r="T33" i="2"/>
  <c r="L24" i="2"/>
  <c r="O24" i="2"/>
  <c r="W2" i="2"/>
  <c r="T2" i="2"/>
  <c r="U2" i="2"/>
  <c r="M24" i="2"/>
  <c r="V2" i="2"/>
  <c r="N24" i="2"/>
  <c r="BL19" i="5"/>
  <c r="S64" i="5"/>
  <c r="W28" i="2"/>
  <c r="O3" i="2"/>
  <c r="N3" i="2"/>
  <c r="M3" i="2"/>
  <c r="T28" i="2"/>
  <c r="U28" i="2"/>
  <c r="V28" i="2"/>
  <c r="L3" i="2"/>
  <c r="AJ11" i="5"/>
  <c r="K36" i="5"/>
  <c r="N27" i="2"/>
  <c r="M27" i="2"/>
  <c r="U31" i="2"/>
  <c r="L27" i="2"/>
  <c r="O27" i="2"/>
  <c r="V31" i="2"/>
  <c r="T31" i="2"/>
  <c r="W31" i="2"/>
  <c r="AG10" i="5"/>
  <c r="J33" i="5"/>
  <c r="W4" i="2"/>
  <c r="T4" i="2"/>
  <c r="U4" i="2"/>
  <c r="O18" i="2"/>
  <c r="M18" i="2"/>
  <c r="L18" i="2"/>
  <c r="N18" i="2"/>
  <c r="V4" i="2"/>
  <c r="AQ26" i="5"/>
  <c r="Z43" i="5"/>
  <c r="M10" i="2"/>
  <c r="W17" i="2"/>
  <c r="N10" i="2"/>
  <c r="O10" i="2"/>
  <c r="V17" i="2"/>
  <c r="L10" i="2"/>
  <c r="AO54" i="5"/>
  <c r="D21" i="2"/>
  <c r="D13" i="2"/>
  <c r="BB41" i="5"/>
  <c r="N21" i="2"/>
  <c r="T13" i="2"/>
  <c r="L21" i="2"/>
  <c r="W13" i="2"/>
  <c r="O21" i="2"/>
  <c r="U13" i="2"/>
  <c r="M21" i="2"/>
  <c r="V13" i="2"/>
  <c r="AE22" i="5"/>
  <c r="V31" i="5"/>
  <c r="D14" i="2"/>
  <c r="W14" i="2"/>
  <c r="L12" i="2"/>
  <c r="U14" i="2"/>
  <c r="T14" i="2"/>
  <c r="O12" i="2"/>
  <c r="V14" i="2"/>
  <c r="N12" i="2"/>
  <c r="M12" i="2"/>
  <c r="AM8" i="5"/>
  <c r="H39" i="5"/>
  <c r="N23" i="2"/>
  <c r="V29" i="2"/>
  <c r="O23" i="2"/>
  <c r="U29" i="2"/>
  <c r="T29" i="2"/>
  <c r="W29" i="2"/>
  <c r="M23" i="2"/>
  <c r="L23" i="2"/>
  <c r="O6" i="5"/>
  <c r="F15" i="5"/>
  <c r="D16" i="2"/>
  <c r="O26" i="2"/>
  <c r="W16" i="2"/>
  <c r="V16" i="2"/>
  <c r="U16" i="2"/>
  <c r="T16" i="2"/>
  <c r="L26" i="2"/>
  <c r="N26" i="2"/>
  <c r="M26" i="2"/>
  <c r="AK46" i="5"/>
  <c r="AT37" i="5"/>
  <c r="O8" i="2"/>
  <c r="N8" i="2"/>
  <c r="T11" i="2"/>
  <c r="V11" i="2"/>
  <c r="W11" i="2"/>
  <c r="M8" i="2"/>
  <c r="U11" i="2"/>
  <c r="L8" i="2"/>
  <c r="AC52" i="5"/>
  <c r="AZ29" i="5"/>
  <c r="S17" i="1"/>
  <c r="W30" i="2"/>
  <c r="U30" i="2"/>
  <c r="L6" i="2"/>
  <c r="N6" i="2"/>
  <c r="O6" i="2"/>
  <c r="M6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7" i="2"/>
  <c r="I27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1" i="2"/>
  <c r="I11" i="2" s="1"/>
  <c r="F8" i="2"/>
  <c r="G8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4" i="2"/>
  <c r="I24" i="2" s="1"/>
  <c r="BF13" i="4"/>
  <c r="M58" i="4"/>
  <c r="AT57" i="10"/>
  <c r="BE46" i="10"/>
  <c r="AT57" i="8"/>
  <c r="BE46" i="8"/>
  <c r="H10" i="2"/>
  <c r="I10" i="2" s="1"/>
  <c r="F17" i="2"/>
  <c r="G17" i="2" s="1"/>
  <c r="AR25" i="4"/>
  <c r="Y44" i="4"/>
  <c r="AP49" i="10"/>
  <c r="AW42" i="10"/>
  <c r="AP49" i="8"/>
  <c r="AW42" i="8"/>
  <c r="F7" i="2"/>
  <c r="G7" i="2" s="1"/>
  <c r="H8" i="2"/>
  <c r="I8" i="2" s="1"/>
  <c r="BM38" i="4"/>
  <c r="AL65" i="4"/>
  <c r="AS58" i="10"/>
  <c r="BF45" i="10"/>
  <c r="BF45" i="8"/>
  <c r="AS58" i="8"/>
  <c r="F10" i="2"/>
  <c r="G10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4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8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4" i="2"/>
  <c r="I14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1" i="2"/>
  <c r="G31" i="2" s="1"/>
  <c r="H21" i="2"/>
  <c r="I21" i="2" s="1"/>
  <c r="AP35" i="4"/>
  <c r="AI42" i="4"/>
  <c r="BD65" i="10"/>
  <c r="BM56" i="10"/>
  <c r="BM56" i="8"/>
  <c r="BD65" i="8"/>
  <c r="F20" i="2"/>
  <c r="G20" i="2" s="1"/>
  <c r="BC22" i="4"/>
  <c r="V55" i="4"/>
  <c r="AQ54" i="10"/>
  <c r="BB43" i="10"/>
  <c r="BB43" i="8"/>
  <c r="AQ54" i="8"/>
  <c r="F23" i="2"/>
  <c r="G23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8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16" i="2"/>
  <c r="I16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5" i="2"/>
  <c r="I5" i="2" s="1"/>
  <c r="F15" i="2"/>
  <c r="G15" i="2" s="1"/>
  <c r="L15" i="2"/>
  <c r="O15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9" i="2"/>
  <c r="H19" i="2"/>
  <c r="I19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5" i="2"/>
  <c r="I25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5" i="2"/>
  <c r="G5" i="2" s="1"/>
  <c r="H22" i="2"/>
  <c r="I22" i="2" s="1"/>
  <c r="BG66" i="10"/>
  <c r="BN59" i="10"/>
  <c r="BN59" i="8"/>
  <c r="BG66" i="8"/>
  <c r="T20" i="2"/>
  <c r="D12" i="2"/>
  <c r="H20" i="2"/>
  <c r="I20" i="2" s="1"/>
  <c r="BD31" i="5"/>
  <c r="AE56" i="5"/>
  <c r="D20" i="2"/>
  <c r="U20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6" i="2"/>
  <c r="G16" i="2" s="1"/>
  <c r="E66" i="4"/>
  <c r="BN5" i="4"/>
  <c r="H7" i="2"/>
  <c r="I7" i="2" s="1"/>
  <c r="L16" i="2"/>
  <c r="M16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9" i="2"/>
  <c r="G19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5" i="2"/>
  <c r="I15" i="2" s="1"/>
  <c r="AB17" i="4"/>
  <c r="Q28" i="4"/>
  <c r="D2" i="2"/>
  <c r="F2" i="2"/>
  <c r="G2" i="2" s="1"/>
  <c r="L2" i="2"/>
  <c r="AB17" i="5"/>
  <c r="M2" i="2"/>
  <c r="Q28" i="5"/>
  <c r="D15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5" i="2"/>
  <c r="G25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4" i="2"/>
  <c r="G24" i="2" s="1"/>
  <c r="BE18" i="4"/>
  <c r="R57" i="4"/>
  <c r="AU44" i="10"/>
  <c r="AR47" i="10"/>
  <c r="AU44" i="8"/>
  <c r="AR47" i="8"/>
  <c r="D23" i="2"/>
  <c r="AS40" i="5"/>
  <c r="AN45" i="5"/>
  <c r="M11" i="2"/>
  <c r="F11" i="2"/>
  <c r="G11" i="2" s="1"/>
  <c r="H23" i="2"/>
  <c r="I23" i="2" s="1"/>
  <c r="D11" i="2"/>
  <c r="L11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8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7" i="2"/>
  <c r="G27" i="2" s="1"/>
  <c r="H31" i="2"/>
  <c r="I31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6" i="2"/>
  <c r="I6" i="2" s="1"/>
  <c r="K30" i="4"/>
  <c r="AD11" i="4"/>
  <c r="S58" i="10"/>
  <c r="BF19" i="10"/>
  <c r="BF19" i="8"/>
  <c r="S58" i="8"/>
  <c r="BE12" i="1"/>
  <c r="BE13" i="1"/>
  <c r="Z15" i="5"/>
  <c r="D17" i="2"/>
  <c r="O26" i="5"/>
  <c r="D26" i="2"/>
  <c r="CS10" i="2"/>
  <c r="F26" i="2"/>
  <c r="G26" i="2" s="1"/>
  <c r="CS9" i="2"/>
  <c r="Z15" i="4"/>
  <c r="U17" i="2"/>
  <c r="O26" i="4"/>
  <c r="H17" i="2"/>
  <c r="I17" i="2" s="1"/>
  <c r="T17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8" i="2"/>
  <c r="I18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6" i="2"/>
  <c r="G6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6" i="2"/>
  <c r="O991" i="1"/>
  <c r="AD991" i="1" s="1"/>
  <c r="BU19" i="2"/>
  <c r="BU3" i="2"/>
  <c r="BU20" i="2"/>
  <c r="BU33" i="2"/>
  <c r="BU30" i="2"/>
  <c r="BU21" i="2"/>
  <c r="BU28" i="2"/>
  <c r="BU26" i="2"/>
  <c r="BU27" i="2"/>
  <c r="BU18" i="2"/>
  <c r="BU29" i="2"/>
  <c r="BU5" i="2"/>
  <c r="BU31" i="2"/>
  <c r="BU32" i="2"/>
  <c r="BU4" i="2"/>
  <c r="BU16" i="2"/>
  <c r="BU24" i="2"/>
  <c r="BU22" i="2"/>
  <c r="BU8" i="2"/>
  <c r="BU17" i="2"/>
  <c r="BU23" i="2"/>
  <c r="BU11" i="2"/>
  <c r="BU13" i="2"/>
  <c r="BU25" i="2"/>
  <c r="BU7" i="2"/>
  <c r="BU9" i="2"/>
  <c r="BU10" i="2"/>
  <c r="BU14" i="2"/>
  <c r="O989" i="1"/>
  <c r="AD989" i="1" s="1"/>
  <c r="BU15" i="2"/>
  <c r="O984" i="1"/>
  <c r="AD984" i="1" s="1"/>
  <c r="BT8" i="2"/>
  <c r="O953" i="1"/>
  <c r="AD953" i="1" s="1"/>
  <c r="BT17" i="2"/>
  <c r="BT15" i="2"/>
  <c r="O977" i="1"/>
  <c r="AD977" i="1" s="1"/>
  <c r="BT5" i="2"/>
  <c r="BT19" i="2"/>
  <c r="BT12" i="2"/>
  <c r="BT2" i="2"/>
  <c r="BT31" i="2"/>
  <c r="BT33" i="2"/>
  <c r="BT6" i="2"/>
  <c r="BT21" i="2"/>
  <c r="BT4" i="2"/>
  <c r="BT7" i="2"/>
  <c r="BT11" i="2"/>
  <c r="BT32" i="2"/>
  <c r="BT28" i="2"/>
  <c r="BT23" i="2"/>
  <c r="BT29" i="2"/>
  <c r="BT25" i="2"/>
  <c r="BT30" i="2"/>
  <c r="BT20" i="2"/>
  <c r="BT16" i="2"/>
  <c r="BT27" i="2"/>
  <c r="BT13" i="2"/>
  <c r="BT9" i="2"/>
  <c r="BT18" i="2"/>
  <c r="BT26" i="2"/>
  <c r="BT3" i="2"/>
  <c r="BT24" i="2"/>
  <c r="BT10" i="2"/>
  <c r="BT14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0" i="2"/>
  <c r="BG30" i="2"/>
  <c r="BE30" i="2"/>
  <c r="BF8" i="2"/>
  <c r="BE33" i="2"/>
  <c r="BA22" i="2"/>
  <c r="BG16" i="2"/>
  <c r="BA7" i="2"/>
  <c r="BF24" i="2"/>
  <c r="BG25" i="2"/>
  <c r="BE7" i="2"/>
  <c r="BF20" i="2"/>
  <c r="BG13" i="2"/>
  <c r="BA8" i="2"/>
  <c r="BA5" i="2"/>
  <c r="BG33" i="2"/>
  <c r="BE20" i="2"/>
  <c r="BF3" i="2"/>
  <c r="BA32" i="2"/>
  <c r="BA27" i="2"/>
  <c r="BF4" i="2"/>
  <c r="BA25" i="2"/>
  <c r="BF10" i="2"/>
  <c r="BG31" i="2"/>
  <c r="BA15" i="2"/>
  <c r="BF12" i="2"/>
  <c r="BG19" i="2"/>
  <c r="BE14" i="2"/>
  <c r="BA26" i="2"/>
  <c r="BG24" i="2"/>
  <c r="BG11" i="2"/>
  <c r="BG18" i="2"/>
  <c r="BE6" i="2"/>
  <c r="BA17" i="2"/>
  <c r="BF19" i="2"/>
  <c r="BF32" i="2"/>
  <c r="BG29" i="2"/>
  <c r="BA19" i="2"/>
  <c r="BE32" i="2"/>
  <c r="BA11" i="2"/>
  <c r="BA21" i="2"/>
  <c r="BF18" i="2"/>
  <c r="BE17" i="2"/>
  <c r="BG2" i="2"/>
  <c r="BE2" i="2"/>
  <c r="BA16" i="2"/>
  <c r="BF5" i="2"/>
  <c r="BG28" i="2"/>
  <c r="BE5" i="2"/>
  <c r="BA33" i="2"/>
  <c r="BF11" i="2"/>
  <c r="BA10" i="2"/>
  <c r="BA23" i="2"/>
  <c r="BE29" i="2"/>
  <c r="BE8" i="2"/>
  <c r="BA31" i="2"/>
  <c r="BF17" i="2"/>
  <c r="BA14" i="2"/>
  <c r="BE3" i="2"/>
  <c r="BE27" i="2"/>
  <c r="BA4" i="2"/>
  <c r="BE13" i="2"/>
  <c r="BF7" i="2"/>
  <c r="BA30" i="2"/>
  <c r="BF22" i="2"/>
  <c r="BE11" i="2"/>
  <c r="BE23" i="2"/>
  <c r="BG12" i="2"/>
  <c r="BF6" i="2"/>
  <c r="BE16" i="2"/>
  <c r="BF33" i="2"/>
  <c r="BE24" i="2"/>
  <c r="BA20" i="2"/>
  <c r="BF13" i="2"/>
  <c r="BE22" i="2"/>
  <c r="BE25" i="2"/>
  <c r="BG23" i="2"/>
  <c r="BE18" i="2"/>
  <c r="BE15" i="2"/>
  <c r="BG14" i="2"/>
  <c r="BA3" i="2"/>
  <c r="BA2" i="2"/>
  <c r="BE26" i="2"/>
  <c r="BG4" i="2"/>
  <c r="BF29" i="2"/>
  <c r="BG7" i="2"/>
  <c r="BE10" i="2"/>
  <c r="BG21" i="2"/>
  <c r="BG15" i="2"/>
  <c r="BG26" i="2"/>
  <c r="BG27" i="2"/>
  <c r="BE4" i="2"/>
  <c r="BA29" i="2"/>
  <c r="BA28" i="2"/>
  <c r="BE28" i="2"/>
  <c r="BA24" i="2"/>
  <c r="BE21" i="2"/>
  <c r="BE31" i="2"/>
  <c r="BE12" i="2"/>
  <c r="BG6" i="2"/>
  <c r="BA13" i="2"/>
  <c r="BG10" i="2"/>
  <c r="BA6" i="2"/>
  <c r="BE19" i="2"/>
  <c r="BF14" i="2"/>
  <c r="BG3" i="2"/>
  <c r="BF16" i="2"/>
  <c r="BF28" i="2"/>
  <c r="BG5" i="2"/>
  <c r="BF30" i="2"/>
  <c r="BG22" i="2"/>
  <c r="BF23" i="2"/>
  <c r="BG8" i="2"/>
  <c r="BF15" i="2"/>
  <c r="BG17" i="2"/>
  <c r="BF26" i="2"/>
  <c r="BG32" i="2"/>
  <c r="BF21" i="2"/>
  <c r="BF2" i="2"/>
  <c r="BA18" i="2"/>
  <c r="BF25" i="2"/>
  <c r="BF31" i="2"/>
  <c r="BA12" i="2"/>
  <c r="BF27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P3" i="6" l="1"/>
  <c r="P4" i="6"/>
  <c r="P5" i="6"/>
  <c r="P2" i="6"/>
  <c r="H39" i="7"/>
  <c r="G39" i="7"/>
  <c r="D9" i="7"/>
  <c r="F39" i="7"/>
  <c r="E9" i="7"/>
  <c r="E39" i="7"/>
  <c r="F9" i="7"/>
  <c r="D39" i="7"/>
  <c r="G9" i="7"/>
  <c r="H9" i="7"/>
  <c r="P6" i="6"/>
  <c r="J7" i="6"/>
  <c r="D19" i="7"/>
  <c r="E19" i="7"/>
  <c r="F19" i="7"/>
  <c r="J2" i="6"/>
  <c r="G19" i="7"/>
  <c r="H19" i="7"/>
  <c r="J6" i="6"/>
  <c r="I56" i="7"/>
  <c r="I19" i="7"/>
  <c r="H56" i="7"/>
  <c r="J3" i="6"/>
  <c r="J4" i="6"/>
  <c r="J5" i="6"/>
  <c r="G56" i="7"/>
  <c r="F56" i="7"/>
  <c r="E56" i="7"/>
  <c r="D56" i="7"/>
  <c r="AC1158" i="1"/>
  <c r="AD908" i="1"/>
  <c r="AC1138" i="1"/>
  <c r="AD1030" i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18" i="2"/>
  <c r="Y18" i="2"/>
  <c r="AA18" i="2"/>
  <c r="AD65" i="1"/>
  <c r="BE20" i="1"/>
  <c r="AD63" i="1"/>
  <c r="BE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4" i="2"/>
  <c r="Z24" i="2"/>
  <c r="AA24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4" i="2"/>
  <c r="R4" i="2"/>
  <c r="S4" i="2"/>
  <c r="AA3" i="2"/>
  <c r="Z3" i="2"/>
  <c r="Y3" i="2"/>
  <c r="R19" i="2"/>
  <c r="Q19" i="2"/>
  <c r="S19" i="2"/>
  <c r="S25" i="2"/>
  <c r="R25" i="2"/>
  <c r="Q25" i="2"/>
  <c r="Y12" i="2"/>
  <c r="AA12" i="2"/>
  <c r="Z12" i="2"/>
  <c r="AD1133" i="1"/>
  <c r="AC1119" i="1"/>
  <c r="AD933" i="1"/>
  <c r="AC1135" i="1"/>
  <c r="AC1066" i="1"/>
  <c r="Z5" i="2"/>
  <c r="AA5" i="2"/>
  <c r="Y5" i="2"/>
  <c r="AC1094" i="1"/>
  <c r="AD902" i="1"/>
  <c r="AD747" i="1"/>
  <c r="R11" i="2"/>
  <c r="Q11" i="2"/>
  <c r="S11" i="2"/>
  <c r="AC1148" i="1"/>
  <c r="AC1162" i="1"/>
  <c r="Z15" i="2"/>
  <c r="AA15" i="2"/>
  <c r="Y15" i="2"/>
  <c r="S16" i="2"/>
  <c r="AA7" i="2"/>
  <c r="Y7" i="2"/>
  <c r="Z7" i="2"/>
  <c r="Q16" i="2"/>
  <c r="R16" i="2"/>
  <c r="Z27" i="2"/>
  <c r="AA27" i="2"/>
  <c r="Y27" i="2"/>
  <c r="R17" i="2"/>
  <c r="AA10" i="2"/>
  <c r="Z10" i="2"/>
  <c r="S17" i="2"/>
  <c r="Y10" i="2"/>
  <c r="Q17" i="2"/>
  <c r="AA20" i="2"/>
  <c r="Y20" i="2"/>
  <c r="Q14" i="2"/>
  <c r="Z20" i="2"/>
  <c r="S14" i="2"/>
  <c r="R14" i="2"/>
  <c r="R28" i="2"/>
  <c r="S28" i="2"/>
  <c r="Q28" i="2"/>
  <c r="R31" i="2"/>
  <c r="Y21" i="2"/>
  <c r="Q31" i="2"/>
  <c r="AA21" i="2"/>
  <c r="Z21" i="2"/>
  <c r="S31" i="2"/>
  <c r="Q13" i="2"/>
  <c r="R13" i="2"/>
  <c r="S13" i="2"/>
  <c r="Q2" i="2"/>
  <c r="R2" i="2"/>
  <c r="S2" i="2"/>
  <c r="Y23" i="2"/>
  <c r="Z23" i="2"/>
  <c r="AA23" i="2"/>
  <c r="Z19" i="2"/>
  <c r="R33" i="2"/>
  <c r="AA19" i="2"/>
  <c r="S33" i="2"/>
  <c r="Q33" i="2"/>
  <c r="Y19" i="2"/>
  <c r="AA6" i="2"/>
  <c r="Z6" i="2"/>
  <c r="Y6" i="2"/>
  <c r="S7" i="2"/>
  <c r="Y8" i="2"/>
  <c r="Z8" i="2"/>
  <c r="Q7" i="2"/>
  <c r="AA8" i="2"/>
  <c r="R7" i="2"/>
  <c r="Q29" i="2"/>
  <c r="S29" i="2"/>
  <c r="R29" i="2"/>
  <c r="Z26" i="2"/>
  <c r="Y26" i="2"/>
  <c r="AA26" i="2"/>
  <c r="R20" i="2"/>
  <c r="Q20" i="2"/>
  <c r="S20" i="2"/>
  <c r="R30" i="2"/>
  <c r="AA32" i="2"/>
  <c r="Q30" i="2"/>
  <c r="S30" i="2"/>
  <c r="Y32" i="2"/>
  <c r="Z32" i="2"/>
  <c r="Q15" i="2"/>
  <c r="R15" i="2"/>
  <c r="S15" i="2"/>
  <c r="J69" i="7"/>
  <c r="Y8" i="6"/>
  <c r="J25" i="7"/>
  <c r="AA22" i="2"/>
  <c r="S5" i="2"/>
  <c r="Q5" i="2"/>
  <c r="Z22" i="2"/>
  <c r="Y22" i="2"/>
  <c r="R5" i="2"/>
  <c r="J21" i="7"/>
  <c r="B8" i="6"/>
  <c r="J67" i="7"/>
  <c r="S9" i="2"/>
  <c r="Z25" i="2"/>
  <c r="R9" i="2"/>
  <c r="AA25" i="2"/>
  <c r="Q9" i="2"/>
  <c r="Y25" i="2"/>
  <c r="AD8" i="6"/>
  <c r="J33" i="7"/>
  <c r="J63" i="7"/>
  <c r="Q32" i="2"/>
  <c r="Y33" i="2"/>
  <c r="Z33" i="2"/>
  <c r="S32" i="2"/>
  <c r="AA33" i="2"/>
  <c r="R32" i="2"/>
  <c r="Z2" i="2"/>
  <c r="AA2" i="2"/>
  <c r="Q24" i="2"/>
  <c r="Y2" i="2"/>
  <c r="S24" i="2"/>
  <c r="R24" i="2"/>
  <c r="J26" i="7"/>
  <c r="AC8" i="6"/>
  <c r="J58" i="7"/>
  <c r="J55" i="7"/>
  <c r="J29" i="7"/>
  <c r="AF8" i="6"/>
  <c r="J8" i="6"/>
  <c r="J56" i="7"/>
  <c r="J19" i="7"/>
  <c r="Y28" i="2"/>
  <c r="Z28" i="2"/>
  <c r="AA28" i="2"/>
  <c r="S3" i="2"/>
  <c r="Q3" i="2"/>
  <c r="R3" i="2"/>
  <c r="R27" i="2"/>
  <c r="Q27" i="2"/>
  <c r="Z31" i="2"/>
  <c r="Y31" i="2"/>
  <c r="AA31" i="2"/>
  <c r="S27" i="2"/>
  <c r="Z4" i="2"/>
  <c r="R18" i="2"/>
  <c r="AA4" i="2"/>
  <c r="Y4" i="2"/>
  <c r="S18" i="2"/>
  <c r="Q18" i="2"/>
  <c r="S10" i="2"/>
  <c r="Q10" i="2"/>
  <c r="AA17" i="2"/>
  <c r="R10" i="2"/>
  <c r="Y17" i="2"/>
  <c r="Z17" i="2"/>
  <c r="Z13" i="2"/>
  <c r="Q21" i="2"/>
  <c r="AA13" i="2"/>
  <c r="Y13" i="2"/>
  <c r="R21" i="2"/>
  <c r="S21" i="2"/>
  <c r="Y14" i="2"/>
  <c r="R12" i="2"/>
  <c r="Q12" i="2"/>
  <c r="AA14" i="2"/>
  <c r="Z14" i="2"/>
  <c r="S12" i="2"/>
  <c r="AA29" i="2"/>
  <c r="Q23" i="2"/>
  <c r="Y29" i="2"/>
  <c r="S23" i="2"/>
  <c r="R23" i="2"/>
  <c r="Z29" i="2"/>
  <c r="AD10" i="1"/>
  <c r="BE22" i="1"/>
  <c r="Q26" i="2"/>
  <c r="R26" i="2"/>
  <c r="AH26" i="2" s="1"/>
  <c r="AA16" i="2"/>
  <c r="Z16" i="2"/>
  <c r="S26" i="2"/>
  <c r="Y16" i="2"/>
  <c r="AA11" i="2"/>
  <c r="Q8" i="2"/>
  <c r="Z11" i="2"/>
  <c r="Y11" i="2"/>
  <c r="S8" i="2"/>
  <c r="R8" i="2"/>
  <c r="AD17" i="1"/>
  <c r="BN6" i="1"/>
  <c r="BN7" i="1"/>
  <c r="Y30" i="2"/>
  <c r="Z30" i="2"/>
  <c r="S6" i="2"/>
  <c r="R6" i="2"/>
  <c r="AA30" i="2"/>
  <c r="Q6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13" i="7"/>
  <c r="I13" i="7"/>
  <c r="J41" i="7"/>
  <c r="I41" i="7"/>
  <c r="L41" i="7"/>
  <c r="M41" i="7"/>
  <c r="K41" i="7"/>
  <c r="J13" i="7"/>
  <c r="L13" i="7"/>
  <c r="K13" i="7"/>
  <c r="M13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1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1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1" i="7"/>
  <c r="ER21" i="7"/>
  <c r="BA21" i="7"/>
  <c r="ES21" i="7"/>
  <c r="BB21" i="7"/>
  <c r="ET21" i="7"/>
  <c r="BC21" i="7"/>
  <c r="EU21" i="7"/>
  <c r="BD21" i="7"/>
  <c r="EV21" i="7"/>
  <c r="BE21" i="7"/>
  <c r="EW21" i="7"/>
  <c r="BF21" i="7"/>
  <c r="EX21" i="7"/>
  <c r="BG21" i="7"/>
  <c r="EY21" i="7"/>
  <c r="BH21" i="7"/>
  <c r="EZ21" i="7"/>
  <c r="BI21" i="7"/>
  <c r="FA21" i="7"/>
  <c r="BJ21" i="7"/>
  <c r="FB21" i="7"/>
  <c r="BK21" i="7"/>
  <c r="FC21" i="7"/>
  <c r="BL21" i="7"/>
  <c r="FD21" i="7"/>
  <c r="BM21" i="7"/>
  <c r="FE21" i="7"/>
  <c r="BN21" i="7"/>
  <c r="FF21" i="7"/>
  <c r="BO21" i="7"/>
  <c r="FG21" i="7"/>
  <c r="BP21" i="7"/>
  <c r="FH21" i="7"/>
  <c r="BQ21" i="7"/>
  <c r="FI21" i="7"/>
  <c r="BR21" i="7"/>
  <c r="FJ21" i="7"/>
  <c r="BS21" i="7"/>
  <c r="FK21" i="7"/>
  <c r="BT21" i="7"/>
  <c r="FL21" i="7"/>
  <c r="BU21" i="7"/>
  <c r="FM21" i="7"/>
  <c r="BV21" i="7"/>
  <c r="FN21" i="7"/>
  <c r="BW21" i="7"/>
  <c r="FO21" i="7"/>
  <c r="BX21" i="7"/>
  <c r="FP21" i="7"/>
  <c r="BY21" i="7"/>
  <c r="FQ21" i="7"/>
  <c r="BZ21" i="7"/>
  <c r="FR21" i="7"/>
  <c r="CA21" i="7"/>
  <c r="FS21" i="7"/>
  <c r="CB21" i="7"/>
  <c r="FT21" i="7"/>
  <c r="CC21" i="7"/>
  <c r="FU21" i="7"/>
  <c r="CD21" i="7"/>
  <c r="FV21" i="7"/>
  <c r="CE21" i="7"/>
  <c r="FW21" i="7"/>
  <c r="CF21" i="7"/>
  <c r="FX21" i="7"/>
  <c r="CG21" i="7"/>
  <c r="FY21" i="7"/>
  <c r="CH21" i="7"/>
  <c r="FZ21" i="7"/>
  <c r="CI21" i="7"/>
  <c r="GA21" i="7"/>
  <c r="CJ21" i="7"/>
  <c r="GB21" i="7"/>
  <c r="CK21" i="7"/>
  <c r="GC21" i="7"/>
  <c r="CL21" i="7"/>
  <c r="GD21" i="7"/>
  <c r="CM21" i="7"/>
  <c r="GE21" i="7"/>
  <c r="CN21" i="7"/>
  <c r="GF21" i="7"/>
  <c r="CO21" i="7"/>
  <c r="GG21" i="7"/>
  <c r="CP21" i="7"/>
  <c r="GH21" i="7"/>
  <c r="CQ21" i="7"/>
  <c r="GI21" i="7"/>
  <c r="CR21" i="7"/>
  <c r="GJ21" i="7"/>
  <c r="CS21" i="7"/>
  <c r="GK21" i="7"/>
  <c r="CT21" i="7"/>
  <c r="GL21" i="7"/>
  <c r="CU21" i="7"/>
  <c r="GM21" i="7"/>
  <c r="CV21" i="7"/>
  <c r="GN21" i="7"/>
  <c r="CW21" i="7"/>
  <c r="GO21" i="7"/>
  <c r="CX21" i="7"/>
  <c r="GP21" i="7"/>
  <c r="CY21" i="7"/>
  <c r="GQ21" i="7"/>
  <c r="CZ21" i="7"/>
  <c r="GR21" i="7"/>
  <c r="DA21" i="7"/>
  <c r="GS21" i="7"/>
  <c r="DB21" i="7"/>
  <c r="GT21" i="7"/>
  <c r="DC21" i="7"/>
  <c r="GU21" i="7"/>
  <c r="DD21" i="7"/>
  <c r="M21" i="7"/>
  <c r="DE21" i="7"/>
  <c r="N21" i="7"/>
  <c r="DF21" i="7"/>
  <c r="O21" i="7"/>
  <c r="DG21" i="7"/>
  <c r="P21" i="7"/>
  <c r="DH21" i="7"/>
  <c r="Q21" i="7"/>
  <c r="DI21" i="7"/>
  <c r="R21" i="7"/>
  <c r="DJ21" i="7"/>
  <c r="S21" i="7"/>
  <c r="DK21" i="7"/>
  <c r="T21" i="7"/>
  <c r="DL21" i="7"/>
  <c r="U21" i="7"/>
  <c r="DM21" i="7"/>
  <c r="V21" i="7"/>
  <c r="DN21" i="7"/>
  <c r="W21" i="7"/>
  <c r="DO21" i="7"/>
  <c r="X21" i="7"/>
  <c r="DP21" i="7"/>
  <c r="Y21" i="7"/>
  <c r="DQ21" i="7"/>
  <c r="Z21" i="7"/>
  <c r="DR21" i="7"/>
  <c r="AA21" i="7"/>
  <c r="DS21" i="7"/>
  <c r="AB21" i="7"/>
  <c r="DT21" i="7"/>
  <c r="AC21" i="7"/>
  <c r="DU21" i="7"/>
  <c r="AD21" i="7"/>
  <c r="DV21" i="7"/>
  <c r="AE21" i="7"/>
  <c r="DW21" i="7"/>
  <c r="AF21" i="7"/>
  <c r="DX21" i="7"/>
  <c r="AG21" i="7"/>
  <c r="DY21" i="7"/>
  <c r="AH21" i="7"/>
  <c r="DZ21" i="7"/>
  <c r="AI21" i="7"/>
  <c r="EA21" i="7"/>
  <c r="AJ21" i="7"/>
  <c r="EB21" i="7"/>
  <c r="AK21" i="7"/>
  <c r="EC21" i="7"/>
  <c r="AL21" i="7"/>
  <c r="ED21" i="7"/>
  <c r="AM21" i="7"/>
  <c r="EE21" i="7"/>
  <c r="AN21" i="7"/>
  <c r="EF21" i="7"/>
  <c r="AO21" i="7"/>
  <c r="EG21" i="7"/>
  <c r="AP21" i="7"/>
  <c r="EH21" i="7"/>
  <c r="AQ21" i="7"/>
  <c r="EI21" i="7"/>
  <c r="AR21" i="7"/>
  <c r="EJ21" i="7"/>
  <c r="AS21" i="7"/>
  <c r="EK21" i="7"/>
  <c r="AT21" i="7"/>
  <c r="EL21" i="7"/>
  <c r="AU21" i="7"/>
  <c r="EM21" i="7"/>
  <c r="AV21" i="7"/>
  <c r="EN21" i="7"/>
  <c r="AW21" i="7"/>
  <c r="EO21" i="7"/>
  <c r="AX21" i="7"/>
  <c r="EP21" i="7"/>
  <c r="AY21" i="7"/>
  <c r="EQ21" i="7"/>
  <c r="M64" i="7"/>
  <c r="K30" i="7"/>
  <c r="J64" i="7"/>
  <c r="N64" i="7"/>
  <c r="L64" i="7"/>
  <c r="K64" i="7"/>
  <c r="J30" i="7"/>
  <c r="L30" i="7"/>
  <c r="N30" i="7"/>
  <c r="M30" i="7"/>
  <c r="I50" i="7"/>
  <c r="H50" i="7"/>
  <c r="I12" i="7"/>
  <c r="H12" i="7"/>
  <c r="AC844" i="1"/>
  <c r="AC1096" i="1"/>
  <c r="P69" i="7"/>
  <c r="Q69" i="7"/>
  <c r="R69" i="7"/>
  <c r="L69" i="7"/>
  <c r="K69" i="7"/>
  <c r="O69" i="7"/>
  <c r="M69" i="7"/>
  <c r="N69" i="7"/>
  <c r="N25" i="7"/>
  <c r="K25" i="7"/>
  <c r="L25" i="7"/>
  <c r="M25" i="7"/>
  <c r="O25" i="7"/>
  <c r="P25" i="7"/>
  <c r="Q25" i="7"/>
  <c r="R25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6" i="7"/>
  <c r="FC6" i="7"/>
  <c r="O6" i="7"/>
  <c r="DG6" i="7"/>
  <c r="AS6" i="7"/>
  <c r="EW6" i="7"/>
  <c r="BF6" i="7"/>
  <c r="EX6" i="7"/>
  <c r="BA6" i="7"/>
  <c r="ES6" i="7"/>
  <c r="AX6" i="7"/>
  <c r="EP6" i="7"/>
  <c r="DP6" i="7"/>
  <c r="R6" i="7"/>
  <c r="DE6" i="7"/>
  <c r="ET6" i="7"/>
  <c r="AY6" i="7"/>
  <c r="FI6" i="7"/>
  <c r="BL6" i="7"/>
  <c r="FD6" i="7"/>
  <c r="BG6" i="7"/>
  <c r="EY6" i="7"/>
  <c r="BD6" i="7"/>
  <c r="EV6" i="7"/>
  <c r="EH6" i="7"/>
  <c r="AJ6" i="7"/>
  <c r="DW6" i="7"/>
  <c r="AQ6" i="7"/>
  <c r="BE6" i="7"/>
  <c r="FO6" i="7"/>
  <c r="BR6" i="7"/>
  <c r="FJ6" i="7"/>
  <c r="BM6" i="7"/>
  <c r="FE6" i="7"/>
  <c r="BJ6" i="7"/>
  <c r="FB6" i="7"/>
  <c r="EZ6" i="7"/>
  <c r="BB6" i="7"/>
  <c r="EO6" i="7"/>
  <c r="CS6" i="7"/>
  <c r="BQ6" i="7"/>
  <c r="FU6" i="7"/>
  <c r="BX6" i="7"/>
  <c r="FP6" i="7"/>
  <c r="BS6" i="7"/>
  <c r="FK6" i="7"/>
  <c r="BP6" i="7"/>
  <c r="FH6" i="7"/>
  <c r="FR6" i="7"/>
  <c r="BT6" i="7"/>
  <c r="FG6" i="7"/>
  <c r="EU6" i="7"/>
  <c r="BW6" i="7"/>
  <c r="GA6" i="7"/>
  <c r="CD6" i="7"/>
  <c r="FV6" i="7"/>
  <c r="BY6" i="7"/>
  <c r="FQ6" i="7"/>
  <c r="BV6" i="7"/>
  <c r="FN6" i="7"/>
  <c r="GJ6" i="7"/>
  <c r="CL6" i="7"/>
  <c r="FY6" i="7"/>
  <c r="BH6" i="7"/>
  <c r="CC6" i="7"/>
  <c r="GG6" i="7"/>
  <c r="CJ6" i="7"/>
  <c r="GB6" i="7"/>
  <c r="CE6" i="7"/>
  <c r="FW6" i="7"/>
  <c r="CB6" i="7"/>
  <c r="FT6" i="7"/>
  <c r="M6" i="7"/>
  <c r="DD6" i="7"/>
  <c r="GQ6" i="7"/>
  <c r="DJ6" i="7"/>
  <c r="CI6" i="7"/>
  <c r="GM6" i="7"/>
  <c r="CP6" i="7"/>
  <c r="GH6" i="7"/>
  <c r="CK6" i="7"/>
  <c r="GC6" i="7"/>
  <c r="CH6" i="7"/>
  <c r="FZ6" i="7"/>
  <c r="AE6" i="7"/>
  <c r="DV6" i="7"/>
  <c r="X6" i="7"/>
  <c r="FL6" i="7"/>
  <c r="CO6" i="7"/>
  <c r="GS6" i="7"/>
  <c r="CV6" i="7"/>
  <c r="GN6" i="7"/>
  <c r="CQ6" i="7"/>
  <c r="GI6" i="7"/>
  <c r="CN6" i="7"/>
  <c r="GF6" i="7"/>
  <c r="AW6" i="7"/>
  <c r="EN6" i="7"/>
  <c r="BZ6" i="7"/>
  <c r="BI6" i="7"/>
  <c r="CU6" i="7"/>
  <c r="J6" i="7"/>
  <c r="DB6" i="7"/>
  <c r="GT6" i="7"/>
  <c r="CW6" i="7"/>
  <c r="GO6" i="7"/>
  <c r="CT6" i="7"/>
  <c r="GL6" i="7"/>
  <c r="BO6" i="7"/>
  <c r="FF6" i="7"/>
  <c r="EB6" i="7"/>
  <c r="DK6" i="7"/>
  <c r="DA6" i="7"/>
  <c r="P6" i="7"/>
  <c r="DH6" i="7"/>
  <c r="K6" i="7"/>
  <c r="DC6" i="7"/>
  <c r="GU6" i="7"/>
  <c r="CZ6" i="7"/>
  <c r="GR6" i="7"/>
  <c r="CG6" i="7"/>
  <c r="FX6" i="7"/>
  <c r="GD6" i="7"/>
  <c r="FM6" i="7"/>
  <c r="DM6" i="7"/>
  <c r="V6" i="7"/>
  <c r="DN6" i="7"/>
  <c r="Q6" i="7"/>
  <c r="DI6" i="7"/>
  <c r="N6" i="7"/>
  <c r="DF6" i="7"/>
  <c r="L6" i="7"/>
  <c r="CY6" i="7"/>
  <c r="GP6" i="7"/>
  <c r="Y6" i="7"/>
  <c r="I6" i="7"/>
  <c r="DS6" i="7"/>
  <c r="AB6" i="7"/>
  <c r="DT6" i="7"/>
  <c r="W6" i="7"/>
  <c r="DO6" i="7"/>
  <c r="T6" i="7"/>
  <c r="DL6" i="7"/>
  <c r="AD6" i="7"/>
  <c r="DQ6" i="7"/>
  <c r="S6" i="7"/>
  <c r="CA6" i="7"/>
  <c r="U6" i="7"/>
  <c r="DY6" i="7"/>
  <c r="AH6" i="7"/>
  <c r="DZ6" i="7"/>
  <c r="AC6" i="7"/>
  <c r="DU6" i="7"/>
  <c r="Z6" i="7"/>
  <c r="DR6" i="7"/>
  <c r="AV6" i="7"/>
  <c r="EI6" i="7"/>
  <c r="AK6" i="7"/>
  <c r="EC6" i="7"/>
  <c r="AA6" i="7"/>
  <c r="EE6" i="7"/>
  <c r="AN6" i="7"/>
  <c r="EF6" i="7"/>
  <c r="AI6" i="7"/>
  <c r="EA6" i="7"/>
  <c r="AF6" i="7"/>
  <c r="DX6" i="7"/>
  <c r="BN6" i="7"/>
  <c r="FA6" i="7"/>
  <c r="BC6" i="7"/>
  <c r="GE6" i="7"/>
  <c r="AG6" i="7"/>
  <c r="EK6" i="7"/>
  <c r="AT6" i="7"/>
  <c r="EL6" i="7"/>
  <c r="AO6" i="7"/>
  <c r="EG6" i="7"/>
  <c r="AL6" i="7"/>
  <c r="ED6" i="7"/>
  <c r="CF6" i="7"/>
  <c r="FS6" i="7"/>
  <c r="BU6" i="7"/>
  <c r="AP6" i="7"/>
  <c r="AM6" i="7"/>
  <c r="EQ6" i="7"/>
  <c r="AZ6" i="7"/>
  <c r="ER6" i="7"/>
  <c r="AU6" i="7"/>
  <c r="EM6" i="7"/>
  <c r="AR6" i="7"/>
  <c r="EJ6" i="7"/>
  <c r="CX6" i="7"/>
  <c r="GK6" i="7"/>
  <c r="CM6" i="7"/>
  <c r="CR6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32" i="7"/>
  <c r="Y32" i="7"/>
  <c r="T32" i="7"/>
  <c r="U32" i="7"/>
  <c r="P32" i="7"/>
  <c r="V32" i="7"/>
  <c r="Q32" i="7"/>
  <c r="W32" i="7"/>
  <c r="R32" i="7"/>
  <c r="X32" i="7"/>
  <c r="BU32" i="7"/>
  <c r="FM32" i="7"/>
  <c r="CH32" i="7"/>
  <c r="FZ32" i="7"/>
  <c r="CU32" i="7"/>
  <c r="GM32" i="7"/>
  <c r="DH32" i="7"/>
  <c r="AC32" i="7"/>
  <c r="DU32" i="7"/>
  <c r="AP32" i="7"/>
  <c r="EH32" i="7"/>
  <c r="CA32" i="7"/>
  <c r="FS32" i="7"/>
  <c r="CN32" i="7"/>
  <c r="GF32" i="7"/>
  <c r="DA32" i="7"/>
  <c r="GS32" i="7"/>
  <c r="DN32" i="7"/>
  <c r="AI32" i="7"/>
  <c r="EA32" i="7"/>
  <c r="AV32" i="7"/>
  <c r="EN32" i="7"/>
  <c r="CG32" i="7"/>
  <c r="FY32" i="7"/>
  <c r="CT32" i="7"/>
  <c r="GL32" i="7"/>
  <c r="DG32" i="7"/>
  <c r="AB32" i="7"/>
  <c r="DT32" i="7"/>
  <c r="AO32" i="7"/>
  <c r="EG32" i="7"/>
  <c r="BB32" i="7"/>
  <c r="ET32" i="7"/>
  <c r="CM32" i="7"/>
  <c r="GE32" i="7"/>
  <c r="CZ32" i="7"/>
  <c r="GR32" i="7"/>
  <c r="DM32" i="7"/>
  <c r="AH32" i="7"/>
  <c r="DZ32" i="7"/>
  <c r="AU32" i="7"/>
  <c r="EM32" i="7"/>
  <c r="BH32" i="7"/>
  <c r="EZ32" i="7"/>
  <c r="CS32" i="7"/>
  <c r="GK32" i="7"/>
  <c r="DF32" i="7"/>
  <c r="AA32" i="7"/>
  <c r="DS32" i="7"/>
  <c r="AN32" i="7"/>
  <c r="EF32" i="7"/>
  <c r="BA32" i="7"/>
  <c r="ES32" i="7"/>
  <c r="BN32" i="7"/>
  <c r="FF32" i="7"/>
  <c r="CY32" i="7"/>
  <c r="GQ32" i="7"/>
  <c r="DL32" i="7"/>
  <c r="AG32" i="7"/>
  <c r="DY32" i="7"/>
  <c r="AT32" i="7"/>
  <c r="EL32" i="7"/>
  <c r="BG32" i="7"/>
  <c r="EY32" i="7"/>
  <c r="BT32" i="7"/>
  <c r="FL32" i="7"/>
  <c r="DE32" i="7"/>
  <c r="Z32" i="7"/>
  <c r="DR32" i="7"/>
  <c r="AM32" i="7"/>
  <c r="EE32" i="7"/>
  <c r="AZ32" i="7"/>
  <c r="ER32" i="7"/>
  <c r="BM32" i="7"/>
  <c r="FE32" i="7"/>
  <c r="BZ32" i="7"/>
  <c r="FR32" i="7"/>
  <c r="DK32" i="7"/>
  <c r="AF32" i="7"/>
  <c r="DX32" i="7"/>
  <c r="AS32" i="7"/>
  <c r="EK32" i="7"/>
  <c r="BF32" i="7"/>
  <c r="EX32" i="7"/>
  <c r="BS32" i="7"/>
  <c r="FK32" i="7"/>
  <c r="CF32" i="7"/>
  <c r="FX32" i="7"/>
  <c r="DQ32" i="7"/>
  <c r="AL32" i="7"/>
  <c r="ED32" i="7"/>
  <c r="AY32" i="7"/>
  <c r="EQ32" i="7"/>
  <c r="BL32" i="7"/>
  <c r="FD32" i="7"/>
  <c r="BY32" i="7"/>
  <c r="FQ32" i="7"/>
  <c r="CL32" i="7"/>
  <c r="GD32" i="7"/>
  <c r="AE32" i="7"/>
  <c r="DW32" i="7"/>
  <c r="AR32" i="7"/>
  <c r="EJ32" i="7"/>
  <c r="BE32" i="7"/>
  <c r="EW32" i="7"/>
  <c r="BR32" i="7"/>
  <c r="FJ32" i="7"/>
  <c r="CE32" i="7"/>
  <c r="FW32" i="7"/>
  <c r="CR32" i="7"/>
  <c r="GJ32" i="7"/>
  <c r="O32" i="7"/>
  <c r="AK32" i="7"/>
  <c r="EC32" i="7"/>
  <c r="AX32" i="7"/>
  <c r="EP32" i="7"/>
  <c r="BK32" i="7"/>
  <c r="FC32" i="7"/>
  <c r="BX32" i="7"/>
  <c r="FP32" i="7"/>
  <c r="CK32" i="7"/>
  <c r="GC32" i="7"/>
  <c r="CX32" i="7"/>
  <c r="GP32" i="7"/>
  <c r="N32" i="7"/>
  <c r="AQ32" i="7"/>
  <c r="EI32" i="7"/>
  <c r="BD32" i="7"/>
  <c r="EV32" i="7"/>
  <c r="BQ32" i="7"/>
  <c r="FI32" i="7"/>
  <c r="CD32" i="7"/>
  <c r="FV32" i="7"/>
  <c r="CQ32" i="7"/>
  <c r="GI32" i="7"/>
  <c r="DD32" i="7"/>
  <c r="AW32" i="7"/>
  <c r="EO32" i="7"/>
  <c r="BJ32" i="7"/>
  <c r="FB32" i="7"/>
  <c r="BW32" i="7"/>
  <c r="FO32" i="7"/>
  <c r="CJ32" i="7"/>
  <c r="GB32" i="7"/>
  <c r="CW32" i="7"/>
  <c r="GO32" i="7"/>
  <c r="DJ32" i="7"/>
  <c r="BC32" i="7"/>
  <c r="EU32" i="7"/>
  <c r="BP32" i="7"/>
  <c r="FH32" i="7"/>
  <c r="CC32" i="7"/>
  <c r="FU32" i="7"/>
  <c r="CP32" i="7"/>
  <c r="GH32" i="7"/>
  <c r="DC32" i="7"/>
  <c r="GU32" i="7"/>
  <c r="DP32" i="7"/>
  <c r="BI32" i="7"/>
  <c r="FA32" i="7"/>
  <c r="BV32" i="7"/>
  <c r="FN32" i="7"/>
  <c r="CI32" i="7"/>
  <c r="GA32" i="7"/>
  <c r="CV32" i="7"/>
  <c r="GN32" i="7"/>
  <c r="DI32" i="7"/>
  <c r="AD32" i="7"/>
  <c r="DV32" i="7"/>
  <c r="BO32" i="7"/>
  <c r="FG32" i="7"/>
  <c r="CB32" i="7"/>
  <c r="FT32" i="7"/>
  <c r="CO32" i="7"/>
  <c r="GG32" i="7"/>
  <c r="DB32" i="7"/>
  <c r="GT32" i="7"/>
  <c r="DO32" i="7"/>
  <c r="AJ32" i="7"/>
  <c r="EB32" i="7"/>
  <c r="AD863" i="1"/>
  <c r="I65" i="7"/>
  <c r="I23" i="7"/>
  <c r="K23" i="7"/>
  <c r="N65" i="7"/>
  <c r="M65" i="7"/>
  <c r="L65" i="7"/>
  <c r="J65" i="7"/>
  <c r="K65" i="7"/>
  <c r="J23" i="7"/>
  <c r="L23" i="7"/>
  <c r="N23" i="7"/>
  <c r="M23" i="7"/>
  <c r="I40" i="7"/>
  <c r="I14" i="7"/>
  <c r="J40" i="7"/>
  <c r="K40" i="7"/>
  <c r="J14" i="7"/>
  <c r="K1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7" i="7"/>
  <c r="EN7" i="7"/>
  <c r="DC7" i="7"/>
  <c r="V7" i="7"/>
  <c r="EG7" i="7"/>
  <c r="AZ7" i="7"/>
  <c r="FJ7" i="7"/>
  <c r="CD7" i="7"/>
  <c r="GI7" i="7"/>
  <c r="DH7" i="7"/>
  <c r="AA7" i="7"/>
  <c r="EL7" i="7"/>
  <c r="BB7" i="7"/>
  <c r="ET7" i="7"/>
  <c r="DK7" i="7"/>
  <c r="AC7" i="7"/>
  <c r="EO7" i="7"/>
  <c r="BG7" i="7"/>
  <c r="FP7" i="7"/>
  <c r="CK7" i="7"/>
  <c r="GO7" i="7"/>
  <c r="DO7" i="7"/>
  <c r="AH7" i="7"/>
  <c r="ES7" i="7"/>
  <c r="BH7" i="7"/>
  <c r="EZ7" i="7"/>
  <c r="DR7" i="7"/>
  <c r="AK7" i="7"/>
  <c r="EV7" i="7"/>
  <c r="BO7" i="7"/>
  <c r="FV7" i="7"/>
  <c r="CS7" i="7"/>
  <c r="GU7" i="7"/>
  <c r="DW7" i="7"/>
  <c r="AO7" i="7"/>
  <c r="FA7" i="7"/>
  <c r="BN7" i="7"/>
  <c r="N7" i="7"/>
  <c r="DY7" i="7"/>
  <c r="AR7" i="7"/>
  <c r="FC7" i="7"/>
  <c r="BV7" i="7"/>
  <c r="GB7" i="7"/>
  <c r="CZ7" i="7"/>
  <c r="S7" i="7"/>
  <c r="ED7" i="7"/>
  <c r="AW7" i="7"/>
  <c r="FG7" i="7"/>
  <c r="BT7" i="7"/>
  <c r="U7" i="7"/>
  <c r="EF7" i="7"/>
  <c r="AY7" i="7"/>
  <c r="FI7" i="7"/>
  <c r="CC7" i="7"/>
  <c r="GH7" i="7"/>
  <c r="DG7" i="7"/>
  <c r="Z7" i="7"/>
  <c r="EK7" i="7"/>
  <c r="BD7" i="7"/>
  <c r="FM7" i="7"/>
  <c r="BZ7" i="7"/>
  <c r="AB7" i="7"/>
  <c r="EM7" i="7"/>
  <c r="BF7" i="7"/>
  <c r="FO7" i="7"/>
  <c r="CJ7" i="7"/>
  <c r="GN7" i="7"/>
  <c r="DN7" i="7"/>
  <c r="AG7" i="7"/>
  <c r="ER7" i="7"/>
  <c r="BK7" i="7"/>
  <c r="FS7" i="7"/>
  <c r="CF7" i="7"/>
  <c r="AI7" i="7"/>
  <c r="EU7" i="7"/>
  <c r="BM7" i="7"/>
  <c r="FU7" i="7"/>
  <c r="CQ7" i="7"/>
  <c r="GT7" i="7"/>
  <c r="DU7" i="7"/>
  <c r="AN7" i="7"/>
  <c r="EY7" i="7"/>
  <c r="BR7" i="7"/>
  <c r="FY7" i="7"/>
  <c r="CL7" i="7"/>
  <c r="AQ7" i="7"/>
  <c r="FB7" i="7"/>
  <c r="BU7" i="7"/>
  <c r="GA7" i="7"/>
  <c r="CY7" i="7"/>
  <c r="Q7" i="7"/>
  <c r="EC7" i="7"/>
  <c r="AU7" i="7"/>
  <c r="FF7" i="7"/>
  <c r="BY7" i="7"/>
  <c r="GE7" i="7"/>
  <c r="CR7" i="7"/>
  <c r="AX7" i="7"/>
  <c r="FH7" i="7"/>
  <c r="CB7" i="7"/>
  <c r="GG7" i="7"/>
  <c r="DF7" i="7"/>
  <c r="Y7" i="7"/>
  <c r="EJ7" i="7"/>
  <c r="BC7" i="7"/>
  <c r="FL7" i="7"/>
  <c r="CG7" i="7"/>
  <c r="GK7" i="7"/>
  <c r="CX7" i="7"/>
  <c r="BE7" i="7"/>
  <c r="FN7" i="7"/>
  <c r="CI7" i="7"/>
  <c r="GM7" i="7"/>
  <c r="DM7" i="7"/>
  <c r="AF7" i="7"/>
  <c r="EQ7" i="7"/>
  <c r="BJ7" i="7"/>
  <c r="FR7" i="7"/>
  <c r="CN7" i="7"/>
  <c r="GQ7" i="7"/>
  <c r="DD7" i="7"/>
  <c r="BL7" i="7"/>
  <c r="FT7" i="7"/>
  <c r="CP7" i="7"/>
  <c r="GS7" i="7"/>
  <c r="DT7" i="7"/>
  <c r="AM7" i="7"/>
  <c r="EX7" i="7"/>
  <c r="BQ7" i="7"/>
  <c r="FX7" i="7"/>
  <c r="CU7" i="7"/>
  <c r="R7" i="7"/>
  <c r="DJ7" i="7"/>
  <c r="BS7" i="7"/>
  <c r="FZ7" i="7"/>
  <c r="CW7" i="7"/>
  <c r="P7" i="7"/>
  <c r="EA7" i="7"/>
  <c r="AT7" i="7"/>
  <c r="FE7" i="7"/>
  <c r="BX7" i="7"/>
  <c r="GD7" i="7"/>
  <c r="DB7" i="7"/>
  <c r="X7" i="7"/>
  <c r="DP7" i="7"/>
  <c r="CA7" i="7"/>
  <c r="GF7" i="7"/>
  <c r="DE7" i="7"/>
  <c r="W7" i="7"/>
  <c r="EI7" i="7"/>
  <c r="BA7" i="7"/>
  <c r="FK7" i="7"/>
  <c r="CE7" i="7"/>
  <c r="GJ7" i="7"/>
  <c r="DI7" i="7"/>
  <c r="AD7" i="7"/>
  <c r="DV7" i="7"/>
  <c r="CH7" i="7"/>
  <c r="GL7" i="7"/>
  <c r="DL7" i="7"/>
  <c r="AE7" i="7"/>
  <c r="EP7" i="7"/>
  <c r="BI7" i="7"/>
  <c r="FQ7" i="7"/>
  <c r="CM7" i="7"/>
  <c r="GP7" i="7"/>
  <c r="DQ7" i="7"/>
  <c r="AJ7" i="7"/>
  <c r="EB7" i="7"/>
  <c r="CO7" i="7"/>
  <c r="GR7" i="7"/>
  <c r="DS7" i="7"/>
  <c r="AL7" i="7"/>
  <c r="EW7" i="7"/>
  <c r="BP7" i="7"/>
  <c r="FW7" i="7"/>
  <c r="CT7" i="7"/>
  <c r="DX7" i="7"/>
  <c r="AP7" i="7"/>
  <c r="EH7" i="7"/>
  <c r="CV7" i="7"/>
  <c r="O7" i="7"/>
  <c r="DZ7" i="7"/>
  <c r="AS7" i="7"/>
  <c r="FD7" i="7"/>
  <c r="BW7" i="7"/>
  <c r="GC7" i="7"/>
  <c r="DA7" i="7"/>
  <c r="T7" i="7"/>
  <c r="EE7" i="7"/>
  <c r="I68" i="7"/>
  <c r="I31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1" i="7"/>
  <c r="DF31" i="7"/>
  <c r="K31" i="7"/>
  <c r="DG31" i="7"/>
  <c r="L31" i="7"/>
  <c r="DH31" i="7"/>
  <c r="M31" i="7"/>
  <c r="DI31" i="7"/>
  <c r="N31" i="7"/>
  <c r="DJ31" i="7"/>
  <c r="BO31" i="7"/>
  <c r="DQ31" i="7"/>
  <c r="Q31" i="7"/>
  <c r="DL31" i="7"/>
  <c r="R31" i="7"/>
  <c r="DM31" i="7"/>
  <c r="S31" i="7"/>
  <c r="DN31" i="7"/>
  <c r="T31" i="7"/>
  <c r="DO31" i="7"/>
  <c r="V31" i="7"/>
  <c r="DP31" i="7"/>
  <c r="CY31" i="7"/>
  <c r="FA31" i="7"/>
  <c r="X31" i="7"/>
  <c r="DR31" i="7"/>
  <c r="Y31" i="7"/>
  <c r="DS31" i="7"/>
  <c r="Z31" i="7"/>
  <c r="DT31" i="7"/>
  <c r="AB31" i="7"/>
  <c r="DU31" i="7"/>
  <c r="AC31" i="7"/>
  <c r="DV31" i="7"/>
  <c r="EI31" i="7"/>
  <c r="GK31" i="7"/>
  <c r="AE31" i="7"/>
  <c r="DX31" i="7"/>
  <c r="AF31" i="7"/>
  <c r="DY31" i="7"/>
  <c r="AH31" i="7"/>
  <c r="DZ31" i="7"/>
  <c r="AI31" i="7"/>
  <c r="EA31" i="7"/>
  <c r="AJ31" i="7"/>
  <c r="EB31" i="7"/>
  <c r="FS31" i="7"/>
  <c r="P31" i="7"/>
  <c r="AL31" i="7"/>
  <c r="ED31" i="7"/>
  <c r="AM31" i="7"/>
  <c r="EE31" i="7"/>
  <c r="AN31" i="7"/>
  <c r="EF31" i="7"/>
  <c r="AO31" i="7"/>
  <c r="EG31" i="7"/>
  <c r="AP31" i="7"/>
  <c r="EH31" i="7"/>
  <c r="AK31" i="7"/>
  <c r="BC31" i="7"/>
  <c r="AR31" i="7"/>
  <c r="EJ31" i="7"/>
  <c r="AS31" i="7"/>
  <c r="EK31" i="7"/>
  <c r="AT31" i="7"/>
  <c r="EL31" i="7"/>
  <c r="AU31" i="7"/>
  <c r="EM31" i="7"/>
  <c r="AV31" i="7"/>
  <c r="EN31" i="7"/>
  <c r="BU31" i="7"/>
  <c r="CM31" i="7"/>
  <c r="AX31" i="7"/>
  <c r="EP31" i="7"/>
  <c r="AY31" i="7"/>
  <c r="EQ31" i="7"/>
  <c r="AZ31" i="7"/>
  <c r="ER31" i="7"/>
  <c r="BA31" i="7"/>
  <c r="ES31" i="7"/>
  <c r="BB31" i="7"/>
  <c r="ET31" i="7"/>
  <c r="DE31" i="7"/>
  <c r="DW31" i="7"/>
  <c r="BD31" i="7"/>
  <c r="EV31" i="7"/>
  <c r="BE31" i="7"/>
  <c r="EW31" i="7"/>
  <c r="BF31" i="7"/>
  <c r="EX31" i="7"/>
  <c r="BG31" i="7"/>
  <c r="EY31" i="7"/>
  <c r="BH31" i="7"/>
  <c r="EZ31" i="7"/>
  <c r="EO31" i="7"/>
  <c r="FG31" i="7"/>
  <c r="BJ31" i="7"/>
  <c r="FB31" i="7"/>
  <c r="BK31" i="7"/>
  <c r="FC31" i="7"/>
  <c r="BL31" i="7"/>
  <c r="FD31" i="7"/>
  <c r="BM31" i="7"/>
  <c r="FE31" i="7"/>
  <c r="BN31" i="7"/>
  <c r="FF31" i="7"/>
  <c r="FY31" i="7"/>
  <c r="GQ31" i="7"/>
  <c r="BP31" i="7"/>
  <c r="FH31" i="7"/>
  <c r="BQ31" i="7"/>
  <c r="FI31" i="7"/>
  <c r="BR31" i="7"/>
  <c r="FJ31" i="7"/>
  <c r="BS31" i="7"/>
  <c r="FK31" i="7"/>
  <c r="BT31" i="7"/>
  <c r="FL31" i="7"/>
  <c r="AQ31" i="7"/>
  <c r="EC31" i="7"/>
  <c r="BV31" i="7"/>
  <c r="FN31" i="7"/>
  <c r="BW31" i="7"/>
  <c r="FO31" i="7"/>
  <c r="BX31" i="7"/>
  <c r="FP31" i="7"/>
  <c r="BY31" i="7"/>
  <c r="FQ31" i="7"/>
  <c r="BZ31" i="7"/>
  <c r="FR31" i="7"/>
  <c r="CA31" i="7"/>
  <c r="FM31" i="7"/>
  <c r="CB31" i="7"/>
  <c r="FT31" i="7"/>
  <c r="CC31" i="7"/>
  <c r="FU31" i="7"/>
  <c r="CD31" i="7"/>
  <c r="FV31" i="7"/>
  <c r="CE31" i="7"/>
  <c r="FW31" i="7"/>
  <c r="CF31" i="7"/>
  <c r="FX31" i="7"/>
  <c r="DK31" i="7"/>
  <c r="W31" i="7"/>
  <c r="O31" i="7"/>
  <c r="CH31" i="7"/>
  <c r="FZ31" i="7"/>
  <c r="CI31" i="7"/>
  <c r="GA31" i="7"/>
  <c r="CJ31" i="7"/>
  <c r="GB31" i="7"/>
  <c r="CK31" i="7"/>
  <c r="GC31" i="7"/>
  <c r="CL31" i="7"/>
  <c r="GD31" i="7"/>
  <c r="EU31" i="7"/>
  <c r="CS31" i="7"/>
  <c r="U31" i="7"/>
  <c r="CN31" i="7"/>
  <c r="GF31" i="7"/>
  <c r="CO31" i="7"/>
  <c r="GG31" i="7"/>
  <c r="CP31" i="7"/>
  <c r="GH31" i="7"/>
  <c r="CQ31" i="7"/>
  <c r="GI31" i="7"/>
  <c r="CR31" i="7"/>
  <c r="GJ31" i="7"/>
  <c r="GE31" i="7"/>
  <c r="BI31" i="7"/>
  <c r="AA31" i="7"/>
  <c r="CT31" i="7"/>
  <c r="GL31" i="7"/>
  <c r="CU31" i="7"/>
  <c r="GM31" i="7"/>
  <c r="CV31" i="7"/>
  <c r="GN31" i="7"/>
  <c r="CW31" i="7"/>
  <c r="GO31" i="7"/>
  <c r="CX31" i="7"/>
  <c r="GP31" i="7"/>
  <c r="AW31" i="7"/>
  <c r="AG31" i="7"/>
  <c r="CZ31" i="7"/>
  <c r="GR31" i="7"/>
  <c r="DA31" i="7"/>
  <c r="GS31" i="7"/>
  <c r="DB31" i="7"/>
  <c r="GT31" i="7"/>
  <c r="DC31" i="7"/>
  <c r="GU31" i="7"/>
  <c r="DD31" i="7"/>
  <c r="AD31" i="7"/>
  <c r="CG31" i="7"/>
  <c r="J66" i="7"/>
  <c r="I66" i="7"/>
  <c r="I24" i="7"/>
  <c r="J24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4" i="7"/>
  <c r="GI24" i="7"/>
  <c r="CL24" i="7"/>
  <c r="GD24" i="7"/>
  <c r="CM24" i="7"/>
  <c r="GE24" i="7"/>
  <c r="CN24" i="7"/>
  <c r="GF24" i="7"/>
  <c r="CO24" i="7"/>
  <c r="GG24" i="7"/>
  <c r="EX24" i="7"/>
  <c r="CV24" i="7"/>
  <c r="CW24" i="7"/>
  <c r="GO24" i="7"/>
  <c r="CR24" i="7"/>
  <c r="GJ24" i="7"/>
  <c r="CS24" i="7"/>
  <c r="GK24" i="7"/>
  <c r="CT24" i="7"/>
  <c r="GL24" i="7"/>
  <c r="CU24" i="7"/>
  <c r="GM24" i="7"/>
  <c r="GH24" i="7"/>
  <c r="EF24" i="7"/>
  <c r="K24" i="7"/>
  <c r="DC24" i="7"/>
  <c r="GU24" i="7"/>
  <c r="CX24" i="7"/>
  <c r="GP24" i="7"/>
  <c r="CY24" i="7"/>
  <c r="GQ24" i="7"/>
  <c r="CZ24" i="7"/>
  <c r="GR24" i="7"/>
  <c r="DA24" i="7"/>
  <c r="GS24" i="7"/>
  <c r="P24" i="7"/>
  <c r="FP24" i="7"/>
  <c r="Q24" i="7"/>
  <c r="DI24" i="7"/>
  <c r="L24" i="7"/>
  <c r="DD24" i="7"/>
  <c r="M24" i="7"/>
  <c r="DE24" i="7"/>
  <c r="N24" i="7"/>
  <c r="DF24" i="7"/>
  <c r="O24" i="7"/>
  <c r="DG24" i="7"/>
  <c r="AH24" i="7"/>
  <c r="AZ24" i="7"/>
  <c r="W24" i="7"/>
  <c r="DO24" i="7"/>
  <c r="R24" i="7"/>
  <c r="DJ24" i="7"/>
  <c r="S24" i="7"/>
  <c r="DK24" i="7"/>
  <c r="T24" i="7"/>
  <c r="DL24" i="7"/>
  <c r="U24" i="7"/>
  <c r="DM24" i="7"/>
  <c r="BR24" i="7"/>
  <c r="CJ24" i="7"/>
  <c r="AC24" i="7"/>
  <c r="DU24" i="7"/>
  <c r="X24" i="7"/>
  <c r="DP24" i="7"/>
  <c r="Y24" i="7"/>
  <c r="DQ24" i="7"/>
  <c r="Z24" i="7"/>
  <c r="DR24" i="7"/>
  <c r="AA24" i="7"/>
  <c r="DS24" i="7"/>
  <c r="DB24" i="7"/>
  <c r="DT24" i="7"/>
  <c r="AI24" i="7"/>
  <c r="EA24" i="7"/>
  <c r="AD24" i="7"/>
  <c r="DV24" i="7"/>
  <c r="AE24" i="7"/>
  <c r="DW24" i="7"/>
  <c r="AF24" i="7"/>
  <c r="DX24" i="7"/>
  <c r="AG24" i="7"/>
  <c r="DY24" i="7"/>
  <c r="EL24" i="7"/>
  <c r="FD24" i="7"/>
  <c r="AO24" i="7"/>
  <c r="EG24" i="7"/>
  <c r="AJ24" i="7"/>
  <c r="EB24" i="7"/>
  <c r="AK24" i="7"/>
  <c r="EC24" i="7"/>
  <c r="AL24" i="7"/>
  <c r="ED24" i="7"/>
  <c r="AM24" i="7"/>
  <c r="EE24" i="7"/>
  <c r="FV24" i="7"/>
  <c r="GN24" i="7"/>
  <c r="AU24" i="7"/>
  <c r="EM24" i="7"/>
  <c r="AP24" i="7"/>
  <c r="EH24" i="7"/>
  <c r="AQ24" i="7"/>
  <c r="EI24" i="7"/>
  <c r="AR24" i="7"/>
  <c r="EJ24" i="7"/>
  <c r="AS24" i="7"/>
  <c r="EK24" i="7"/>
  <c r="AN24" i="7"/>
  <c r="V24" i="7"/>
  <c r="BA24" i="7"/>
  <c r="ES24" i="7"/>
  <c r="AV24" i="7"/>
  <c r="EN24" i="7"/>
  <c r="AW24" i="7"/>
  <c r="EO24" i="7"/>
  <c r="AX24" i="7"/>
  <c r="EP24" i="7"/>
  <c r="AY24" i="7"/>
  <c r="EQ24" i="7"/>
  <c r="BX24" i="7"/>
  <c r="BF24" i="7"/>
  <c r="BG24" i="7"/>
  <c r="EY24" i="7"/>
  <c r="BB24" i="7"/>
  <c r="ET24" i="7"/>
  <c r="BC24" i="7"/>
  <c r="EU24" i="7"/>
  <c r="BD24" i="7"/>
  <c r="EV24" i="7"/>
  <c r="BE24" i="7"/>
  <c r="EW24" i="7"/>
  <c r="DH24" i="7"/>
  <c r="CP24" i="7"/>
  <c r="BM24" i="7"/>
  <c r="FE24" i="7"/>
  <c r="BH24" i="7"/>
  <c r="EZ24" i="7"/>
  <c r="BI24" i="7"/>
  <c r="FA24" i="7"/>
  <c r="BJ24" i="7"/>
  <c r="FB24" i="7"/>
  <c r="BK24" i="7"/>
  <c r="FC24" i="7"/>
  <c r="ER24" i="7"/>
  <c r="DZ24" i="7"/>
  <c r="BS24" i="7"/>
  <c r="FK24" i="7"/>
  <c r="BN24" i="7"/>
  <c r="FF24" i="7"/>
  <c r="BO24" i="7"/>
  <c r="FG24" i="7"/>
  <c r="BP24" i="7"/>
  <c r="FH24" i="7"/>
  <c r="BQ24" i="7"/>
  <c r="FI24" i="7"/>
  <c r="GB24" i="7"/>
  <c r="FJ24" i="7"/>
  <c r="BY24" i="7"/>
  <c r="FQ24" i="7"/>
  <c r="BT24" i="7"/>
  <c r="FL24" i="7"/>
  <c r="BU24" i="7"/>
  <c r="FM24" i="7"/>
  <c r="BV24" i="7"/>
  <c r="FN24" i="7"/>
  <c r="BW24" i="7"/>
  <c r="FO24" i="7"/>
  <c r="AT24" i="7"/>
  <c r="GT24" i="7"/>
  <c r="CE24" i="7"/>
  <c r="FW24" i="7"/>
  <c r="BZ24" i="7"/>
  <c r="FR24" i="7"/>
  <c r="CA24" i="7"/>
  <c r="FS24" i="7"/>
  <c r="CB24" i="7"/>
  <c r="FT24" i="7"/>
  <c r="CC24" i="7"/>
  <c r="FU24" i="7"/>
  <c r="CD24" i="7"/>
  <c r="AB24" i="7"/>
  <c r="CK24" i="7"/>
  <c r="GC24" i="7"/>
  <c r="CF24" i="7"/>
  <c r="FX24" i="7"/>
  <c r="CG24" i="7"/>
  <c r="FY24" i="7"/>
  <c r="CH24" i="7"/>
  <c r="FZ24" i="7"/>
  <c r="CI24" i="7"/>
  <c r="GA24" i="7"/>
  <c r="DN24" i="7"/>
  <c r="BL24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4" i="7"/>
  <c r="CD4" i="7"/>
  <c r="DC4" i="7"/>
  <c r="CX4" i="7"/>
  <c r="CM4" i="7"/>
  <c r="CT4" i="7"/>
  <c r="Q4" i="7"/>
  <c r="DI4" i="7"/>
  <c r="DD4" i="7"/>
  <c r="CS4" i="7"/>
  <c r="DF4" i="7"/>
  <c r="AY4" i="7"/>
  <c r="GL4" i="7"/>
  <c r="W4" i="7"/>
  <c r="R4" i="7"/>
  <c r="DJ4" i="7"/>
  <c r="CY4" i="7"/>
  <c r="DO4" i="7"/>
  <c r="BQ4" i="7"/>
  <c r="GR4" i="7"/>
  <c r="FU4" i="7"/>
  <c r="AI4" i="7"/>
  <c r="AD4" i="7"/>
  <c r="S4" i="7"/>
  <c r="DK4" i="7"/>
  <c r="EE4" i="7"/>
  <c r="CU4" i="7"/>
  <c r="AL4" i="7"/>
  <c r="GG4" i="7"/>
  <c r="FJ4" i="7"/>
  <c r="EK4" i="7"/>
  <c r="P4" i="7"/>
  <c r="AO4" i="7"/>
  <c r="AJ4" i="7"/>
  <c r="Y4" i="7"/>
  <c r="DQ4" i="7"/>
  <c r="EL4" i="7"/>
  <c r="DG4" i="7"/>
  <c r="BD4" i="7"/>
  <c r="GM4" i="7"/>
  <c r="FP4" i="7"/>
  <c r="ER4" i="7"/>
  <c r="AB4" i="7"/>
  <c r="BA4" i="7"/>
  <c r="AV4" i="7"/>
  <c r="AK4" i="7"/>
  <c r="EC4" i="7"/>
  <c r="EZ4" i="7"/>
  <c r="DY4" i="7"/>
  <c r="CJ4" i="7"/>
  <c r="U4" i="7"/>
  <c r="GB4" i="7"/>
  <c r="FF4" i="7"/>
  <c r="AN4" i="7"/>
  <c r="BM4" i="7"/>
  <c r="BH4" i="7"/>
  <c r="AW4" i="7"/>
  <c r="EO4" i="7"/>
  <c r="AT4" i="7"/>
  <c r="BS4" i="7"/>
  <c r="BN4" i="7"/>
  <c r="BC4" i="7"/>
  <c r="EU4" i="7"/>
  <c r="FS4" i="7"/>
  <c r="ET4" i="7"/>
  <c r="DS4" i="7"/>
  <c r="BW4" i="7"/>
  <c r="GT4" i="7"/>
  <c r="AZ4" i="7"/>
  <c r="BY4" i="7"/>
  <c r="BT4" i="7"/>
  <c r="BI4" i="7"/>
  <c r="FA4" i="7"/>
  <c r="FY4" i="7"/>
  <c r="FB4" i="7"/>
  <c r="BF4" i="7"/>
  <c r="CE4" i="7"/>
  <c r="BZ4" i="7"/>
  <c r="BO4" i="7"/>
  <c r="AF4" i="7"/>
  <c r="GE4" i="7"/>
  <c r="BL4" i="7"/>
  <c r="CK4" i="7"/>
  <c r="CF4" i="7"/>
  <c r="BU4" i="7"/>
  <c r="AX4" i="7"/>
  <c r="GK4" i="7"/>
  <c r="FN4" i="7"/>
  <c r="EN4" i="7"/>
  <c r="BX4" i="7"/>
  <c r="CW4" i="7"/>
  <c r="CR4" i="7"/>
  <c r="CG4" i="7"/>
  <c r="CH4" i="7"/>
  <c r="O4" i="7"/>
  <c r="AU4" i="7"/>
  <c r="ES4" i="7"/>
  <c r="DH4" i="7"/>
  <c r="EH4" i="7"/>
  <c r="EY4" i="7"/>
  <c r="FW4" i="7"/>
  <c r="BG4" i="7"/>
  <c r="FG4" i="7"/>
  <c r="DZ4" i="7"/>
  <c r="EP4" i="7"/>
  <c r="FL4" i="7"/>
  <c r="CO4" i="7"/>
  <c r="CQ4" i="7"/>
  <c r="FM4" i="7"/>
  <c r="EG4" i="7"/>
  <c r="EW4" i="7"/>
  <c r="FR4" i="7"/>
  <c r="EQ4" i="7"/>
  <c r="X4" i="7"/>
  <c r="GQ4" i="7"/>
  <c r="EV4" i="7"/>
  <c r="FD4" i="7"/>
  <c r="FX4" i="7"/>
  <c r="GC4" i="7"/>
  <c r="AP4" i="7"/>
  <c r="AG4" i="7"/>
  <c r="FC4" i="7"/>
  <c r="FV4" i="7"/>
  <c r="GD4" i="7"/>
  <c r="DA4" i="7"/>
  <c r="BB4" i="7"/>
  <c r="CI4" i="7"/>
  <c r="FI4" i="7"/>
  <c r="GH4" i="7"/>
  <c r="GJ4" i="7"/>
  <c r="EX4" i="7"/>
  <c r="CL4" i="7"/>
  <c r="DR4" i="7"/>
  <c r="FO4" i="7"/>
  <c r="GN4" i="7"/>
  <c r="GP4" i="7"/>
  <c r="GI4" i="7"/>
  <c r="DP4" i="7"/>
  <c r="EF4" i="7"/>
  <c r="GA4" i="7"/>
  <c r="AA4" i="7"/>
  <c r="AR4" i="7"/>
  <c r="Z4" i="7"/>
  <c r="AE4" i="7"/>
  <c r="EM4" i="7"/>
  <c r="GS4" i="7"/>
  <c r="AS4" i="7"/>
  <c r="DU4" i="7"/>
  <c r="DM4" i="7"/>
  <c r="AQ4" i="7"/>
  <c r="FH4" i="7"/>
  <c r="AM4" i="7"/>
  <c r="BK4" i="7"/>
  <c r="FK4" i="7"/>
  <c r="FE4" i="7"/>
  <c r="CA4" i="7"/>
  <c r="FT4" i="7"/>
  <c r="BE4" i="7"/>
  <c r="CC4" i="7"/>
  <c r="GU4" i="7"/>
  <c r="GO4" i="7"/>
  <c r="DE4" i="7"/>
  <c r="FZ4" i="7"/>
  <c r="CN4" i="7"/>
  <c r="CP4" i="7"/>
  <c r="BJ4" i="7"/>
  <c r="V4" i="7"/>
  <c r="DW4" i="7"/>
  <c r="GF4" i="7"/>
  <c r="CZ4" i="7"/>
  <c r="DB4" i="7"/>
  <c r="EB4" i="7"/>
  <c r="AH4" i="7"/>
  <c r="EI4" i="7"/>
  <c r="T4" i="7"/>
  <c r="DL4" i="7"/>
  <c r="DN4" i="7"/>
  <c r="FQ4" i="7"/>
  <c r="BR4" i="7"/>
  <c r="BP4" i="7"/>
  <c r="BV4" i="7"/>
  <c r="DT4" i="7"/>
  <c r="DV4" i="7"/>
  <c r="CB4" i="7"/>
  <c r="AC4" i="7"/>
  <c r="DX4" i="7"/>
  <c r="CV4" i="7"/>
  <c r="EA4" i="7"/>
  <c r="ED4" i="7"/>
  <c r="EJ4" i="7"/>
  <c r="I9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9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9" i="7"/>
  <c r="FI9" i="7"/>
  <c r="BR9" i="7"/>
  <c r="FJ9" i="7"/>
  <c r="BM9" i="7"/>
  <c r="FE9" i="7"/>
  <c r="BH9" i="7"/>
  <c r="EZ9" i="7"/>
  <c r="BI9" i="7"/>
  <c r="FA9" i="7"/>
  <c r="BJ9" i="7"/>
  <c r="FB9" i="7"/>
  <c r="BW9" i="7"/>
  <c r="FO9" i="7"/>
  <c r="BX9" i="7"/>
  <c r="FP9" i="7"/>
  <c r="BS9" i="7"/>
  <c r="FK9" i="7"/>
  <c r="BN9" i="7"/>
  <c r="FF9" i="7"/>
  <c r="BO9" i="7"/>
  <c r="FG9" i="7"/>
  <c r="BP9" i="7"/>
  <c r="FH9" i="7"/>
  <c r="CC9" i="7"/>
  <c r="FU9" i="7"/>
  <c r="CD9" i="7"/>
  <c r="FV9" i="7"/>
  <c r="BY9" i="7"/>
  <c r="FQ9" i="7"/>
  <c r="BT9" i="7"/>
  <c r="FL9" i="7"/>
  <c r="BU9" i="7"/>
  <c r="FM9" i="7"/>
  <c r="BV9" i="7"/>
  <c r="FN9" i="7"/>
  <c r="CI9" i="7"/>
  <c r="GA9" i="7"/>
  <c r="CJ9" i="7"/>
  <c r="GB9" i="7"/>
  <c r="CE9" i="7"/>
  <c r="FW9" i="7"/>
  <c r="BZ9" i="7"/>
  <c r="FR9" i="7"/>
  <c r="CA9" i="7"/>
  <c r="CO9" i="7"/>
  <c r="GG9" i="7"/>
  <c r="CP9" i="7"/>
  <c r="GH9" i="7"/>
  <c r="CK9" i="7"/>
  <c r="GC9" i="7"/>
  <c r="CF9" i="7"/>
  <c r="FX9" i="7"/>
  <c r="CG9" i="7"/>
  <c r="FY9" i="7"/>
  <c r="CH9" i="7"/>
  <c r="FZ9" i="7"/>
  <c r="CU9" i="7"/>
  <c r="GM9" i="7"/>
  <c r="CV9" i="7"/>
  <c r="GN9" i="7"/>
  <c r="CQ9" i="7"/>
  <c r="GI9" i="7"/>
  <c r="CL9" i="7"/>
  <c r="GD9" i="7"/>
  <c r="CM9" i="7"/>
  <c r="GE9" i="7"/>
  <c r="CN9" i="7"/>
  <c r="GF9" i="7"/>
  <c r="DA9" i="7"/>
  <c r="GS9" i="7"/>
  <c r="DB9" i="7"/>
  <c r="GT9" i="7"/>
  <c r="CW9" i="7"/>
  <c r="GO9" i="7"/>
  <c r="CR9" i="7"/>
  <c r="GJ9" i="7"/>
  <c r="CS9" i="7"/>
  <c r="GK9" i="7"/>
  <c r="CT9" i="7"/>
  <c r="GL9" i="7"/>
  <c r="O9" i="7"/>
  <c r="DG9" i="7"/>
  <c r="P9" i="7"/>
  <c r="DH9" i="7"/>
  <c r="K9" i="7"/>
  <c r="DC9" i="7"/>
  <c r="GU9" i="7"/>
  <c r="CX9" i="7"/>
  <c r="GP9" i="7"/>
  <c r="CY9" i="7"/>
  <c r="GQ9" i="7"/>
  <c r="CZ9" i="7"/>
  <c r="GR9" i="7"/>
  <c r="U9" i="7"/>
  <c r="DM9" i="7"/>
  <c r="V9" i="7"/>
  <c r="DN9" i="7"/>
  <c r="Q9" i="7"/>
  <c r="DI9" i="7"/>
  <c r="L9" i="7"/>
  <c r="AA9" i="7"/>
  <c r="DS9" i="7"/>
  <c r="AB9" i="7"/>
  <c r="DT9" i="7"/>
  <c r="W9" i="7"/>
  <c r="DO9" i="7"/>
  <c r="R9" i="7"/>
  <c r="DJ9" i="7"/>
  <c r="S9" i="7"/>
  <c r="DK9" i="7"/>
  <c r="T9" i="7"/>
  <c r="DL9" i="7"/>
  <c r="AG9" i="7"/>
  <c r="DY9" i="7"/>
  <c r="AH9" i="7"/>
  <c r="DZ9" i="7"/>
  <c r="AC9" i="7"/>
  <c r="DU9" i="7"/>
  <c r="X9" i="7"/>
  <c r="DP9" i="7"/>
  <c r="Y9" i="7"/>
  <c r="DQ9" i="7"/>
  <c r="Z9" i="7"/>
  <c r="DR9" i="7"/>
  <c r="AM9" i="7"/>
  <c r="EE9" i="7"/>
  <c r="AN9" i="7"/>
  <c r="EF9" i="7"/>
  <c r="AI9" i="7"/>
  <c r="EA9" i="7"/>
  <c r="AD9" i="7"/>
  <c r="DV9" i="7"/>
  <c r="AE9" i="7"/>
  <c r="DW9" i="7"/>
  <c r="AF9" i="7"/>
  <c r="DX9" i="7"/>
  <c r="AS9" i="7"/>
  <c r="EK9" i="7"/>
  <c r="AT9" i="7"/>
  <c r="EL9" i="7"/>
  <c r="AO9" i="7"/>
  <c r="EG9" i="7"/>
  <c r="AJ9" i="7"/>
  <c r="EB9" i="7"/>
  <c r="AK9" i="7"/>
  <c r="EC9" i="7"/>
  <c r="AL9" i="7"/>
  <c r="ED9" i="7"/>
  <c r="AY9" i="7"/>
  <c r="EQ9" i="7"/>
  <c r="AZ9" i="7"/>
  <c r="ER9" i="7"/>
  <c r="AU9" i="7"/>
  <c r="EM9" i="7"/>
  <c r="AP9" i="7"/>
  <c r="EH9" i="7"/>
  <c r="AQ9" i="7"/>
  <c r="EI9" i="7"/>
  <c r="AR9" i="7"/>
  <c r="EJ9" i="7"/>
  <c r="BE9" i="7"/>
  <c r="EW9" i="7"/>
  <c r="BF9" i="7"/>
  <c r="EX9" i="7"/>
  <c r="BA9" i="7"/>
  <c r="ES9" i="7"/>
  <c r="AV9" i="7"/>
  <c r="EN9" i="7"/>
  <c r="AW9" i="7"/>
  <c r="EO9" i="7"/>
  <c r="AX9" i="7"/>
  <c r="EP9" i="7"/>
  <c r="BK9" i="7"/>
  <c r="FC9" i="7"/>
  <c r="BL9" i="7"/>
  <c r="FD9" i="7"/>
  <c r="BG9" i="7"/>
  <c r="EY9" i="7"/>
  <c r="BB9" i="7"/>
  <c r="ET9" i="7"/>
  <c r="BC9" i="7"/>
  <c r="EU9" i="7"/>
  <c r="BD9" i="7"/>
  <c r="EV9" i="7"/>
  <c r="DD9" i="7"/>
  <c r="M9" i="7"/>
  <c r="DE9" i="7"/>
  <c r="FS9" i="7"/>
  <c r="N9" i="7"/>
  <c r="CB9" i="7"/>
  <c r="DF9" i="7"/>
  <c r="FT9" i="7"/>
  <c r="H60" i="7"/>
  <c r="H27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7" i="7"/>
  <c r="J27" i="7"/>
  <c r="P27" i="7"/>
  <c r="V27" i="7"/>
  <c r="W27" i="7"/>
  <c r="K27" i="7"/>
  <c r="L27" i="7"/>
  <c r="Q27" i="7"/>
  <c r="R27" i="7"/>
  <c r="X27" i="7"/>
  <c r="M27" i="7"/>
  <c r="S27" i="7"/>
  <c r="Y27" i="7"/>
  <c r="N27" i="7"/>
  <c r="T27" i="7"/>
  <c r="I27" i="7"/>
  <c r="O27" i="7"/>
  <c r="CE27" i="7"/>
  <c r="FW27" i="7"/>
  <c r="CR27" i="7"/>
  <c r="GJ27" i="7"/>
  <c r="DK27" i="7"/>
  <c r="AF27" i="7"/>
  <c r="DX27" i="7"/>
  <c r="AS27" i="7"/>
  <c r="EK27" i="7"/>
  <c r="BF27" i="7"/>
  <c r="EX27" i="7"/>
  <c r="CK27" i="7"/>
  <c r="GC27" i="7"/>
  <c r="CX27" i="7"/>
  <c r="GP27" i="7"/>
  <c r="DQ27" i="7"/>
  <c r="AL27" i="7"/>
  <c r="ED27" i="7"/>
  <c r="AY27" i="7"/>
  <c r="EQ27" i="7"/>
  <c r="BL27" i="7"/>
  <c r="FD27" i="7"/>
  <c r="CQ27" i="7"/>
  <c r="GI27" i="7"/>
  <c r="DD27" i="7"/>
  <c r="AE27" i="7"/>
  <c r="DW27" i="7"/>
  <c r="AR27" i="7"/>
  <c r="EJ27" i="7"/>
  <c r="BE27" i="7"/>
  <c r="EW27" i="7"/>
  <c r="BR27" i="7"/>
  <c r="FJ27" i="7"/>
  <c r="CW27" i="7"/>
  <c r="GO27" i="7"/>
  <c r="DJ27" i="7"/>
  <c r="AK27" i="7"/>
  <c r="EC27" i="7"/>
  <c r="AX27" i="7"/>
  <c r="EP27" i="7"/>
  <c r="BK27" i="7"/>
  <c r="FC27" i="7"/>
  <c r="BX27" i="7"/>
  <c r="FP27" i="7"/>
  <c r="DC27" i="7"/>
  <c r="GU27" i="7"/>
  <c r="DP27" i="7"/>
  <c r="AQ27" i="7"/>
  <c r="EI27" i="7"/>
  <c r="BD27" i="7"/>
  <c r="EV27" i="7"/>
  <c r="BQ27" i="7"/>
  <c r="FI27" i="7"/>
  <c r="CD27" i="7"/>
  <c r="FV27" i="7"/>
  <c r="DI27" i="7"/>
  <c r="AD27" i="7"/>
  <c r="DV27" i="7"/>
  <c r="AW27" i="7"/>
  <c r="EO27" i="7"/>
  <c r="BJ27" i="7"/>
  <c r="FB27" i="7"/>
  <c r="BW27" i="7"/>
  <c r="FO27" i="7"/>
  <c r="CJ27" i="7"/>
  <c r="GB27" i="7"/>
  <c r="DO27" i="7"/>
  <c r="AJ27" i="7"/>
  <c r="EB27" i="7"/>
  <c r="BC27" i="7"/>
  <c r="EU27" i="7"/>
  <c r="BP27" i="7"/>
  <c r="FH27" i="7"/>
  <c r="CC27" i="7"/>
  <c r="FU27" i="7"/>
  <c r="CP27" i="7"/>
  <c r="GH27" i="7"/>
  <c r="AC27" i="7"/>
  <c r="DU27" i="7"/>
  <c r="AP27" i="7"/>
  <c r="EH27" i="7"/>
  <c r="BI27" i="7"/>
  <c r="FA27" i="7"/>
  <c r="BV27" i="7"/>
  <c r="FN27" i="7"/>
  <c r="CI27" i="7"/>
  <c r="GA27" i="7"/>
  <c r="CV27" i="7"/>
  <c r="GN27" i="7"/>
  <c r="AI27" i="7"/>
  <c r="EA27" i="7"/>
  <c r="AV27" i="7"/>
  <c r="EN27" i="7"/>
  <c r="BO27" i="7"/>
  <c r="FG27" i="7"/>
  <c r="CB27" i="7"/>
  <c r="FT27" i="7"/>
  <c r="CO27" i="7"/>
  <c r="GG27" i="7"/>
  <c r="DB27" i="7"/>
  <c r="GT27" i="7"/>
  <c r="AO27" i="7"/>
  <c r="EG27" i="7"/>
  <c r="BB27" i="7"/>
  <c r="ET27" i="7"/>
  <c r="BU27" i="7"/>
  <c r="FM27" i="7"/>
  <c r="CH27" i="7"/>
  <c r="FZ27" i="7"/>
  <c r="CU27" i="7"/>
  <c r="GM27" i="7"/>
  <c r="DH27" i="7"/>
  <c r="AU27" i="7"/>
  <c r="EM27" i="7"/>
  <c r="BH27" i="7"/>
  <c r="EZ27" i="7"/>
  <c r="CA27" i="7"/>
  <c r="FS27" i="7"/>
  <c r="CN27" i="7"/>
  <c r="GF27" i="7"/>
  <c r="DA27" i="7"/>
  <c r="GS27" i="7"/>
  <c r="DN27" i="7"/>
  <c r="BA27" i="7"/>
  <c r="ES27" i="7"/>
  <c r="BN27" i="7"/>
  <c r="FF27" i="7"/>
  <c r="CG27" i="7"/>
  <c r="FY27" i="7"/>
  <c r="CT27" i="7"/>
  <c r="GL27" i="7"/>
  <c r="DG27" i="7"/>
  <c r="AB27" i="7"/>
  <c r="DT27" i="7"/>
  <c r="BG27" i="7"/>
  <c r="EY27" i="7"/>
  <c r="BT27" i="7"/>
  <c r="FL27" i="7"/>
  <c r="CM27" i="7"/>
  <c r="GE27" i="7"/>
  <c r="CZ27" i="7"/>
  <c r="GR27" i="7"/>
  <c r="DM27" i="7"/>
  <c r="AH27" i="7"/>
  <c r="DZ27" i="7"/>
  <c r="BM27" i="7"/>
  <c r="FE27" i="7"/>
  <c r="BZ27" i="7"/>
  <c r="FR27" i="7"/>
  <c r="CS27" i="7"/>
  <c r="GK27" i="7"/>
  <c r="DF27" i="7"/>
  <c r="AA27" i="7"/>
  <c r="DS27" i="7"/>
  <c r="AN27" i="7"/>
  <c r="EF27" i="7"/>
  <c r="BS27" i="7"/>
  <c r="FK27" i="7"/>
  <c r="CF27" i="7"/>
  <c r="FX27" i="7"/>
  <c r="CY27" i="7"/>
  <c r="GQ27" i="7"/>
  <c r="DL27" i="7"/>
  <c r="AG27" i="7"/>
  <c r="DY27" i="7"/>
  <c r="AT27" i="7"/>
  <c r="EL27" i="7"/>
  <c r="BY27" i="7"/>
  <c r="FQ27" i="7"/>
  <c r="CL27" i="7"/>
  <c r="GD27" i="7"/>
  <c r="DE27" i="7"/>
  <c r="Z27" i="7"/>
  <c r="DR27" i="7"/>
  <c r="AM27" i="7"/>
  <c r="EE27" i="7"/>
  <c r="AZ27" i="7"/>
  <c r="ER27" i="7"/>
  <c r="J1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1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1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1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15" i="7"/>
  <c r="AQ15" i="7"/>
  <c r="DD15" i="7"/>
  <c r="AD15" i="7"/>
  <c r="DG15" i="7"/>
  <c r="GJ15" i="7"/>
  <c r="CT15" i="7"/>
  <c r="FW15" i="7"/>
  <c r="CG15" i="7"/>
  <c r="FJ15" i="7"/>
  <c r="BT15" i="7"/>
  <c r="EW15" i="7"/>
  <c r="EZ15" i="7"/>
  <c r="P15" i="7"/>
  <c r="BG15" i="7"/>
  <c r="DT15" i="7"/>
  <c r="AT15" i="7"/>
  <c r="DW15" i="7"/>
  <c r="AG15" i="7"/>
  <c r="DJ15" i="7"/>
  <c r="GM15" i="7"/>
  <c r="CW15" i="7"/>
  <c r="FZ15" i="7"/>
  <c r="CJ15" i="7"/>
  <c r="FM15" i="7"/>
  <c r="BM15" i="7"/>
  <c r="V15" i="7"/>
  <c r="BW15" i="7"/>
  <c r="EJ15" i="7"/>
  <c r="BJ15" i="7"/>
  <c r="EM15" i="7"/>
  <c r="AW15" i="7"/>
  <c r="DZ15" i="7"/>
  <c r="AJ15" i="7"/>
  <c r="DM15" i="7"/>
  <c r="GP15" i="7"/>
  <c r="CZ15" i="7"/>
  <c r="GC15" i="7"/>
  <c r="BZ15" i="7"/>
  <c r="O15" i="7"/>
  <c r="CM15" i="7"/>
  <c r="EC15" i="7"/>
  <c r="AM15" i="7"/>
  <c r="DP15" i="7"/>
  <c r="GS15" i="7"/>
  <c r="Q15" i="7"/>
  <c r="DC15" i="7"/>
  <c r="FP15" i="7"/>
  <c r="CP15" i="7"/>
  <c r="FS15" i="7"/>
  <c r="CC15" i="7"/>
  <c r="FF15" i="7"/>
  <c r="BP15" i="7"/>
  <c r="ES15" i="7"/>
  <c r="BC15" i="7"/>
  <c r="EF15" i="7"/>
  <c r="Z15" i="7"/>
  <c r="U15" i="7"/>
  <c r="DS15" i="7"/>
  <c r="GF15" i="7"/>
  <c r="DF15" i="7"/>
  <c r="GI15" i="7"/>
  <c r="CS15" i="7"/>
  <c r="FV15" i="7"/>
  <c r="CF15" i="7"/>
  <c r="FI15" i="7"/>
  <c r="BS15" i="7"/>
  <c r="EV15" i="7"/>
  <c r="AP15" i="7"/>
  <c r="W15" i="7"/>
  <c r="EI15" i="7"/>
  <c r="AC15" i="7"/>
  <c r="DV15" i="7"/>
  <c r="AF15" i="7"/>
  <c r="DI15" i="7"/>
  <c r="GL15" i="7"/>
  <c r="CV15" i="7"/>
  <c r="FY15" i="7"/>
  <c r="CI15" i="7"/>
  <c r="FL15" i="7"/>
  <c r="BF15" i="7"/>
  <c r="EY15" i="7"/>
  <c r="BI15" i="7"/>
  <c r="EL15" i="7"/>
  <c r="AV15" i="7"/>
  <c r="DY15" i="7"/>
  <c r="AI15" i="7"/>
  <c r="DL15" i="7"/>
  <c r="GO15" i="7"/>
  <c r="CY15" i="7"/>
  <c r="GB15" i="7"/>
  <c r="BV15" i="7"/>
  <c r="FO15" i="7"/>
  <c r="BY15" i="7"/>
  <c r="FB15" i="7"/>
  <c r="BL15" i="7"/>
  <c r="EO15" i="7"/>
  <c r="AY15" i="7"/>
  <c r="EB15" i="7"/>
  <c r="AL15" i="7"/>
  <c r="DO15" i="7"/>
  <c r="GR15" i="7"/>
  <c r="CL15" i="7"/>
  <c r="GE15" i="7"/>
  <c r="CO15" i="7"/>
  <c r="FR15" i="7"/>
  <c r="CB15" i="7"/>
  <c r="FE15" i="7"/>
  <c r="BO15" i="7"/>
  <c r="ER15" i="7"/>
  <c r="BB15" i="7"/>
  <c r="EE15" i="7"/>
  <c r="AO15" i="7"/>
  <c r="DB15" i="7"/>
  <c r="R15" i="7"/>
  <c r="GU15" i="7"/>
  <c r="DE15" i="7"/>
  <c r="GH15" i="7"/>
  <c r="CR15" i="7"/>
  <c r="FU15" i="7"/>
  <c r="CE15" i="7"/>
  <c r="FH15" i="7"/>
  <c r="BR15" i="7"/>
  <c r="EU15" i="7"/>
  <c r="BE15" i="7"/>
  <c r="DR15" i="7"/>
  <c r="X15" i="7"/>
  <c r="AB15" i="7"/>
  <c r="DU15" i="7"/>
  <c r="AE15" i="7"/>
  <c r="DH15" i="7"/>
  <c r="GK15" i="7"/>
  <c r="CU15" i="7"/>
  <c r="FX15" i="7"/>
  <c r="CH15" i="7"/>
  <c r="FK15" i="7"/>
  <c r="BU15" i="7"/>
  <c r="EH15" i="7"/>
  <c r="M15" i="7"/>
  <c r="AR15" i="7"/>
  <c r="EK15" i="7"/>
  <c r="AU15" i="7"/>
  <c r="DX15" i="7"/>
  <c r="AH15" i="7"/>
  <c r="DK15" i="7"/>
  <c r="GN15" i="7"/>
  <c r="CX15" i="7"/>
  <c r="GA15" i="7"/>
  <c r="CK15" i="7"/>
  <c r="EX15" i="7"/>
  <c r="S15" i="7"/>
  <c r="BH15" i="7"/>
  <c r="FA15" i="7"/>
  <c r="BK15" i="7"/>
  <c r="EN15" i="7"/>
  <c r="AX15" i="7"/>
  <c r="EA15" i="7"/>
  <c r="AK15" i="7"/>
  <c r="DN15" i="7"/>
  <c r="GQ15" i="7"/>
  <c r="DA15" i="7"/>
  <c r="FN15" i="7"/>
  <c r="FC15" i="7"/>
  <c r="Y15" i="7"/>
  <c r="BX15" i="7"/>
  <c r="FQ15" i="7"/>
  <c r="CA15" i="7"/>
  <c r="FD15" i="7"/>
  <c r="BN15" i="7"/>
  <c r="EQ15" i="7"/>
  <c r="BA15" i="7"/>
  <c r="ED15" i="7"/>
  <c r="AN15" i="7"/>
  <c r="DQ15" i="7"/>
  <c r="GD15" i="7"/>
  <c r="AZ15" i="7"/>
  <c r="N15" i="7"/>
  <c r="AA15" i="7"/>
  <c r="CN15" i="7"/>
  <c r="GG15" i="7"/>
  <c r="CQ15" i="7"/>
  <c r="FT15" i="7"/>
  <c r="CD15" i="7"/>
  <c r="FG15" i="7"/>
  <c r="BQ15" i="7"/>
  <c r="ET15" i="7"/>
  <c r="BD15" i="7"/>
  <c r="EG15" i="7"/>
  <c r="GT15" i="7"/>
  <c r="EP15" i="7"/>
  <c r="I49" i="7"/>
  <c r="H49" i="7"/>
  <c r="H11" i="7"/>
  <c r="I11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1" i="7"/>
  <c r="J49" i="7"/>
  <c r="AE11" i="7"/>
  <c r="DW11" i="7"/>
  <c r="AH11" i="7"/>
  <c r="DZ11" i="7"/>
  <c r="CI11" i="7"/>
  <c r="AI11" i="7"/>
  <c r="FV11" i="7"/>
  <c r="DV11" i="7"/>
  <c r="BM11" i="7"/>
  <c r="GT11" i="7"/>
  <c r="ES11" i="7"/>
  <c r="DY11" i="7"/>
  <c r="AK11" i="7"/>
  <c r="EC11" i="7"/>
  <c r="AN11" i="7"/>
  <c r="EF11" i="7"/>
  <c r="CR11" i="7"/>
  <c r="AR11" i="7"/>
  <c r="GC11" i="7"/>
  <c r="EE11" i="7"/>
  <c r="BV11" i="7"/>
  <c r="N11" i="7"/>
  <c r="FB11" i="7"/>
  <c r="FZ11" i="7"/>
  <c r="AQ11" i="7"/>
  <c r="EI11" i="7"/>
  <c r="AT11" i="7"/>
  <c r="EL11" i="7"/>
  <c r="DA11" i="7"/>
  <c r="BA11" i="7"/>
  <c r="GJ11" i="7"/>
  <c r="EN11" i="7"/>
  <c r="CE11" i="7"/>
  <c r="W11" i="7"/>
  <c r="FK11" i="7"/>
  <c r="AD11" i="7"/>
  <c r="AW11" i="7"/>
  <c r="EO11" i="7"/>
  <c r="AZ11" i="7"/>
  <c r="ER11" i="7"/>
  <c r="DJ11" i="7"/>
  <c r="BJ11" i="7"/>
  <c r="GR11" i="7"/>
  <c r="EW11" i="7"/>
  <c r="CN11" i="7"/>
  <c r="AF11" i="7"/>
  <c r="FT11" i="7"/>
  <c r="CF11" i="7"/>
  <c r="BC11" i="7"/>
  <c r="EU11" i="7"/>
  <c r="BF11" i="7"/>
  <c r="EX11" i="7"/>
  <c r="DS11" i="7"/>
  <c r="BS11" i="7"/>
  <c r="R11" i="7"/>
  <c r="FF11" i="7"/>
  <c r="CW11" i="7"/>
  <c r="AO11" i="7"/>
  <c r="GA11" i="7"/>
  <c r="EH11" i="7"/>
  <c r="BI11" i="7"/>
  <c r="FA11" i="7"/>
  <c r="BL11" i="7"/>
  <c r="FD11" i="7"/>
  <c r="EB11" i="7"/>
  <c r="CB11" i="7"/>
  <c r="AA11" i="7"/>
  <c r="FO11" i="7"/>
  <c r="DF11" i="7"/>
  <c r="AX11" i="7"/>
  <c r="GH11" i="7"/>
  <c r="GG11" i="7"/>
  <c r="BO11" i="7"/>
  <c r="FG11" i="7"/>
  <c r="BR11" i="7"/>
  <c r="FJ11" i="7"/>
  <c r="EK11" i="7"/>
  <c r="CK11" i="7"/>
  <c r="AJ11" i="7"/>
  <c r="FW11" i="7"/>
  <c r="DO11" i="7"/>
  <c r="BG11" i="7"/>
  <c r="GO11" i="7"/>
  <c r="AM11" i="7"/>
  <c r="BU11" i="7"/>
  <c r="FM11" i="7"/>
  <c r="BX11" i="7"/>
  <c r="FP11" i="7"/>
  <c r="ET11" i="7"/>
  <c r="CT11" i="7"/>
  <c r="AS11" i="7"/>
  <c r="GD11" i="7"/>
  <c r="DX11" i="7"/>
  <c r="BP11" i="7"/>
  <c r="BE11" i="7"/>
  <c r="CO11" i="7"/>
  <c r="CA11" i="7"/>
  <c r="FS11" i="7"/>
  <c r="CD11" i="7"/>
  <c r="O11" i="7"/>
  <c r="FC11" i="7"/>
  <c r="DC11" i="7"/>
  <c r="BB11" i="7"/>
  <c r="GL11" i="7"/>
  <c r="EG11" i="7"/>
  <c r="BY11" i="7"/>
  <c r="DG11" i="7"/>
  <c r="EQ11" i="7"/>
  <c r="CG11" i="7"/>
  <c r="FY11" i="7"/>
  <c r="CJ11" i="7"/>
  <c r="X11" i="7"/>
  <c r="FL11" i="7"/>
  <c r="DL11" i="7"/>
  <c r="BK11" i="7"/>
  <c r="GS11" i="7"/>
  <c r="EP11" i="7"/>
  <c r="CH11" i="7"/>
  <c r="FI11" i="7"/>
  <c r="GN11" i="7"/>
  <c r="CM11" i="7"/>
  <c r="GE11" i="7"/>
  <c r="CP11" i="7"/>
  <c r="AG11" i="7"/>
  <c r="FU11" i="7"/>
  <c r="DU11" i="7"/>
  <c r="BT11" i="7"/>
  <c r="K11" i="7"/>
  <c r="EY11" i="7"/>
  <c r="CQ11" i="7"/>
  <c r="L11" i="7"/>
  <c r="AV11" i="7"/>
  <c r="CS11" i="7"/>
  <c r="GK11" i="7"/>
  <c r="CV11" i="7"/>
  <c r="AP11" i="7"/>
  <c r="GB11" i="7"/>
  <c r="ED11" i="7"/>
  <c r="CC11" i="7"/>
  <c r="T11" i="7"/>
  <c r="FH11" i="7"/>
  <c r="CZ11" i="7"/>
  <c r="BN11" i="7"/>
  <c r="CX11" i="7"/>
  <c r="CY11" i="7"/>
  <c r="GQ11" i="7"/>
  <c r="DB11" i="7"/>
  <c r="AY11" i="7"/>
  <c r="GI11" i="7"/>
  <c r="EM11" i="7"/>
  <c r="CL11" i="7"/>
  <c r="AC11" i="7"/>
  <c r="FQ11" i="7"/>
  <c r="DI11" i="7"/>
  <c r="DP11" i="7"/>
  <c r="EZ11" i="7"/>
  <c r="M11" i="7"/>
  <c r="DE11" i="7"/>
  <c r="P11" i="7"/>
  <c r="DH11" i="7"/>
  <c r="BH11" i="7"/>
  <c r="GP11" i="7"/>
  <c r="EV11" i="7"/>
  <c r="CU11" i="7"/>
  <c r="AL11" i="7"/>
  <c r="FX11" i="7"/>
  <c r="DR11" i="7"/>
  <c r="FR11" i="7"/>
  <c r="GU11" i="7"/>
  <c r="S11" i="7"/>
  <c r="Y11" i="7"/>
  <c r="DQ11" i="7"/>
  <c r="AB11" i="7"/>
  <c r="DT11" i="7"/>
  <c r="BZ11" i="7"/>
  <c r="Z11" i="7"/>
  <c r="FN11" i="7"/>
  <c r="DM11" i="7"/>
  <c r="BD11" i="7"/>
  <c r="GM11" i="7"/>
  <c r="EJ11" i="7"/>
  <c r="BW11" i="7"/>
  <c r="Q11" i="7"/>
  <c r="FE11" i="7"/>
  <c r="DD11" i="7"/>
  <c r="AU11" i="7"/>
  <c r="GF11" i="7"/>
  <c r="EA11" i="7"/>
  <c r="U11" i="7"/>
  <c r="DK11" i="7"/>
  <c r="V11" i="7"/>
  <c r="DN11" i="7"/>
  <c r="BQ11" i="7"/>
  <c r="AC1252" i="1"/>
  <c r="K47" i="7"/>
  <c r="J47" i="7"/>
  <c r="I47" i="7"/>
  <c r="I5" i="7"/>
  <c r="J5" i="7"/>
  <c r="K5" i="7"/>
  <c r="I62" i="7"/>
  <c r="I22" i="7"/>
  <c r="J62" i="7"/>
  <c r="J22" i="7"/>
  <c r="K43" i="7"/>
  <c r="J43" i="7"/>
  <c r="J7" i="7"/>
  <c r="K7" i="7"/>
  <c r="M43" i="7"/>
  <c r="L43" i="7"/>
  <c r="L7" i="7"/>
  <c r="M7" i="7"/>
  <c r="BN9" i="1"/>
  <c r="BN8" i="1"/>
  <c r="BE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S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Y29" i="7"/>
  <c r="CY29" i="7"/>
  <c r="GQ29" i="7"/>
  <c r="CZ29" i="7"/>
  <c r="GR29" i="7"/>
  <c r="DA29" i="7"/>
  <c r="GS29" i="7"/>
  <c r="DB29" i="7"/>
  <c r="GT29" i="7"/>
  <c r="DC29" i="7"/>
  <c r="GU29" i="7"/>
  <c r="DD29" i="7"/>
  <c r="AE29" i="7"/>
  <c r="DE29" i="7"/>
  <c r="DF29" i="7"/>
  <c r="DG29" i="7"/>
  <c r="DH29" i="7"/>
  <c r="N29" i="7"/>
  <c r="DI29" i="7"/>
  <c r="O29" i="7"/>
  <c r="DJ29" i="7"/>
  <c r="P29" i="7"/>
  <c r="DK29" i="7"/>
  <c r="Q29" i="7"/>
  <c r="DL29" i="7"/>
  <c r="R29" i="7"/>
  <c r="DM29" i="7"/>
  <c r="T29" i="7"/>
  <c r="DN29" i="7"/>
  <c r="U29" i="7"/>
  <c r="DO29" i="7"/>
  <c r="V29" i="7"/>
  <c r="DP29" i="7"/>
  <c r="W29" i="7"/>
  <c r="DQ29" i="7"/>
  <c r="X29" i="7"/>
  <c r="DR29" i="7"/>
  <c r="Z29" i="7"/>
  <c r="DS29" i="7"/>
  <c r="AA29" i="7"/>
  <c r="DT29" i="7"/>
  <c r="AB29" i="7"/>
  <c r="DU29" i="7"/>
  <c r="AC29" i="7"/>
  <c r="DV29" i="7"/>
  <c r="AD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H66" i="7"/>
  <c r="H24" i="7"/>
  <c r="J38" i="7"/>
  <c r="J4" i="7"/>
  <c r="M38" i="7"/>
  <c r="L38" i="7"/>
  <c r="K38" i="7"/>
  <c r="M4" i="7"/>
  <c r="L4" i="7"/>
  <c r="K4" i="7"/>
  <c r="L55" i="7"/>
  <c r="K55" i="7"/>
  <c r="M55" i="7"/>
  <c r="M29" i="7"/>
  <c r="K29" i="7"/>
  <c r="L29" i="7"/>
  <c r="K51" i="7"/>
  <c r="J51" i="7"/>
  <c r="J8" i="7"/>
  <c r="K8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8" i="7"/>
  <c r="DR8" i="7"/>
  <c r="AA8" i="7"/>
  <c r="DS8" i="7"/>
  <c r="AB8" i="7"/>
  <c r="AR8" i="7"/>
  <c r="AX8" i="7"/>
  <c r="EP8" i="7"/>
  <c r="BP8" i="7"/>
  <c r="BV8" i="7"/>
  <c r="FN8" i="7"/>
  <c r="BW8" i="7"/>
  <c r="FO8" i="7"/>
  <c r="BB8" i="7"/>
  <c r="N8" i="7"/>
  <c r="EV8" i="7"/>
  <c r="BQ8" i="7"/>
  <c r="GA8" i="7"/>
  <c r="BZ8" i="7"/>
  <c r="FR8" i="7"/>
  <c r="EU8" i="7"/>
  <c r="EX8" i="7"/>
  <c r="EY8" i="7"/>
  <c r="FA8" i="7"/>
  <c r="FQ8" i="7"/>
  <c r="DH8" i="7"/>
  <c r="T8" i="7"/>
  <c r="FB8" i="7"/>
  <c r="CC8" i="7"/>
  <c r="GG8" i="7"/>
  <c r="CF8" i="7"/>
  <c r="FX8" i="7"/>
  <c r="FG8" i="7"/>
  <c r="FJ8" i="7"/>
  <c r="FK8" i="7"/>
  <c r="FM8" i="7"/>
  <c r="GC8" i="7"/>
  <c r="GB8" i="7"/>
  <c r="AF8" i="7"/>
  <c r="FH8" i="7"/>
  <c r="CI8" i="7"/>
  <c r="GM8" i="7"/>
  <c r="CL8" i="7"/>
  <c r="GD8" i="7"/>
  <c r="FS8" i="7"/>
  <c r="FV8" i="7"/>
  <c r="FW8" i="7"/>
  <c r="FY8" i="7"/>
  <c r="GO8" i="7"/>
  <c r="AL8" i="7"/>
  <c r="FT8" i="7"/>
  <c r="CO8" i="7"/>
  <c r="GS8" i="7"/>
  <c r="CR8" i="7"/>
  <c r="GJ8" i="7"/>
  <c r="GE8" i="7"/>
  <c r="GH8" i="7"/>
  <c r="GI8" i="7"/>
  <c r="GK8" i="7"/>
  <c r="AZ8" i="7"/>
  <c r="BD8" i="7"/>
  <c r="FZ8" i="7"/>
  <c r="CU8" i="7"/>
  <c r="P8" i="7"/>
  <c r="CX8" i="7"/>
  <c r="GP8" i="7"/>
  <c r="GQ8" i="7"/>
  <c r="GT8" i="7"/>
  <c r="GU8" i="7"/>
  <c r="AC8" i="7"/>
  <c r="DT8" i="7"/>
  <c r="BJ8" i="7"/>
  <c r="GF8" i="7"/>
  <c r="DA8" i="7"/>
  <c r="V8" i="7"/>
  <c r="DD8" i="7"/>
  <c r="M8" i="7"/>
  <c r="Q8" i="7"/>
  <c r="S8" i="7"/>
  <c r="W8" i="7"/>
  <c r="AO8" i="7"/>
  <c r="GN8" i="7"/>
  <c r="CB8" i="7"/>
  <c r="GL8" i="7"/>
  <c r="DG8" i="7"/>
  <c r="L8" i="7"/>
  <c r="DJ8" i="7"/>
  <c r="AE8" i="7"/>
  <c r="AH8" i="7"/>
  <c r="AI8" i="7"/>
  <c r="AK8" i="7"/>
  <c r="BA8" i="7"/>
  <c r="BL8" i="7"/>
  <c r="CH8" i="7"/>
  <c r="GR8" i="7"/>
  <c r="DM8" i="7"/>
  <c r="R8" i="7"/>
  <c r="DP8" i="7"/>
  <c r="AQ8" i="7"/>
  <c r="AT8" i="7"/>
  <c r="AU8" i="7"/>
  <c r="AW8" i="7"/>
  <c r="BM8" i="7"/>
  <c r="EF8" i="7"/>
  <c r="CN8" i="7"/>
  <c r="O8" i="7"/>
  <c r="DY8" i="7"/>
  <c r="X8" i="7"/>
  <c r="DV8" i="7"/>
  <c r="BC8" i="7"/>
  <c r="BF8" i="7"/>
  <c r="BG8" i="7"/>
  <c r="BI8" i="7"/>
  <c r="BY8" i="7"/>
  <c r="BX8" i="7"/>
  <c r="CT8" i="7"/>
  <c r="U8" i="7"/>
  <c r="EE8" i="7"/>
  <c r="AD8" i="7"/>
  <c r="EB8" i="7"/>
  <c r="BO8" i="7"/>
  <c r="BR8" i="7"/>
  <c r="BS8" i="7"/>
  <c r="BU8" i="7"/>
  <c r="CK8" i="7"/>
  <c r="ER8" i="7"/>
  <c r="CZ8" i="7"/>
  <c r="AG8" i="7"/>
  <c r="EK8" i="7"/>
  <c r="AJ8" i="7"/>
  <c r="EH8" i="7"/>
  <c r="CA8" i="7"/>
  <c r="CD8" i="7"/>
  <c r="CE8" i="7"/>
  <c r="CG8" i="7"/>
  <c r="CW8" i="7"/>
  <c r="CJ8" i="7"/>
  <c r="DF8" i="7"/>
  <c r="AM8" i="7"/>
  <c r="EQ8" i="7"/>
  <c r="AP8" i="7"/>
  <c r="EN8" i="7"/>
  <c r="CM8" i="7"/>
  <c r="CP8" i="7"/>
  <c r="CQ8" i="7"/>
  <c r="CS8" i="7"/>
  <c r="DI8" i="7"/>
  <c r="FD8" i="7"/>
  <c r="DL8" i="7"/>
  <c r="AS8" i="7"/>
  <c r="EW8" i="7"/>
  <c r="AV8" i="7"/>
  <c r="ET8" i="7"/>
  <c r="CY8" i="7"/>
  <c r="DB8" i="7"/>
  <c r="DC8" i="7"/>
  <c r="DE8" i="7"/>
  <c r="DU8" i="7"/>
  <c r="Y8" i="7"/>
  <c r="DX8" i="7"/>
  <c r="AY8" i="7"/>
  <c r="FC8" i="7"/>
  <c r="BH8" i="7"/>
  <c r="EZ8" i="7"/>
  <c r="DK8" i="7"/>
  <c r="DN8" i="7"/>
  <c r="DO8" i="7"/>
  <c r="DQ8" i="7"/>
  <c r="EG8" i="7"/>
  <c r="CV8" i="7"/>
  <c r="ED8" i="7"/>
  <c r="BE8" i="7"/>
  <c r="FI8" i="7"/>
  <c r="BN8" i="7"/>
  <c r="FF8" i="7"/>
  <c r="DW8" i="7"/>
  <c r="DZ8" i="7"/>
  <c r="EA8" i="7"/>
  <c r="EC8" i="7"/>
  <c r="ES8" i="7"/>
  <c r="FP8" i="7"/>
  <c r="EJ8" i="7"/>
  <c r="BK8" i="7"/>
  <c r="FU8" i="7"/>
  <c r="BT8" i="7"/>
  <c r="FL8" i="7"/>
  <c r="EI8" i="7"/>
  <c r="EL8" i="7"/>
  <c r="EM8" i="7"/>
  <c r="EO8" i="7"/>
  <c r="FE8" i="7"/>
  <c r="AN8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13" i="7"/>
  <c r="DS13" i="7"/>
  <c r="BL13" i="7"/>
  <c r="BT13" i="7"/>
  <c r="FL13" i="7"/>
  <c r="BV13" i="7"/>
  <c r="CQ13" i="7"/>
  <c r="CS13" i="7"/>
  <c r="CE13" i="7"/>
  <c r="BO13" i="7"/>
  <c r="BA13" i="7"/>
  <c r="EL13" i="7"/>
  <c r="AG13" i="7"/>
  <c r="DY13" i="7"/>
  <c r="BR13" i="7"/>
  <c r="BZ13" i="7"/>
  <c r="FR13" i="7"/>
  <c r="CB13" i="7"/>
  <c r="DC13" i="7"/>
  <c r="DE13" i="7"/>
  <c r="CV13" i="7"/>
  <c r="CG13" i="7"/>
  <c r="BS13" i="7"/>
  <c r="GH13" i="7"/>
  <c r="AM13" i="7"/>
  <c r="EE13" i="7"/>
  <c r="BX13" i="7"/>
  <c r="CF13" i="7"/>
  <c r="FX13" i="7"/>
  <c r="CH13" i="7"/>
  <c r="DO13" i="7"/>
  <c r="DQ13" i="7"/>
  <c r="DH13" i="7"/>
  <c r="CW13" i="7"/>
  <c r="CK13" i="7"/>
  <c r="BU13" i="7"/>
  <c r="AS13" i="7"/>
  <c r="EK13" i="7"/>
  <c r="CD13" i="7"/>
  <c r="CL13" i="7"/>
  <c r="GD13" i="7"/>
  <c r="CN13" i="7"/>
  <c r="EA13" i="7"/>
  <c r="EC13" i="7"/>
  <c r="DT13" i="7"/>
  <c r="DI13" i="7"/>
  <c r="CY13" i="7"/>
  <c r="EU13" i="7"/>
  <c r="AY13" i="7"/>
  <c r="EQ13" i="7"/>
  <c r="CJ13" i="7"/>
  <c r="CR13" i="7"/>
  <c r="GJ13" i="7"/>
  <c r="CT13" i="7"/>
  <c r="EM13" i="7"/>
  <c r="EO13" i="7"/>
  <c r="EF13" i="7"/>
  <c r="DU13" i="7"/>
  <c r="DK13" i="7"/>
  <c r="GO13" i="7"/>
  <c r="BE13" i="7"/>
  <c r="EW13" i="7"/>
  <c r="CP13" i="7"/>
  <c r="CX13" i="7"/>
  <c r="GP13" i="7"/>
  <c r="CZ13" i="7"/>
  <c r="EV13" i="7"/>
  <c r="EX13" i="7"/>
  <c r="EP13" i="7"/>
  <c r="EG13" i="7"/>
  <c r="DW13" i="7"/>
  <c r="CM13" i="7"/>
  <c r="BK13" i="7"/>
  <c r="FC13" i="7"/>
  <c r="DD13" i="7"/>
  <c r="N13" i="7"/>
  <c r="DF13" i="7"/>
  <c r="FE13" i="7"/>
  <c r="FG13" i="7"/>
  <c r="EY13" i="7"/>
  <c r="ER13" i="7"/>
  <c r="EI13" i="7"/>
  <c r="FD13" i="7"/>
  <c r="BQ13" i="7"/>
  <c r="FI13" i="7"/>
  <c r="R13" i="7"/>
  <c r="DJ13" i="7"/>
  <c r="T13" i="7"/>
  <c r="DL13" i="7"/>
  <c r="FN13" i="7"/>
  <c r="FO13" i="7"/>
  <c r="FH13" i="7"/>
  <c r="FA13" i="7"/>
  <c r="ES13" i="7"/>
  <c r="DB13" i="7"/>
  <c r="BW13" i="7"/>
  <c r="P13" i="7"/>
  <c r="X13" i="7"/>
  <c r="DP13" i="7"/>
  <c r="Z13" i="7"/>
  <c r="DR13" i="7"/>
  <c r="FU13" i="7"/>
  <c r="FV13" i="7"/>
  <c r="FP13" i="7"/>
  <c r="FJ13" i="7"/>
  <c r="FB13" i="7"/>
  <c r="FM13" i="7"/>
  <c r="CC13" i="7"/>
  <c r="V13" i="7"/>
  <c r="AD13" i="7"/>
  <c r="DV13" i="7"/>
  <c r="AF13" i="7"/>
  <c r="DX13" i="7"/>
  <c r="GB13" i="7"/>
  <c r="GC13" i="7"/>
  <c r="FW13" i="7"/>
  <c r="FQ13" i="7"/>
  <c r="FK13" i="7"/>
  <c r="S13" i="7"/>
  <c r="CI13" i="7"/>
  <c r="AB13" i="7"/>
  <c r="AJ13" i="7"/>
  <c r="EB13" i="7"/>
  <c r="AL13" i="7"/>
  <c r="ED13" i="7"/>
  <c r="GI13" i="7"/>
  <c r="GK13" i="7"/>
  <c r="GE13" i="7"/>
  <c r="FY13" i="7"/>
  <c r="FS13" i="7"/>
  <c r="DN13" i="7"/>
  <c r="CO13" i="7"/>
  <c r="AH13" i="7"/>
  <c r="AP13" i="7"/>
  <c r="EH13" i="7"/>
  <c r="AR13" i="7"/>
  <c r="EJ13" i="7"/>
  <c r="GQ13" i="7"/>
  <c r="GR13" i="7"/>
  <c r="GL13" i="7"/>
  <c r="GF13" i="7"/>
  <c r="FZ13" i="7"/>
  <c r="FT13" i="7"/>
  <c r="CU13" i="7"/>
  <c r="AN13" i="7"/>
  <c r="AV13" i="7"/>
  <c r="EN13" i="7"/>
  <c r="AX13" i="7"/>
  <c r="W13" i="7"/>
  <c r="Y13" i="7"/>
  <c r="GS13" i="7"/>
  <c r="GM13" i="7"/>
  <c r="GG13" i="7"/>
  <c r="AK13" i="7"/>
  <c r="DA13" i="7"/>
  <c r="AT13" i="7"/>
  <c r="BB13" i="7"/>
  <c r="ET13" i="7"/>
  <c r="BD13" i="7"/>
  <c r="AO13" i="7"/>
  <c r="AQ13" i="7"/>
  <c r="AC13" i="7"/>
  <c r="GT13" i="7"/>
  <c r="GN13" i="7"/>
  <c r="DZ13" i="7"/>
  <c r="O13" i="7"/>
  <c r="DG13" i="7"/>
  <c r="AZ13" i="7"/>
  <c r="BH13" i="7"/>
  <c r="EZ13" i="7"/>
  <c r="BJ13" i="7"/>
  <c r="BG13" i="7"/>
  <c r="BI13" i="7"/>
  <c r="AU13" i="7"/>
  <c r="AE13" i="7"/>
  <c r="Q13" i="7"/>
  <c r="GU13" i="7"/>
  <c r="GA13" i="7"/>
  <c r="U13" i="7"/>
  <c r="DM13" i="7"/>
  <c r="BF13" i="7"/>
  <c r="BN13" i="7"/>
  <c r="FF13" i="7"/>
  <c r="BP13" i="7"/>
  <c r="BY13" i="7"/>
  <c r="CA13" i="7"/>
  <c r="BM13" i="7"/>
  <c r="AW13" i="7"/>
  <c r="AI13" i="7"/>
  <c r="BC13" i="7"/>
  <c r="J59" i="7"/>
  <c r="J32" i="7"/>
  <c r="M59" i="7"/>
  <c r="L59" i="7"/>
  <c r="K59" i="7"/>
  <c r="L32" i="7"/>
  <c r="K32" i="7"/>
  <c r="M32" i="7"/>
  <c r="J52" i="7"/>
  <c r="EB52" i="7"/>
  <c r="BM52" i="7"/>
  <c r="J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3" i="7"/>
  <c r="L52" i="7"/>
  <c r="K52" i="7"/>
  <c r="EY52" i="7"/>
  <c r="L3" i="7"/>
  <c r="Q3" i="7"/>
  <c r="W3" i="7"/>
  <c r="R3" i="7"/>
  <c r="X3" i="7"/>
  <c r="M3" i="7"/>
  <c r="S3" i="7"/>
  <c r="Y3" i="7"/>
  <c r="N3" i="7"/>
  <c r="T3" i="7"/>
  <c r="O3" i="7"/>
  <c r="U3" i="7"/>
  <c r="P3" i="7"/>
  <c r="V3" i="7"/>
  <c r="CE3" i="7"/>
  <c r="FH3" i="7"/>
  <c r="BR3" i="7"/>
  <c r="EU3" i="7"/>
  <c r="BE3" i="7"/>
  <c r="DR3" i="7"/>
  <c r="GE3" i="7"/>
  <c r="BY3" i="7"/>
  <c r="FB3" i="7"/>
  <c r="BL3" i="7"/>
  <c r="EO3" i="7"/>
  <c r="CU3" i="7"/>
  <c r="FX3" i="7"/>
  <c r="CH3" i="7"/>
  <c r="FK3" i="7"/>
  <c r="BU3" i="7"/>
  <c r="EH3" i="7"/>
  <c r="GU3" i="7"/>
  <c r="CO3" i="7"/>
  <c r="FR3" i="7"/>
  <c r="CB3" i="7"/>
  <c r="FE3" i="7"/>
  <c r="DK3" i="7"/>
  <c r="GN3" i="7"/>
  <c r="CX3" i="7"/>
  <c r="GA3" i="7"/>
  <c r="CK3" i="7"/>
  <c r="EX3" i="7"/>
  <c r="AB3" i="7"/>
  <c r="DE3" i="7"/>
  <c r="GH3" i="7"/>
  <c r="CR3" i="7"/>
  <c r="FU3" i="7"/>
  <c r="EA3" i="7"/>
  <c r="AK3" i="7"/>
  <c r="DN3" i="7"/>
  <c r="GQ3" i="7"/>
  <c r="DA3" i="7"/>
  <c r="FN3" i="7"/>
  <c r="AR3" i="7"/>
  <c r="DU3" i="7"/>
  <c r="AE3" i="7"/>
  <c r="DH3" i="7"/>
  <c r="GK3" i="7"/>
  <c r="EQ3" i="7"/>
  <c r="BA3" i="7"/>
  <c r="ED3" i="7"/>
  <c r="AN3" i="7"/>
  <c r="DQ3" i="7"/>
  <c r="GD3" i="7"/>
  <c r="BH3" i="7"/>
  <c r="EK3" i="7"/>
  <c r="AU3" i="7"/>
  <c r="DX3" i="7"/>
  <c r="AH3" i="7"/>
  <c r="FG3" i="7"/>
  <c r="BQ3" i="7"/>
  <c r="ET3" i="7"/>
  <c r="BD3" i="7"/>
  <c r="EG3" i="7"/>
  <c r="GT3" i="7"/>
  <c r="BX3" i="7"/>
  <c r="FA3" i="7"/>
  <c r="BK3" i="7"/>
  <c r="EN3" i="7"/>
  <c r="AX3" i="7"/>
  <c r="FW3" i="7"/>
  <c r="CG3" i="7"/>
  <c r="FJ3" i="7"/>
  <c r="BT3" i="7"/>
  <c r="EW3" i="7"/>
  <c r="AA3" i="7"/>
  <c r="CN3" i="7"/>
  <c r="FQ3" i="7"/>
  <c r="CA3" i="7"/>
  <c r="FD3" i="7"/>
  <c r="BN3" i="7"/>
  <c r="GM3" i="7"/>
  <c r="CW3" i="7"/>
  <c r="FZ3" i="7"/>
  <c r="CJ3" i="7"/>
  <c r="FM3" i="7"/>
  <c r="AQ3" i="7"/>
  <c r="DD3" i="7"/>
  <c r="GG3" i="7"/>
  <c r="CQ3" i="7"/>
  <c r="FT3" i="7"/>
  <c r="CD3" i="7"/>
  <c r="AJ3" i="7"/>
  <c r="DM3" i="7"/>
  <c r="GP3" i="7"/>
  <c r="CZ3" i="7"/>
  <c r="GC3" i="7"/>
  <c r="BG3" i="7"/>
  <c r="DT3" i="7"/>
  <c r="AD3" i="7"/>
  <c r="DG3" i="7"/>
  <c r="GJ3" i="7"/>
  <c r="CT3" i="7"/>
  <c r="AZ3" i="7"/>
  <c r="EC3" i="7"/>
  <c r="AM3" i="7"/>
  <c r="DP3" i="7"/>
  <c r="GS3" i="7"/>
  <c r="BW3" i="7"/>
  <c r="EJ3" i="7"/>
  <c r="AT3" i="7"/>
  <c r="DW3" i="7"/>
  <c r="AG3" i="7"/>
  <c r="DJ3" i="7"/>
  <c r="BP3" i="7"/>
  <c r="ES3" i="7"/>
  <c r="BC3" i="7"/>
  <c r="EF3" i="7"/>
  <c r="Z3" i="7"/>
  <c r="CM3" i="7"/>
  <c r="EZ3" i="7"/>
  <c r="BJ3" i="7"/>
  <c r="EM3" i="7"/>
  <c r="AW3" i="7"/>
  <c r="DZ3" i="7"/>
  <c r="CF3" i="7"/>
  <c r="FI3" i="7"/>
  <c r="BS3" i="7"/>
  <c r="EV3" i="7"/>
  <c r="AP3" i="7"/>
  <c r="DC3" i="7"/>
  <c r="FP3" i="7"/>
  <c r="BZ3" i="7"/>
  <c r="FC3" i="7"/>
  <c r="BM3" i="7"/>
  <c r="EP3" i="7"/>
  <c r="CV3" i="7"/>
  <c r="FY3" i="7"/>
  <c r="CI3" i="7"/>
  <c r="FL3" i="7"/>
  <c r="BF3" i="7"/>
  <c r="DS3" i="7"/>
  <c r="GF3" i="7"/>
  <c r="CP3" i="7"/>
  <c r="FS3" i="7"/>
  <c r="CC3" i="7"/>
  <c r="FF3" i="7"/>
  <c r="AI3" i="7"/>
  <c r="DL3" i="7"/>
  <c r="GO3" i="7"/>
  <c r="CY3" i="7"/>
  <c r="GB3" i="7"/>
  <c r="BV3" i="7"/>
  <c r="EI3" i="7"/>
  <c r="AC3" i="7"/>
  <c r="DF3" i="7"/>
  <c r="GI3" i="7"/>
  <c r="CS3" i="7"/>
  <c r="FV3" i="7"/>
  <c r="AY3" i="7"/>
  <c r="EB3" i="7"/>
  <c r="AL3" i="7"/>
  <c r="DO3" i="7"/>
  <c r="GR3" i="7"/>
  <c r="CL3" i="7"/>
  <c r="EY3" i="7"/>
  <c r="AS3" i="7"/>
  <c r="DV3" i="7"/>
  <c r="AF3" i="7"/>
  <c r="DI3" i="7"/>
  <c r="GL3" i="7"/>
  <c r="BO3" i="7"/>
  <c r="ER3" i="7"/>
  <c r="BB3" i="7"/>
  <c r="EE3" i="7"/>
  <c r="AO3" i="7"/>
  <c r="DB3" i="7"/>
  <c r="FO3" i="7"/>
  <c r="BI3" i="7"/>
  <c r="EL3" i="7"/>
  <c r="AV3" i="7"/>
  <c r="DY3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2" i="7"/>
  <c r="BU2" i="7"/>
  <c r="DV2" i="7"/>
  <c r="AT2" i="7"/>
  <c r="FG2" i="7"/>
  <c r="CU2" i="7"/>
  <c r="GR2" i="7"/>
  <c r="EE2" i="7"/>
  <c r="DS2" i="7"/>
  <c r="CI2" i="7"/>
  <c r="FQ2" i="7"/>
  <c r="CW2" i="7"/>
  <c r="CA2" i="7"/>
  <c r="EB2" i="7"/>
  <c r="BD2" i="7"/>
  <c r="FM2" i="7"/>
  <c r="DB2" i="7"/>
  <c r="EK2" i="7"/>
  <c r="EL2" i="7"/>
  <c r="DE2" i="7"/>
  <c r="AP2" i="7"/>
  <c r="AR2" i="7"/>
  <c r="DC2" i="7"/>
  <c r="CG2" i="7"/>
  <c r="EH2" i="7"/>
  <c r="BL2" i="7"/>
  <c r="FS2" i="7"/>
  <c r="DJ2" i="7"/>
  <c r="V2" i="7"/>
  <c r="EQ2" i="7"/>
  <c r="FD2" i="7"/>
  <c r="DZ2" i="7"/>
  <c r="BQ2" i="7"/>
  <c r="Q2" i="7"/>
  <c r="DI2" i="7"/>
  <c r="R2" i="7"/>
  <c r="EN2" i="7"/>
  <c r="BV2" i="7"/>
  <c r="FY2" i="7"/>
  <c r="DQ2" i="7"/>
  <c r="AF2" i="7"/>
  <c r="EW2" i="7"/>
  <c r="FV2" i="7"/>
  <c r="ER2" i="7"/>
  <c r="CP2" i="7"/>
  <c r="W2" i="7"/>
  <c r="DO2" i="7"/>
  <c r="AA2" i="7"/>
  <c r="ET2" i="7"/>
  <c r="CD2" i="7"/>
  <c r="GE2" i="7"/>
  <c r="DX2" i="7"/>
  <c r="AN2" i="7"/>
  <c r="FC2" i="7"/>
  <c r="GN2" i="7"/>
  <c r="FJ2" i="7"/>
  <c r="DL2" i="7"/>
  <c r="AC2" i="7"/>
  <c r="DU2" i="7"/>
  <c r="AJ2" i="7"/>
  <c r="EZ2" i="7"/>
  <c r="CM2" i="7"/>
  <c r="GK2" i="7"/>
  <c r="ED2" i="7"/>
  <c r="AX2" i="7"/>
  <c r="FI2" i="7"/>
  <c r="Z2" i="7"/>
  <c r="GB2" i="7"/>
  <c r="EF2" i="7"/>
  <c r="AI2" i="7"/>
  <c r="AS2" i="7"/>
  <c r="FF2" i="7"/>
  <c r="CT2" i="7"/>
  <c r="GQ2" i="7"/>
  <c r="EJ2" i="7"/>
  <c r="BF2" i="7"/>
  <c r="FO2" i="7"/>
  <c r="AZ2" i="7"/>
  <c r="GT2" i="7"/>
  <c r="EX2" i="7"/>
  <c r="AO2" i="7"/>
  <c r="S2" i="7"/>
  <c r="BB2" i="7"/>
  <c r="FL2" i="7"/>
  <c r="DA2" i="7"/>
  <c r="U2" i="7"/>
  <c r="EP2" i="7"/>
  <c r="BP2" i="7"/>
  <c r="FU2" i="7"/>
  <c r="CB2" i="7"/>
  <c r="AH2" i="7"/>
  <c r="FP2" i="7"/>
  <c r="AU2" i="7"/>
  <c r="Y2" i="7"/>
  <c r="BK2" i="7"/>
  <c r="FR2" i="7"/>
  <c r="DH2" i="7"/>
  <c r="AD2" i="7"/>
  <c r="EV2" i="7"/>
  <c r="BX2" i="7"/>
  <c r="GA2" i="7"/>
  <c r="CY2" i="7"/>
  <c r="BJ2" i="7"/>
  <c r="GH2" i="7"/>
  <c r="BA2" i="7"/>
  <c r="AE2" i="7"/>
  <c r="BT2" i="7"/>
  <c r="FX2" i="7"/>
  <c r="DP2" i="7"/>
  <c r="AM2" i="7"/>
  <c r="FB2" i="7"/>
  <c r="CH2" i="7"/>
  <c r="GG2" i="7"/>
  <c r="DT2" i="7"/>
  <c r="CJ2" i="7"/>
  <c r="BR2" i="7"/>
  <c r="BG2" i="7"/>
  <c r="AK2" i="7"/>
  <c r="CC2" i="7"/>
  <c r="GD2" i="7"/>
  <c r="DW2" i="7"/>
  <c r="AV2" i="7"/>
  <c r="FH2" i="7"/>
  <c r="CO2" i="7"/>
  <c r="GM2" i="7"/>
  <c r="EM2" i="7"/>
  <c r="DF2" i="7"/>
  <c r="GI2" i="7"/>
  <c r="BM2" i="7"/>
  <c r="AQ2" i="7"/>
  <c r="CL2" i="7"/>
  <c r="GJ2" i="7"/>
  <c r="EC2" i="7"/>
  <c r="BE2" i="7"/>
  <c r="FN2" i="7"/>
  <c r="CV2" i="7"/>
  <c r="GS2" i="7"/>
  <c r="FE2" i="7"/>
  <c r="EA2" i="7"/>
  <c r="CR2" i="7"/>
  <c r="BS2" i="7"/>
  <c r="AW2" i="7"/>
  <c r="CS2" i="7"/>
  <c r="GP2" i="7"/>
  <c r="EI2" i="7"/>
  <c r="BN2" i="7"/>
  <c r="FT2" i="7"/>
  <c r="DD2" i="7"/>
  <c r="X2" i="7"/>
  <c r="FW2" i="7"/>
  <c r="ES2" i="7"/>
  <c r="DM2" i="7"/>
  <c r="BY2" i="7"/>
  <c r="BC2" i="7"/>
  <c r="CZ2" i="7"/>
  <c r="T2" i="7"/>
  <c r="EO2" i="7"/>
  <c r="BW2" i="7"/>
  <c r="FZ2" i="7"/>
  <c r="DK2" i="7"/>
  <c r="AY2" i="7"/>
  <c r="GO2" i="7"/>
  <c r="FK2" i="7"/>
  <c r="EG2" i="7"/>
  <c r="CE2" i="7"/>
  <c r="BI2" i="7"/>
  <c r="DG2" i="7"/>
  <c r="AB2" i="7"/>
  <c r="EU2" i="7"/>
  <c r="CF2" i="7"/>
  <c r="GF2" i="7"/>
  <c r="DR2" i="7"/>
  <c r="BZ2" i="7"/>
  <c r="AG2" i="7"/>
  <c r="GC2" i="7"/>
  <c r="P2" i="7"/>
  <c r="CK2" i="7"/>
  <c r="BO2" i="7"/>
  <c r="DN2" i="7"/>
  <c r="AL2" i="7"/>
  <c r="FA2" i="7"/>
  <c r="CN2" i="7"/>
  <c r="GL2" i="7"/>
  <c r="DY2" i="7"/>
  <c r="CX2" i="7"/>
  <c r="BH2" i="7"/>
  <c r="GU2" i="7"/>
  <c r="EY2" i="7"/>
  <c r="J45" i="7"/>
  <c r="K45" i="7"/>
  <c r="J17" i="7"/>
  <c r="K17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5" i="7"/>
  <c r="DT25" i="7"/>
  <c r="AC25" i="7"/>
  <c r="DU25" i="7"/>
  <c r="AD25" i="7"/>
  <c r="DV25" i="7"/>
  <c r="AK25" i="7"/>
  <c r="EC25" i="7"/>
  <c r="CT25" i="7"/>
  <c r="AF25" i="7"/>
  <c r="EK25" i="7"/>
  <c r="AM25" i="7"/>
  <c r="AH25" i="7"/>
  <c r="DZ25" i="7"/>
  <c r="AI25" i="7"/>
  <c r="EA25" i="7"/>
  <c r="AJ25" i="7"/>
  <c r="EB25" i="7"/>
  <c r="AQ25" i="7"/>
  <c r="EI25" i="7"/>
  <c r="DL25" i="7"/>
  <c r="AX25" i="7"/>
  <c r="FC25" i="7"/>
  <c r="BE25" i="7"/>
  <c r="AN25" i="7"/>
  <c r="EF25" i="7"/>
  <c r="AO25" i="7"/>
  <c r="EG25" i="7"/>
  <c r="AP25" i="7"/>
  <c r="EH25" i="7"/>
  <c r="AW25" i="7"/>
  <c r="EO25" i="7"/>
  <c r="ED25" i="7"/>
  <c r="BP25" i="7"/>
  <c r="FU25" i="7"/>
  <c r="BW25" i="7"/>
  <c r="AT25" i="7"/>
  <c r="EL25" i="7"/>
  <c r="AU25" i="7"/>
  <c r="EM25" i="7"/>
  <c r="AV25" i="7"/>
  <c r="EN25" i="7"/>
  <c r="BC25" i="7"/>
  <c r="EU25" i="7"/>
  <c r="EV25" i="7"/>
  <c r="CH25" i="7"/>
  <c r="GM25" i="7"/>
  <c r="CO25" i="7"/>
  <c r="AZ25" i="7"/>
  <c r="ER25" i="7"/>
  <c r="BA25" i="7"/>
  <c r="ES25" i="7"/>
  <c r="BB25" i="7"/>
  <c r="ET25" i="7"/>
  <c r="BI25" i="7"/>
  <c r="FA25" i="7"/>
  <c r="FN25" i="7"/>
  <c r="CZ25" i="7"/>
  <c r="T25" i="7"/>
  <c r="DG25" i="7"/>
  <c r="BF25" i="7"/>
  <c r="EX25" i="7"/>
  <c r="BG25" i="7"/>
  <c r="EY25" i="7"/>
  <c r="BH25" i="7"/>
  <c r="EZ25" i="7"/>
  <c r="BO25" i="7"/>
  <c r="FG25" i="7"/>
  <c r="GF25" i="7"/>
  <c r="DR25" i="7"/>
  <c r="AL25" i="7"/>
  <c r="DY25" i="7"/>
  <c r="BL25" i="7"/>
  <c r="FD25" i="7"/>
  <c r="BM25" i="7"/>
  <c r="FE25" i="7"/>
  <c r="BN25" i="7"/>
  <c r="FF25" i="7"/>
  <c r="BU25" i="7"/>
  <c r="FM25" i="7"/>
  <c r="AA25" i="7"/>
  <c r="EJ25" i="7"/>
  <c r="BD25" i="7"/>
  <c r="EQ25" i="7"/>
  <c r="BR25" i="7"/>
  <c r="FJ25" i="7"/>
  <c r="BS25" i="7"/>
  <c r="FK25" i="7"/>
  <c r="BT25" i="7"/>
  <c r="FL25" i="7"/>
  <c r="CA25" i="7"/>
  <c r="FS25" i="7"/>
  <c r="AS25" i="7"/>
  <c r="FB25" i="7"/>
  <c r="BV25" i="7"/>
  <c r="FI25" i="7"/>
  <c r="BX25" i="7"/>
  <c r="FP25" i="7"/>
  <c r="BY25" i="7"/>
  <c r="FQ25" i="7"/>
  <c r="BZ25" i="7"/>
  <c r="FR25" i="7"/>
  <c r="CG25" i="7"/>
  <c r="FY25" i="7"/>
  <c r="BK25" i="7"/>
  <c r="FT25" i="7"/>
  <c r="CN25" i="7"/>
  <c r="GA25" i="7"/>
  <c r="CD25" i="7"/>
  <c r="FV25" i="7"/>
  <c r="CE25" i="7"/>
  <c r="FW25" i="7"/>
  <c r="CF25" i="7"/>
  <c r="FX25" i="7"/>
  <c r="CM25" i="7"/>
  <c r="GE25" i="7"/>
  <c r="CC25" i="7"/>
  <c r="GL25" i="7"/>
  <c r="DF25" i="7"/>
  <c r="GS25" i="7"/>
  <c r="CJ25" i="7"/>
  <c r="GB25" i="7"/>
  <c r="CK25" i="7"/>
  <c r="GC25" i="7"/>
  <c r="CL25" i="7"/>
  <c r="GD25" i="7"/>
  <c r="CS25" i="7"/>
  <c r="GK25" i="7"/>
  <c r="CU25" i="7"/>
  <c r="AG25" i="7"/>
  <c r="DX25" i="7"/>
  <c r="CP25" i="7"/>
  <c r="GH25" i="7"/>
  <c r="CQ25" i="7"/>
  <c r="GI25" i="7"/>
  <c r="CR25" i="7"/>
  <c r="GJ25" i="7"/>
  <c r="CY25" i="7"/>
  <c r="GQ25" i="7"/>
  <c r="DM25" i="7"/>
  <c r="AY25" i="7"/>
  <c r="EP25" i="7"/>
  <c r="CV25" i="7"/>
  <c r="GN25" i="7"/>
  <c r="CW25" i="7"/>
  <c r="GO25" i="7"/>
  <c r="CX25" i="7"/>
  <c r="GP25" i="7"/>
  <c r="DE25" i="7"/>
  <c r="Z25" i="7"/>
  <c r="EE25" i="7"/>
  <c r="BQ25" i="7"/>
  <c r="FH25" i="7"/>
  <c r="DB25" i="7"/>
  <c r="GT25" i="7"/>
  <c r="DC25" i="7"/>
  <c r="GU25" i="7"/>
  <c r="DD25" i="7"/>
  <c r="S25" i="7"/>
  <c r="DK25" i="7"/>
  <c r="AR25" i="7"/>
  <c r="EW25" i="7"/>
  <c r="CI25" i="7"/>
  <c r="FZ25" i="7"/>
  <c r="DH25" i="7"/>
  <c r="DI25" i="7"/>
  <c r="DJ25" i="7"/>
  <c r="Y25" i="7"/>
  <c r="DQ25" i="7"/>
  <c r="BJ25" i="7"/>
  <c r="FO25" i="7"/>
  <c r="DA25" i="7"/>
  <c r="GR25" i="7"/>
  <c r="V25" i="7"/>
  <c r="DN25" i="7"/>
  <c r="W25" i="7"/>
  <c r="DO25" i="7"/>
  <c r="X25" i="7"/>
  <c r="DP25" i="7"/>
  <c r="AE25" i="7"/>
  <c r="DW25" i="7"/>
  <c r="CB25" i="7"/>
  <c r="GG25" i="7"/>
  <c r="DS25" i="7"/>
  <c r="U25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8" i="7"/>
  <c r="DX28" i="7"/>
  <c r="AA28" i="7"/>
  <c r="DS28" i="7"/>
  <c r="V28" i="7"/>
  <c r="DN28" i="7"/>
  <c r="Q28" i="7"/>
  <c r="DI28" i="7"/>
  <c r="M28" i="7"/>
  <c r="DD28" i="7"/>
  <c r="GQ28" i="7"/>
  <c r="DK28" i="7"/>
  <c r="AL28" i="7"/>
  <c r="ED28" i="7"/>
  <c r="AG28" i="7"/>
  <c r="DY28" i="7"/>
  <c r="AB28" i="7"/>
  <c r="DT28" i="7"/>
  <c r="W28" i="7"/>
  <c r="DO28" i="7"/>
  <c r="AE28" i="7"/>
  <c r="DV28" i="7"/>
  <c r="X28" i="7"/>
  <c r="EC28" i="7"/>
  <c r="AR28" i="7"/>
  <c r="EJ28" i="7"/>
  <c r="AM28" i="7"/>
  <c r="EE28" i="7"/>
  <c r="AH28" i="7"/>
  <c r="DZ28" i="7"/>
  <c r="AC28" i="7"/>
  <c r="DU28" i="7"/>
  <c r="AW28" i="7"/>
  <c r="EN28" i="7"/>
  <c r="AP28" i="7"/>
  <c r="EU28" i="7"/>
  <c r="AX28" i="7"/>
  <c r="EP28" i="7"/>
  <c r="AS28" i="7"/>
  <c r="EK28" i="7"/>
  <c r="AN28" i="7"/>
  <c r="EF28" i="7"/>
  <c r="AI28" i="7"/>
  <c r="EA28" i="7"/>
  <c r="BO28" i="7"/>
  <c r="FF28" i="7"/>
  <c r="BH28" i="7"/>
  <c r="FM28" i="7"/>
  <c r="BD28" i="7"/>
  <c r="EV28" i="7"/>
  <c r="AY28" i="7"/>
  <c r="EQ28" i="7"/>
  <c r="AT28" i="7"/>
  <c r="EL28" i="7"/>
  <c r="AO28" i="7"/>
  <c r="EG28" i="7"/>
  <c r="CG28" i="7"/>
  <c r="FX28" i="7"/>
  <c r="BZ28" i="7"/>
  <c r="GE28" i="7"/>
  <c r="BJ28" i="7"/>
  <c r="FB28" i="7"/>
  <c r="BE28" i="7"/>
  <c r="EW28" i="7"/>
  <c r="AZ28" i="7"/>
  <c r="ER28" i="7"/>
  <c r="AU28" i="7"/>
  <c r="EM28" i="7"/>
  <c r="CY28" i="7"/>
  <c r="GP28" i="7"/>
  <c r="CR28" i="7"/>
  <c r="L28" i="7"/>
  <c r="BP28" i="7"/>
  <c r="FH28" i="7"/>
  <c r="BK28" i="7"/>
  <c r="FC28" i="7"/>
  <c r="BF28" i="7"/>
  <c r="EX28" i="7"/>
  <c r="BA28" i="7"/>
  <c r="ES28" i="7"/>
  <c r="DQ28" i="7"/>
  <c r="S28" i="7"/>
  <c r="DJ28" i="7"/>
  <c r="AD28" i="7"/>
  <c r="BV28" i="7"/>
  <c r="FN28" i="7"/>
  <c r="BQ28" i="7"/>
  <c r="FI28" i="7"/>
  <c r="BL28" i="7"/>
  <c r="FD28" i="7"/>
  <c r="BG28" i="7"/>
  <c r="EY28" i="7"/>
  <c r="EI28" i="7"/>
  <c r="AK28" i="7"/>
  <c r="EB28" i="7"/>
  <c r="AV28" i="7"/>
  <c r="CB28" i="7"/>
  <c r="FT28" i="7"/>
  <c r="BW28" i="7"/>
  <c r="FO28" i="7"/>
  <c r="BR28" i="7"/>
  <c r="FJ28" i="7"/>
  <c r="BM28" i="7"/>
  <c r="FE28" i="7"/>
  <c r="FA28" i="7"/>
  <c r="BC28" i="7"/>
  <c r="ET28" i="7"/>
  <c r="BN28" i="7"/>
  <c r="CH28" i="7"/>
  <c r="FZ28" i="7"/>
  <c r="CC28" i="7"/>
  <c r="FU28" i="7"/>
  <c r="BX28" i="7"/>
  <c r="FP28" i="7"/>
  <c r="BS28" i="7"/>
  <c r="FK28" i="7"/>
  <c r="FS28" i="7"/>
  <c r="BU28" i="7"/>
  <c r="FL28" i="7"/>
  <c r="CF28" i="7"/>
  <c r="CN28" i="7"/>
  <c r="GF28" i="7"/>
  <c r="CI28" i="7"/>
  <c r="GA28" i="7"/>
  <c r="CD28" i="7"/>
  <c r="FV28" i="7"/>
  <c r="BY28" i="7"/>
  <c r="FQ28" i="7"/>
  <c r="GK28" i="7"/>
  <c r="CM28" i="7"/>
  <c r="GD28" i="7"/>
  <c r="CX28" i="7"/>
  <c r="CT28" i="7"/>
  <c r="GL28" i="7"/>
  <c r="CO28" i="7"/>
  <c r="GG28" i="7"/>
  <c r="CJ28" i="7"/>
  <c r="GB28" i="7"/>
  <c r="CE28" i="7"/>
  <c r="FW28" i="7"/>
  <c r="R28" i="7"/>
  <c r="DE28" i="7"/>
  <c r="Y28" i="7"/>
  <c r="DP28" i="7"/>
  <c r="CZ28" i="7"/>
  <c r="GR28" i="7"/>
  <c r="CU28" i="7"/>
  <c r="GM28" i="7"/>
  <c r="CP28" i="7"/>
  <c r="GH28" i="7"/>
  <c r="CK28" i="7"/>
  <c r="GC28" i="7"/>
  <c r="AJ28" i="7"/>
  <c r="DW28" i="7"/>
  <c r="AQ28" i="7"/>
  <c r="EH28" i="7"/>
  <c r="N28" i="7"/>
  <c r="DF28" i="7"/>
  <c r="DA28" i="7"/>
  <c r="GS28" i="7"/>
  <c r="CV28" i="7"/>
  <c r="GN28" i="7"/>
  <c r="CQ28" i="7"/>
  <c r="GI28" i="7"/>
  <c r="BB28" i="7"/>
  <c r="EO28" i="7"/>
  <c r="BI28" i="7"/>
  <c r="EZ28" i="7"/>
  <c r="T28" i="7"/>
  <c r="DL28" i="7"/>
  <c r="O28" i="7"/>
  <c r="DG28" i="7"/>
  <c r="DB28" i="7"/>
  <c r="GT28" i="7"/>
  <c r="CW28" i="7"/>
  <c r="GO28" i="7"/>
  <c r="BT28" i="7"/>
  <c r="FG28" i="7"/>
  <c r="CA28" i="7"/>
  <c r="FR28" i="7"/>
  <c r="Z28" i="7"/>
  <c r="DR28" i="7"/>
  <c r="U28" i="7"/>
  <c r="DM28" i="7"/>
  <c r="P28" i="7"/>
  <c r="DH28" i="7"/>
  <c r="DC28" i="7"/>
  <c r="GU28" i="7"/>
  <c r="CL28" i="7"/>
  <c r="FY28" i="7"/>
  <c r="CS28" i="7"/>
  <c r="GJ28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6" i="7"/>
  <c r="DN26" i="7"/>
  <c r="Q26" i="7"/>
  <c r="DI26" i="7"/>
  <c r="L26" i="7"/>
  <c r="DD26" i="7"/>
  <c r="M26" i="7"/>
  <c r="DE26" i="7"/>
  <c r="N26" i="7"/>
  <c r="DF26" i="7"/>
  <c r="O26" i="7"/>
  <c r="DG26" i="7"/>
  <c r="AB26" i="7"/>
  <c r="AH26" i="7"/>
  <c r="DZ26" i="7"/>
  <c r="AC26" i="7"/>
  <c r="DU26" i="7"/>
  <c r="X26" i="7"/>
  <c r="DP26" i="7"/>
  <c r="Y26" i="7"/>
  <c r="DQ26" i="7"/>
  <c r="Z26" i="7"/>
  <c r="DR26" i="7"/>
  <c r="AN26" i="7"/>
  <c r="AT26" i="7"/>
  <c r="EL26" i="7"/>
  <c r="AO26" i="7"/>
  <c r="EG26" i="7"/>
  <c r="AJ26" i="7"/>
  <c r="EB26" i="7"/>
  <c r="AK26" i="7"/>
  <c r="EC26" i="7"/>
  <c r="AL26" i="7"/>
  <c r="ED26" i="7"/>
  <c r="AM26" i="7"/>
  <c r="EE26" i="7"/>
  <c r="AZ26" i="7"/>
  <c r="ER26" i="7"/>
  <c r="AU26" i="7"/>
  <c r="EM26" i="7"/>
  <c r="AP26" i="7"/>
  <c r="EH26" i="7"/>
  <c r="AQ26" i="7"/>
  <c r="EI26" i="7"/>
  <c r="AR26" i="7"/>
  <c r="EJ26" i="7"/>
  <c r="AS26" i="7"/>
  <c r="BF26" i="7"/>
  <c r="EX26" i="7"/>
  <c r="BA26" i="7"/>
  <c r="ES26" i="7"/>
  <c r="AV26" i="7"/>
  <c r="EN26" i="7"/>
  <c r="AW26" i="7"/>
  <c r="EO26" i="7"/>
  <c r="AX26" i="7"/>
  <c r="BL26" i="7"/>
  <c r="FD26" i="7"/>
  <c r="BG26" i="7"/>
  <c r="EY26" i="7"/>
  <c r="BB26" i="7"/>
  <c r="ET26" i="7"/>
  <c r="BC26" i="7"/>
  <c r="EU26" i="7"/>
  <c r="BD26" i="7"/>
  <c r="EV26" i="7"/>
  <c r="BE26" i="7"/>
  <c r="EW26" i="7"/>
  <c r="BR26" i="7"/>
  <c r="FJ26" i="7"/>
  <c r="BM26" i="7"/>
  <c r="BX26" i="7"/>
  <c r="FP26" i="7"/>
  <c r="BS26" i="7"/>
  <c r="FK26" i="7"/>
  <c r="BN26" i="7"/>
  <c r="CD26" i="7"/>
  <c r="FV26" i="7"/>
  <c r="BY26" i="7"/>
  <c r="FQ26" i="7"/>
  <c r="BT26" i="7"/>
  <c r="FL26" i="7"/>
  <c r="BU26" i="7"/>
  <c r="FM26" i="7"/>
  <c r="BV26" i="7"/>
  <c r="FN26" i="7"/>
  <c r="BW26" i="7"/>
  <c r="FO26" i="7"/>
  <c r="CJ26" i="7"/>
  <c r="GB26" i="7"/>
  <c r="CE26" i="7"/>
  <c r="FW26" i="7"/>
  <c r="BZ26" i="7"/>
  <c r="FR26" i="7"/>
  <c r="CA26" i="7"/>
  <c r="FS26" i="7"/>
  <c r="CB26" i="7"/>
  <c r="FT26" i="7"/>
  <c r="CC26" i="7"/>
  <c r="FU26" i="7"/>
  <c r="CP26" i="7"/>
  <c r="GH26" i="7"/>
  <c r="CK26" i="7"/>
  <c r="GC26" i="7"/>
  <c r="CF26" i="7"/>
  <c r="FX26" i="7"/>
  <c r="CG26" i="7"/>
  <c r="FY26" i="7"/>
  <c r="CH26" i="7"/>
  <c r="FZ26" i="7"/>
  <c r="CI26" i="7"/>
  <c r="CV26" i="7"/>
  <c r="GN26" i="7"/>
  <c r="CQ26" i="7"/>
  <c r="GI26" i="7"/>
  <c r="CL26" i="7"/>
  <c r="GD26" i="7"/>
  <c r="CM26" i="7"/>
  <c r="GE26" i="7"/>
  <c r="CN26" i="7"/>
  <c r="GF26" i="7"/>
  <c r="DB26" i="7"/>
  <c r="GT26" i="7"/>
  <c r="CW26" i="7"/>
  <c r="GO26" i="7"/>
  <c r="CR26" i="7"/>
  <c r="GJ26" i="7"/>
  <c r="CS26" i="7"/>
  <c r="GK26" i="7"/>
  <c r="CT26" i="7"/>
  <c r="GL26" i="7"/>
  <c r="CU26" i="7"/>
  <c r="GM26" i="7"/>
  <c r="P26" i="7"/>
  <c r="DH26" i="7"/>
  <c r="K26" i="7"/>
  <c r="DC26" i="7"/>
  <c r="GU26" i="7"/>
  <c r="CX26" i="7"/>
  <c r="GP26" i="7"/>
  <c r="CY26" i="7"/>
  <c r="GQ26" i="7"/>
  <c r="CZ26" i="7"/>
  <c r="GR26" i="7"/>
  <c r="DA26" i="7"/>
  <c r="GS26" i="7"/>
  <c r="AI26" i="7"/>
  <c r="DW26" i="7"/>
  <c r="BK26" i="7"/>
  <c r="DO26" i="7"/>
  <c r="FA26" i="7"/>
  <c r="BQ26" i="7"/>
  <c r="EA26" i="7"/>
  <c r="FG26" i="7"/>
  <c r="CO26" i="7"/>
  <c r="FE26" i="7"/>
  <c r="T26" i="7"/>
  <c r="DM26" i="7"/>
  <c r="R26" i="7"/>
  <c r="AF26" i="7"/>
  <c r="DS26" i="7"/>
  <c r="AD26" i="7"/>
  <c r="BJ26" i="7"/>
  <c r="DY26" i="7"/>
  <c r="BH26" i="7"/>
  <c r="BP26" i="7"/>
  <c r="EK26" i="7"/>
  <c r="DJ26" i="7"/>
  <c r="DL26" i="7"/>
  <c r="EQ26" i="7"/>
  <c r="DV26" i="7"/>
  <c r="DX26" i="7"/>
  <c r="FC26" i="7"/>
  <c r="EZ26" i="7"/>
  <c r="EP26" i="7"/>
  <c r="FI26" i="7"/>
  <c r="FF26" i="7"/>
  <c r="FB26" i="7"/>
  <c r="GA26" i="7"/>
  <c r="S26" i="7"/>
  <c r="FH26" i="7"/>
  <c r="GG26" i="7"/>
  <c r="AE26" i="7"/>
  <c r="U26" i="7"/>
  <c r="DT26" i="7"/>
  <c r="BI26" i="7"/>
  <c r="AA26" i="7"/>
  <c r="EF26" i="7"/>
  <c r="BO26" i="7"/>
  <c r="AG26" i="7"/>
  <c r="W26" i="7"/>
  <c r="DK26" i="7"/>
  <c r="AY26" i="7"/>
  <c r="J46" i="7"/>
  <c r="J2" i="7"/>
  <c r="K2" i="7"/>
  <c r="K46" i="7"/>
  <c r="M46" i="7"/>
  <c r="N46" i="7"/>
  <c r="O46" i="7"/>
  <c r="L46" i="7"/>
  <c r="L2" i="7"/>
  <c r="O2" i="7"/>
  <c r="N2" i="7"/>
  <c r="M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2" i="7"/>
  <c r="EV12" i="7"/>
  <c r="BE12" i="7"/>
  <c r="EW12" i="7"/>
  <c r="AZ12" i="7"/>
  <c r="ER12" i="7"/>
  <c r="X12" i="7"/>
  <c r="DP12" i="7"/>
  <c r="BO12" i="7"/>
  <c r="FW12" i="7"/>
  <c r="CQ12" i="7"/>
  <c r="GI12" i="7"/>
  <c r="BJ12" i="7"/>
  <c r="FB12" i="7"/>
  <c r="BK12" i="7"/>
  <c r="FC12" i="7"/>
  <c r="BF12" i="7"/>
  <c r="EX12" i="7"/>
  <c r="AD12" i="7"/>
  <c r="DV12" i="7"/>
  <c r="CG12" i="7"/>
  <c r="GO12" i="7"/>
  <c r="DI12" i="7"/>
  <c r="CA12" i="7"/>
  <c r="BP12" i="7"/>
  <c r="FH12" i="7"/>
  <c r="BQ12" i="7"/>
  <c r="FI12" i="7"/>
  <c r="BL12" i="7"/>
  <c r="FD12" i="7"/>
  <c r="AJ12" i="7"/>
  <c r="EB12" i="7"/>
  <c r="CY12" i="7"/>
  <c r="AK12" i="7"/>
  <c r="EA12" i="7"/>
  <c r="GE12" i="7"/>
  <c r="BV12" i="7"/>
  <c r="FN12" i="7"/>
  <c r="BW12" i="7"/>
  <c r="FO12" i="7"/>
  <c r="BR12" i="7"/>
  <c r="FJ12" i="7"/>
  <c r="AP12" i="7"/>
  <c r="EH12" i="7"/>
  <c r="DQ12" i="7"/>
  <c r="BC12" i="7"/>
  <c r="ES12" i="7"/>
  <c r="CS12" i="7"/>
  <c r="CB12" i="7"/>
  <c r="FT12" i="7"/>
  <c r="CC12" i="7"/>
  <c r="FU12" i="7"/>
  <c r="BX12" i="7"/>
  <c r="FP12" i="7"/>
  <c r="AV12" i="7"/>
  <c r="EN12" i="7"/>
  <c r="EI12" i="7"/>
  <c r="BU12" i="7"/>
  <c r="FK12" i="7"/>
  <c r="DK12" i="7"/>
  <c r="CH12" i="7"/>
  <c r="FZ12" i="7"/>
  <c r="CI12" i="7"/>
  <c r="GA12" i="7"/>
  <c r="CD12" i="7"/>
  <c r="FV12" i="7"/>
  <c r="BB12" i="7"/>
  <c r="ET12" i="7"/>
  <c r="FA12" i="7"/>
  <c r="CM12" i="7"/>
  <c r="GC12" i="7"/>
  <c r="S12" i="7"/>
  <c r="CN12" i="7"/>
  <c r="GF12" i="7"/>
  <c r="CO12" i="7"/>
  <c r="GG12" i="7"/>
  <c r="CJ12" i="7"/>
  <c r="GB12" i="7"/>
  <c r="BH12" i="7"/>
  <c r="EZ12" i="7"/>
  <c r="FS12" i="7"/>
  <c r="DE12" i="7"/>
  <c r="GU12" i="7"/>
  <c r="EC12" i="7"/>
  <c r="CT12" i="7"/>
  <c r="GL12" i="7"/>
  <c r="CU12" i="7"/>
  <c r="GM12" i="7"/>
  <c r="CP12" i="7"/>
  <c r="GH12" i="7"/>
  <c r="BN12" i="7"/>
  <c r="FF12" i="7"/>
  <c r="GK12" i="7"/>
  <c r="DW12" i="7"/>
  <c r="Y12" i="7"/>
  <c r="AQ12" i="7"/>
  <c r="CZ12" i="7"/>
  <c r="GR12" i="7"/>
  <c r="DA12" i="7"/>
  <c r="GS12" i="7"/>
  <c r="CV12" i="7"/>
  <c r="GN12" i="7"/>
  <c r="BT12" i="7"/>
  <c r="FL12" i="7"/>
  <c r="AI12" i="7"/>
  <c r="EO12" i="7"/>
  <c r="AU12" i="7"/>
  <c r="EU12" i="7"/>
  <c r="N12" i="7"/>
  <c r="DF12" i="7"/>
  <c r="O12" i="7"/>
  <c r="DG12" i="7"/>
  <c r="J12" i="7"/>
  <c r="DB12" i="7"/>
  <c r="GT12" i="7"/>
  <c r="BZ12" i="7"/>
  <c r="FR12" i="7"/>
  <c r="BA12" i="7"/>
  <c r="FG12" i="7"/>
  <c r="BM12" i="7"/>
  <c r="BI12" i="7"/>
  <c r="T12" i="7"/>
  <c r="DL12" i="7"/>
  <c r="U12" i="7"/>
  <c r="DM12" i="7"/>
  <c r="P12" i="7"/>
  <c r="DH12" i="7"/>
  <c r="K12" i="7"/>
  <c r="CF12" i="7"/>
  <c r="FX12" i="7"/>
  <c r="BS12" i="7"/>
  <c r="FY12" i="7"/>
  <c r="CE12" i="7"/>
  <c r="FM12" i="7"/>
  <c r="Z12" i="7"/>
  <c r="DR12" i="7"/>
  <c r="AA12" i="7"/>
  <c r="DS12" i="7"/>
  <c r="V12" i="7"/>
  <c r="DN12" i="7"/>
  <c r="Q12" i="7"/>
  <c r="CL12" i="7"/>
  <c r="GD12" i="7"/>
  <c r="CK12" i="7"/>
  <c r="GQ12" i="7"/>
  <c r="CW12" i="7"/>
  <c r="AF12" i="7"/>
  <c r="DX12" i="7"/>
  <c r="AG12" i="7"/>
  <c r="DY12" i="7"/>
  <c r="AB12" i="7"/>
  <c r="DT12" i="7"/>
  <c r="W12" i="7"/>
  <c r="CR12" i="7"/>
  <c r="GJ12" i="7"/>
  <c r="DC12" i="7"/>
  <c r="M12" i="7"/>
  <c r="DO12" i="7"/>
  <c r="AL12" i="7"/>
  <c r="ED12" i="7"/>
  <c r="AM12" i="7"/>
  <c r="EE12" i="7"/>
  <c r="AH12" i="7"/>
  <c r="DZ12" i="7"/>
  <c r="AC12" i="7"/>
  <c r="CX12" i="7"/>
  <c r="GP12" i="7"/>
  <c r="DU12" i="7"/>
  <c r="AO12" i="7"/>
  <c r="EG12" i="7"/>
  <c r="AR12" i="7"/>
  <c r="EJ12" i="7"/>
  <c r="AS12" i="7"/>
  <c r="EK12" i="7"/>
  <c r="AN12" i="7"/>
  <c r="EF12" i="7"/>
  <c r="L12" i="7"/>
  <c r="DD12" i="7"/>
  <c r="AE12" i="7"/>
  <c r="EM12" i="7"/>
  <c r="BG12" i="7"/>
  <c r="EY12" i="7"/>
  <c r="AX12" i="7"/>
  <c r="EP12" i="7"/>
  <c r="AY12" i="7"/>
  <c r="EQ12" i="7"/>
  <c r="AT12" i="7"/>
  <c r="EL12" i="7"/>
  <c r="R12" i="7"/>
  <c r="DJ12" i="7"/>
  <c r="AW12" i="7"/>
  <c r="FE12" i="7"/>
  <c r="BY12" i="7"/>
  <c r="FQ12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17" i="7"/>
  <c r="GQ17" i="7"/>
  <c r="CT17" i="7"/>
  <c r="GL17" i="7"/>
  <c r="CO17" i="7"/>
  <c r="GG17" i="7"/>
  <c r="CF17" i="7"/>
  <c r="FX17" i="7"/>
  <c r="AC17" i="7"/>
  <c r="DT17" i="7"/>
  <c r="AN17" i="7"/>
  <c r="DZ17" i="7"/>
  <c r="M17" i="7"/>
  <c r="DE17" i="7"/>
  <c r="CZ17" i="7"/>
  <c r="GR17" i="7"/>
  <c r="CU17" i="7"/>
  <c r="GM17" i="7"/>
  <c r="CL17" i="7"/>
  <c r="GD17" i="7"/>
  <c r="AU17" i="7"/>
  <c r="EL17" i="7"/>
  <c r="CP17" i="7"/>
  <c r="GB17" i="7"/>
  <c r="S17" i="7"/>
  <c r="DK17" i="7"/>
  <c r="N17" i="7"/>
  <c r="DF17" i="7"/>
  <c r="DA17" i="7"/>
  <c r="GS17" i="7"/>
  <c r="CR17" i="7"/>
  <c r="GJ17" i="7"/>
  <c r="BM17" i="7"/>
  <c r="FD17" i="7"/>
  <c r="ER17" i="7"/>
  <c r="EA17" i="7"/>
  <c r="Y17" i="7"/>
  <c r="DQ17" i="7"/>
  <c r="T17" i="7"/>
  <c r="DL17" i="7"/>
  <c r="O17" i="7"/>
  <c r="DG17" i="7"/>
  <c r="CX17" i="7"/>
  <c r="GP17" i="7"/>
  <c r="CE17" i="7"/>
  <c r="FV17" i="7"/>
  <c r="GT17" i="7"/>
  <c r="GC17" i="7"/>
  <c r="AE17" i="7"/>
  <c r="DW17" i="7"/>
  <c r="Z17" i="7"/>
  <c r="DR17" i="7"/>
  <c r="U17" i="7"/>
  <c r="DM17" i="7"/>
  <c r="L17" i="7"/>
  <c r="DD17" i="7"/>
  <c r="CW17" i="7"/>
  <c r="GN17" i="7"/>
  <c r="AO17" i="7"/>
  <c r="W17" i="7"/>
  <c r="AK17" i="7"/>
  <c r="EC17" i="7"/>
  <c r="AF17" i="7"/>
  <c r="DX17" i="7"/>
  <c r="AA17" i="7"/>
  <c r="DS17" i="7"/>
  <c r="R17" i="7"/>
  <c r="DJ17" i="7"/>
  <c r="AB17" i="7"/>
  <c r="DO17" i="7"/>
  <c r="Q17" i="7"/>
  <c r="CQ17" i="7"/>
  <c r="BY17" i="7"/>
  <c r="AQ17" i="7"/>
  <c r="EI17" i="7"/>
  <c r="AL17" i="7"/>
  <c r="ED17" i="7"/>
  <c r="AG17" i="7"/>
  <c r="DY17" i="7"/>
  <c r="X17" i="7"/>
  <c r="DP17" i="7"/>
  <c r="AT17" i="7"/>
  <c r="EG17" i="7"/>
  <c r="AI17" i="7"/>
  <c r="ES17" i="7"/>
  <c r="AW17" i="7"/>
  <c r="EO17" i="7"/>
  <c r="AR17" i="7"/>
  <c r="EJ17" i="7"/>
  <c r="AM17" i="7"/>
  <c r="EE17" i="7"/>
  <c r="AD17" i="7"/>
  <c r="DV17" i="7"/>
  <c r="BL17" i="7"/>
  <c r="EY17" i="7"/>
  <c r="BA17" i="7"/>
  <c r="GU17" i="7"/>
  <c r="BC17" i="7"/>
  <c r="EU17" i="7"/>
  <c r="AX17" i="7"/>
  <c r="EP17" i="7"/>
  <c r="AS17" i="7"/>
  <c r="EK17" i="7"/>
  <c r="AJ17" i="7"/>
  <c r="EB17" i="7"/>
  <c r="CD17" i="7"/>
  <c r="FQ17" i="7"/>
  <c r="BS17" i="7"/>
  <c r="BF17" i="7"/>
  <c r="BI17" i="7"/>
  <c r="FA17" i="7"/>
  <c r="BD17" i="7"/>
  <c r="EV17" i="7"/>
  <c r="AY17" i="7"/>
  <c r="EQ17" i="7"/>
  <c r="AP17" i="7"/>
  <c r="EH17" i="7"/>
  <c r="CV17" i="7"/>
  <c r="GI17" i="7"/>
  <c r="CK17" i="7"/>
  <c r="DH17" i="7"/>
  <c r="BO17" i="7"/>
  <c r="FG17" i="7"/>
  <c r="BJ17" i="7"/>
  <c r="FB17" i="7"/>
  <c r="BE17" i="7"/>
  <c r="EW17" i="7"/>
  <c r="AV17" i="7"/>
  <c r="EN17" i="7"/>
  <c r="DN17" i="7"/>
  <c r="P17" i="7"/>
  <c r="DC17" i="7"/>
  <c r="FJ17" i="7"/>
  <c r="BU17" i="7"/>
  <c r="FM17" i="7"/>
  <c r="BP17" i="7"/>
  <c r="FH17" i="7"/>
  <c r="BK17" i="7"/>
  <c r="FC17" i="7"/>
  <c r="BB17" i="7"/>
  <c r="ET17" i="7"/>
  <c r="EF17" i="7"/>
  <c r="AH17" i="7"/>
  <c r="DU17" i="7"/>
  <c r="BG17" i="7"/>
  <c r="CA17" i="7"/>
  <c r="FS17" i="7"/>
  <c r="BV17" i="7"/>
  <c r="FN17" i="7"/>
  <c r="BQ17" i="7"/>
  <c r="FI17" i="7"/>
  <c r="BH17" i="7"/>
  <c r="EZ17" i="7"/>
  <c r="EX17" i="7"/>
  <c r="AZ17" i="7"/>
  <c r="EM17" i="7"/>
  <c r="DI17" i="7"/>
  <c r="CG17" i="7"/>
  <c r="FY17" i="7"/>
  <c r="CB17" i="7"/>
  <c r="FT17" i="7"/>
  <c r="BW17" i="7"/>
  <c r="FO17" i="7"/>
  <c r="BN17" i="7"/>
  <c r="FF17" i="7"/>
  <c r="FP17" i="7"/>
  <c r="BR17" i="7"/>
  <c r="FE17" i="7"/>
  <c r="FK17" i="7"/>
  <c r="CM17" i="7"/>
  <c r="GE17" i="7"/>
  <c r="CH17" i="7"/>
  <c r="FZ17" i="7"/>
  <c r="CC17" i="7"/>
  <c r="FU17" i="7"/>
  <c r="BT17" i="7"/>
  <c r="FL17" i="7"/>
  <c r="GH17" i="7"/>
  <c r="CJ17" i="7"/>
  <c r="FW17" i="7"/>
  <c r="V17" i="7"/>
  <c r="CS17" i="7"/>
  <c r="GK17" i="7"/>
  <c r="CN17" i="7"/>
  <c r="GF17" i="7"/>
  <c r="CI17" i="7"/>
  <c r="GA17" i="7"/>
  <c r="BZ17" i="7"/>
  <c r="FR17" i="7"/>
  <c r="DB17" i="7"/>
  <c r="GO17" i="7"/>
  <c r="BX17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2" i="7"/>
  <c r="K22" i="7"/>
  <c r="M22" i="7"/>
  <c r="O22" i="7"/>
  <c r="Q22" i="7"/>
  <c r="W22" i="7"/>
  <c r="R22" i="7"/>
  <c r="Y22" i="7"/>
  <c r="S22" i="7"/>
  <c r="T22" i="7"/>
  <c r="U22" i="7"/>
  <c r="N22" i="7"/>
  <c r="V22" i="7"/>
  <c r="P22" i="7"/>
  <c r="X22" i="7"/>
  <c r="AA22" i="7"/>
  <c r="CN22" i="7"/>
  <c r="FQ22" i="7"/>
  <c r="CA22" i="7"/>
  <c r="FD22" i="7"/>
  <c r="BN22" i="7"/>
  <c r="EQ22" i="7"/>
  <c r="BA22" i="7"/>
  <c r="ED22" i="7"/>
  <c r="AN22" i="7"/>
  <c r="DQ22" i="7"/>
  <c r="GD22" i="7"/>
  <c r="AG22" i="7"/>
  <c r="AQ22" i="7"/>
  <c r="DD22" i="7"/>
  <c r="GG22" i="7"/>
  <c r="CQ22" i="7"/>
  <c r="FT22" i="7"/>
  <c r="CD22" i="7"/>
  <c r="FG22" i="7"/>
  <c r="BQ22" i="7"/>
  <c r="ET22" i="7"/>
  <c r="BD22" i="7"/>
  <c r="EG22" i="7"/>
  <c r="GT22" i="7"/>
  <c r="GM22" i="7"/>
  <c r="CJ22" i="7"/>
  <c r="BG22" i="7"/>
  <c r="DT22" i="7"/>
  <c r="AD22" i="7"/>
  <c r="DG22" i="7"/>
  <c r="GJ22" i="7"/>
  <c r="CT22" i="7"/>
  <c r="FW22" i="7"/>
  <c r="CG22" i="7"/>
  <c r="FJ22" i="7"/>
  <c r="BT22" i="7"/>
  <c r="EW22" i="7"/>
  <c r="AT22" i="7"/>
  <c r="BW22" i="7"/>
  <c r="CW22" i="7"/>
  <c r="CM22" i="7"/>
  <c r="EZ22" i="7"/>
  <c r="BJ22" i="7"/>
  <c r="EM22" i="7"/>
  <c r="AW22" i="7"/>
  <c r="DZ22" i="7"/>
  <c r="AJ22" i="7"/>
  <c r="DM22" i="7"/>
  <c r="GP22" i="7"/>
  <c r="CZ22" i="7"/>
  <c r="GC22" i="7"/>
  <c r="DC22" i="7"/>
  <c r="FP22" i="7"/>
  <c r="BZ22" i="7"/>
  <c r="FC22" i="7"/>
  <c r="BM22" i="7"/>
  <c r="EP22" i="7"/>
  <c r="AZ22" i="7"/>
  <c r="EC22" i="7"/>
  <c r="AM22" i="7"/>
  <c r="DP22" i="7"/>
  <c r="GS22" i="7"/>
  <c r="DS22" i="7"/>
  <c r="GF22" i="7"/>
  <c r="CP22" i="7"/>
  <c r="FS22" i="7"/>
  <c r="CC22" i="7"/>
  <c r="FF22" i="7"/>
  <c r="BP22" i="7"/>
  <c r="ES22" i="7"/>
  <c r="BC22" i="7"/>
  <c r="EF22" i="7"/>
  <c r="Z22" i="7"/>
  <c r="EI22" i="7"/>
  <c r="AC22" i="7"/>
  <c r="DF22" i="7"/>
  <c r="GI22" i="7"/>
  <c r="CS22" i="7"/>
  <c r="FV22" i="7"/>
  <c r="CF22" i="7"/>
  <c r="FI22" i="7"/>
  <c r="BS22" i="7"/>
  <c r="EV22" i="7"/>
  <c r="AP22" i="7"/>
  <c r="EY22" i="7"/>
  <c r="AS22" i="7"/>
  <c r="DV22" i="7"/>
  <c r="AF22" i="7"/>
  <c r="DI22" i="7"/>
  <c r="GL22" i="7"/>
  <c r="CV22" i="7"/>
  <c r="FY22" i="7"/>
  <c r="CI22" i="7"/>
  <c r="FL22" i="7"/>
  <c r="BF22" i="7"/>
  <c r="FO22" i="7"/>
  <c r="BI22" i="7"/>
  <c r="EL22" i="7"/>
  <c r="AV22" i="7"/>
  <c r="DY22" i="7"/>
  <c r="AI22" i="7"/>
  <c r="DL22" i="7"/>
  <c r="GO22" i="7"/>
  <c r="CY22" i="7"/>
  <c r="GB22" i="7"/>
  <c r="BV22" i="7"/>
  <c r="GE22" i="7"/>
  <c r="BY22" i="7"/>
  <c r="FB22" i="7"/>
  <c r="BL22" i="7"/>
  <c r="EO22" i="7"/>
  <c r="AY22" i="7"/>
  <c r="EB22" i="7"/>
  <c r="AL22" i="7"/>
  <c r="DO22" i="7"/>
  <c r="GR22" i="7"/>
  <c r="CL22" i="7"/>
  <c r="GU22" i="7"/>
  <c r="CO22" i="7"/>
  <c r="FR22" i="7"/>
  <c r="CB22" i="7"/>
  <c r="FE22" i="7"/>
  <c r="BO22" i="7"/>
  <c r="ER22" i="7"/>
  <c r="BB22" i="7"/>
  <c r="EE22" i="7"/>
  <c r="AO22" i="7"/>
  <c r="DB22" i="7"/>
  <c r="AB22" i="7"/>
  <c r="DE22" i="7"/>
  <c r="GH22" i="7"/>
  <c r="CR22" i="7"/>
  <c r="FU22" i="7"/>
  <c r="CE22" i="7"/>
  <c r="FH22" i="7"/>
  <c r="BR22" i="7"/>
  <c r="EU22" i="7"/>
  <c r="BE22" i="7"/>
  <c r="DR22" i="7"/>
  <c r="AR22" i="7"/>
  <c r="DU22" i="7"/>
  <c r="AE22" i="7"/>
  <c r="DH22" i="7"/>
  <c r="GK22" i="7"/>
  <c r="CU22" i="7"/>
  <c r="FX22" i="7"/>
  <c r="CH22" i="7"/>
  <c r="FK22" i="7"/>
  <c r="BU22" i="7"/>
  <c r="EH22" i="7"/>
  <c r="DW22" i="7"/>
  <c r="FM22" i="7"/>
  <c r="BH22" i="7"/>
  <c r="EK22" i="7"/>
  <c r="AU22" i="7"/>
  <c r="DX22" i="7"/>
  <c r="AH22" i="7"/>
  <c r="DK22" i="7"/>
  <c r="GN22" i="7"/>
  <c r="CX22" i="7"/>
  <c r="GA22" i="7"/>
  <c r="CK22" i="7"/>
  <c r="EX22" i="7"/>
  <c r="DJ22" i="7"/>
  <c r="BX22" i="7"/>
  <c r="FA22" i="7"/>
  <c r="BK22" i="7"/>
  <c r="EN22" i="7"/>
  <c r="AX22" i="7"/>
  <c r="EA22" i="7"/>
  <c r="AK22" i="7"/>
  <c r="DN22" i="7"/>
  <c r="GQ22" i="7"/>
  <c r="DA22" i="7"/>
  <c r="FN22" i="7"/>
  <c r="EJ22" i="7"/>
  <c r="FZ22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5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5" i="7"/>
  <c r="EA5" i="7"/>
  <c r="AP5" i="7"/>
  <c r="EH5" i="7"/>
  <c r="BC5" i="7"/>
  <c r="EU5" i="7"/>
  <c r="BJ5" i="7"/>
  <c r="FB5" i="7"/>
  <c r="BQ5" i="7"/>
  <c r="FI5" i="7"/>
  <c r="BX5" i="7"/>
  <c r="FP5" i="7"/>
  <c r="AO5" i="7"/>
  <c r="EG5" i="7"/>
  <c r="AV5" i="7"/>
  <c r="EN5" i="7"/>
  <c r="BI5" i="7"/>
  <c r="FA5" i="7"/>
  <c r="BP5" i="7"/>
  <c r="FH5" i="7"/>
  <c r="AU5" i="7"/>
  <c r="EM5" i="7"/>
  <c r="BB5" i="7"/>
  <c r="ET5" i="7"/>
  <c r="BO5" i="7"/>
  <c r="FG5" i="7"/>
  <c r="BV5" i="7"/>
  <c r="FN5" i="7"/>
  <c r="CC5" i="7"/>
  <c r="FU5" i="7"/>
  <c r="CJ5" i="7"/>
  <c r="GB5" i="7"/>
  <c r="BA5" i="7"/>
  <c r="ES5" i="7"/>
  <c r="BH5" i="7"/>
  <c r="EZ5" i="7"/>
  <c r="BU5" i="7"/>
  <c r="FM5" i="7"/>
  <c r="BG5" i="7"/>
  <c r="EY5" i="7"/>
  <c r="BN5" i="7"/>
  <c r="FF5" i="7"/>
  <c r="CA5" i="7"/>
  <c r="FS5" i="7"/>
  <c r="CH5" i="7"/>
  <c r="FZ5" i="7"/>
  <c r="CO5" i="7"/>
  <c r="GG5" i="7"/>
  <c r="CV5" i="7"/>
  <c r="GN5" i="7"/>
  <c r="BM5" i="7"/>
  <c r="FE5" i="7"/>
  <c r="BT5" i="7"/>
  <c r="FL5" i="7"/>
  <c r="CG5" i="7"/>
  <c r="FY5" i="7"/>
  <c r="CN5" i="7"/>
  <c r="GF5" i="7"/>
  <c r="CU5" i="7"/>
  <c r="GM5" i="7"/>
  <c r="DB5" i="7"/>
  <c r="GT5" i="7"/>
  <c r="BS5" i="7"/>
  <c r="FK5" i="7"/>
  <c r="BZ5" i="7"/>
  <c r="FR5" i="7"/>
  <c r="CM5" i="7"/>
  <c r="GE5" i="7"/>
  <c r="CT5" i="7"/>
  <c r="GL5" i="7"/>
  <c r="DA5" i="7"/>
  <c r="GS5" i="7"/>
  <c r="DH5" i="7"/>
  <c r="BY5" i="7"/>
  <c r="FQ5" i="7"/>
  <c r="CF5" i="7"/>
  <c r="FX5" i="7"/>
  <c r="CS5" i="7"/>
  <c r="GK5" i="7"/>
  <c r="CZ5" i="7"/>
  <c r="GR5" i="7"/>
  <c r="DG5" i="7"/>
  <c r="V5" i="7"/>
  <c r="DN5" i="7"/>
  <c r="CE5" i="7"/>
  <c r="FW5" i="7"/>
  <c r="CL5" i="7"/>
  <c r="GD5" i="7"/>
  <c r="CY5" i="7"/>
  <c r="GQ5" i="7"/>
  <c r="DF5" i="7"/>
  <c r="CK5" i="7"/>
  <c r="GC5" i="7"/>
  <c r="CR5" i="7"/>
  <c r="GJ5" i="7"/>
  <c r="DE5" i="7"/>
  <c r="T5" i="7"/>
  <c r="DL5" i="7"/>
  <c r="AA5" i="7"/>
  <c r="DS5" i="7"/>
  <c r="AH5" i="7"/>
  <c r="DZ5" i="7"/>
  <c r="CQ5" i="7"/>
  <c r="GI5" i="7"/>
  <c r="CX5" i="7"/>
  <c r="GP5" i="7"/>
  <c r="DK5" i="7"/>
  <c r="Z5" i="7"/>
  <c r="DR5" i="7"/>
  <c r="AG5" i="7"/>
  <c r="DY5" i="7"/>
  <c r="AN5" i="7"/>
  <c r="EF5" i="7"/>
  <c r="CW5" i="7"/>
  <c r="GO5" i="7"/>
  <c r="DD5" i="7"/>
  <c r="Y5" i="7"/>
  <c r="DQ5" i="7"/>
  <c r="AF5" i="7"/>
  <c r="DX5" i="7"/>
  <c r="AM5" i="7"/>
  <c r="EE5" i="7"/>
  <c r="AT5" i="7"/>
  <c r="EL5" i="7"/>
  <c r="DC5" i="7"/>
  <c r="GU5" i="7"/>
  <c r="DJ5" i="7"/>
  <c r="AE5" i="7"/>
  <c r="DW5" i="7"/>
  <c r="AL5" i="7"/>
  <c r="ED5" i="7"/>
  <c r="AS5" i="7"/>
  <c r="EK5" i="7"/>
  <c r="AZ5" i="7"/>
  <c r="ER5" i="7"/>
  <c r="DI5" i="7"/>
  <c r="X5" i="7"/>
  <c r="DP5" i="7"/>
  <c r="AK5" i="7"/>
  <c r="EC5" i="7"/>
  <c r="AR5" i="7"/>
  <c r="EJ5" i="7"/>
  <c r="AY5" i="7"/>
  <c r="EQ5" i="7"/>
  <c r="AC5" i="7"/>
  <c r="DU5" i="7"/>
  <c r="AJ5" i="7"/>
  <c r="EB5" i="7"/>
  <c r="AW5" i="7"/>
  <c r="EO5" i="7"/>
  <c r="BD5" i="7"/>
  <c r="EV5" i="7"/>
  <c r="BK5" i="7"/>
  <c r="FC5" i="7"/>
  <c r="BR5" i="7"/>
  <c r="FJ5" i="7"/>
  <c r="FT5" i="7"/>
  <c r="FD5" i="7"/>
  <c r="N5" i="7"/>
  <c r="U5" i="7"/>
  <c r="FV5" i="7"/>
  <c r="O5" i="7"/>
  <c r="BE5" i="7"/>
  <c r="GH5" i="7"/>
  <c r="P5" i="7"/>
  <c r="BW5" i="7"/>
  <c r="CI5" i="7"/>
  <c r="DM5" i="7"/>
  <c r="EW5" i="7"/>
  <c r="W5" i="7"/>
  <c r="FO5" i="7"/>
  <c r="DO5" i="7"/>
  <c r="GA5" i="7"/>
  <c r="AD5" i="7"/>
  <c r="AB5" i="7"/>
  <c r="DV5" i="7"/>
  <c r="BF5" i="7"/>
  <c r="AQ5" i="7"/>
  <c r="BL5" i="7"/>
  <c r="EI5" i="7"/>
  <c r="CD5" i="7"/>
  <c r="Q5" i="7"/>
  <c r="AX5" i="7"/>
  <c r="CP5" i="7"/>
  <c r="R5" i="7"/>
  <c r="CB5" i="7"/>
  <c r="DT5" i="7"/>
  <c r="M5" i="7"/>
  <c r="EP5" i="7"/>
  <c r="EX5" i="7"/>
  <c r="S5" i="7"/>
  <c r="J57" i="7"/>
  <c r="K57" i="7"/>
  <c r="J28" i="7"/>
  <c r="K28" i="7"/>
  <c r="BN5" i="1"/>
  <c r="BN4" i="1"/>
  <c r="BE5" i="1"/>
  <c r="BE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3" i="7"/>
  <c r="W23" i="7"/>
  <c r="DO23" i="7"/>
  <c r="X23" i="7"/>
  <c r="DP23" i="7"/>
  <c r="AE23" i="7"/>
  <c r="DW23" i="7"/>
  <c r="AL23" i="7"/>
  <c r="ED23" i="7"/>
  <c r="AT23" i="7"/>
  <c r="EL23" i="7"/>
  <c r="AY23" i="7"/>
  <c r="AG23" i="7"/>
  <c r="AC23" i="7"/>
  <c r="DU23" i="7"/>
  <c r="AD23" i="7"/>
  <c r="DV23" i="7"/>
  <c r="AK23" i="7"/>
  <c r="EC23" i="7"/>
  <c r="AR23" i="7"/>
  <c r="EJ23" i="7"/>
  <c r="AZ23" i="7"/>
  <c r="ER23" i="7"/>
  <c r="CI23" i="7"/>
  <c r="BQ23" i="7"/>
  <c r="AI23" i="7"/>
  <c r="EA23" i="7"/>
  <c r="AJ23" i="7"/>
  <c r="EB23" i="7"/>
  <c r="AQ23" i="7"/>
  <c r="EI23" i="7"/>
  <c r="AX23" i="7"/>
  <c r="EP23" i="7"/>
  <c r="BF23" i="7"/>
  <c r="EX23" i="7"/>
  <c r="DS23" i="7"/>
  <c r="DA23" i="7"/>
  <c r="Q23" i="7"/>
  <c r="AO23" i="7"/>
  <c r="EG23" i="7"/>
  <c r="AP23" i="7"/>
  <c r="EH23" i="7"/>
  <c r="AW23" i="7"/>
  <c r="EO23" i="7"/>
  <c r="BD23" i="7"/>
  <c r="EV23" i="7"/>
  <c r="BL23" i="7"/>
  <c r="FD23" i="7"/>
  <c r="FC23" i="7"/>
  <c r="EK23" i="7"/>
  <c r="AU23" i="7"/>
  <c r="EM23" i="7"/>
  <c r="AV23" i="7"/>
  <c r="EN23" i="7"/>
  <c r="BC23" i="7"/>
  <c r="EU23" i="7"/>
  <c r="BJ23" i="7"/>
  <c r="FB23" i="7"/>
  <c r="BR23" i="7"/>
  <c r="FJ23" i="7"/>
  <c r="GM23" i="7"/>
  <c r="FU23" i="7"/>
  <c r="BA23" i="7"/>
  <c r="ES23" i="7"/>
  <c r="BB23" i="7"/>
  <c r="ET23" i="7"/>
  <c r="BI23" i="7"/>
  <c r="FA23" i="7"/>
  <c r="BP23" i="7"/>
  <c r="FH23" i="7"/>
  <c r="BX23" i="7"/>
  <c r="FP23" i="7"/>
  <c r="U23" i="7"/>
  <c r="AM23" i="7"/>
  <c r="BG23" i="7"/>
  <c r="EY23" i="7"/>
  <c r="BH23" i="7"/>
  <c r="EZ23" i="7"/>
  <c r="BO23" i="7"/>
  <c r="FG23" i="7"/>
  <c r="BV23" i="7"/>
  <c r="FN23" i="7"/>
  <c r="CD23" i="7"/>
  <c r="FV23" i="7"/>
  <c r="BE23" i="7"/>
  <c r="BW23" i="7"/>
  <c r="BM23" i="7"/>
  <c r="FE23" i="7"/>
  <c r="BN23" i="7"/>
  <c r="FF23" i="7"/>
  <c r="BU23" i="7"/>
  <c r="FM23" i="7"/>
  <c r="CB23" i="7"/>
  <c r="FT23" i="7"/>
  <c r="CJ23" i="7"/>
  <c r="GB23" i="7"/>
  <c r="CO23" i="7"/>
  <c r="DG23" i="7"/>
  <c r="BS23" i="7"/>
  <c r="FK23" i="7"/>
  <c r="BT23" i="7"/>
  <c r="FL23" i="7"/>
  <c r="CA23" i="7"/>
  <c r="FS23" i="7"/>
  <c r="CH23" i="7"/>
  <c r="FZ23" i="7"/>
  <c r="CP23" i="7"/>
  <c r="GH23" i="7"/>
  <c r="DY23" i="7"/>
  <c r="EQ23" i="7"/>
  <c r="BY23" i="7"/>
  <c r="FQ23" i="7"/>
  <c r="BZ23" i="7"/>
  <c r="FR23" i="7"/>
  <c r="CG23" i="7"/>
  <c r="FY23" i="7"/>
  <c r="CN23" i="7"/>
  <c r="GF23" i="7"/>
  <c r="CV23" i="7"/>
  <c r="GN23" i="7"/>
  <c r="FI23" i="7"/>
  <c r="GA23" i="7"/>
  <c r="CE23" i="7"/>
  <c r="FW23" i="7"/>
  <c r="CF23" i="7"/>
  <c r="FX23" i="7"/>
  <c r="CM23" i="7"/>
  <c r="GE23" i="7"/>
  <c r="CT23" i="7"/>
  <c r="GL23" i="7"/>
  <c r="DB23" i="7"/>
  <c r="GT23" i="7"/>
  <c r="GS23" i="7"/>
  <c r="P23" i="7"/>
  <c r="CK23" i="7"/>
  <c r="GC23" i="7"/>
  <c r="CL23" i="7"/>
  <c r="GD23" i="7"/>
  <c r="CS23" i="7"/>
  <c r="GK23" i="7"/>
  <c r="CZ23" i="7"/>
  <c r="GR23" i="7"/>
  <c r="DH23" i="7"/>
  <c r="AS23" i="7"/>
  <c r="AA23" i="7"/>
  <c r="CQ23" i="7"/>
  <c r="GI23" i="7"/>
  <c r="CR23" i="7"/>
  <c r="GJ23" i="7"/>
  <c r="CY23" i="7"/>
  <c r="GQ23" i="7"/>
  <c r="DF23" i="7"/>
  <c r="V23" i="7"/>
  <c r="DN23" i="7"/>
  <c r="CC23" i="7"/>
  <c r="BK23" i="7"/>
  <c r="CW23" i="7"/>
  <c r="GO23" i="7"/>
  <c r="CX23" i="7"/>
  <c r="GP23" i="7"/>
  <c r="DE23" i="7"/>
  <c r="T23" i="7"/>
  <c r="DL23" i="7"/>
  <c r="AB23" i="7"/>
  <c r="DT23" i="7"/>
  <c r="DM23" i="7"/>
  <c r="CU23" i="7"/>
  <c r="DC23" i="7"/>
  <c r="GU23" i="7"/>
  <c r="DD23" i="7"/>
  <c r="S23" i="7"/>
  <c r="DK23" i="7"/>
  <c r="Z23" i="7"/>
  <c r="DR23" i="7"/>
  <c r="AH23" i="7"/>
  <c r="DZ23" i="7"/>
  <c r="EW23" i="7"/>
  <c r="EE23" i="7"/>
  <c r="DI23" i="7"/>
  <c r="R23" i="7"/>
  <c r="DJ23" i="7"/>
  <c r="Y23" i="7"/>
  <c r="DQ23" i="7"/>
  <c r="AF23" i="7"/>
  <c r="DX23" i="7"/>
  <c r="AN23" i="7"/>
  <c r="EF23" i="7"/>
  <c r="GG23" i="7"/>
  <c r="FO23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14" i="7"/>
  <c r="EN14" i="7"/>
  <c r="AW14" i="7"/>
  <c r="EO14" i="7"/>
  <c r="AX14" i="7"/>
  <c r="EP14" i="7"/>
  <c r="AY14" i="7"/>
  <c r="EQ14" i="7"/>
  <c r="AT14" i="7"/>
  <c r="EL14" i="7"/>
  <c r="AO14" i="7"/>
  <c r="EG14" i="7"/>
  <c r="BB14" i="7"/>
  <c r="ET14" i="7"/>
  <c r="BC14" i="7"/>
  <c r="EU14" i="7"/>
  <c r="BD14" i="7"/>
  <c r="EV14" i="7"/>
  <c r="BE14" i="7"/>
  <c r="EW14" i="7"/>
  <c r="AZ14" i="7"/>
  <c r="ER14" i="7"/>
  <c r="AU14" i="7"/>
  <c r="EM14" i="7"/>
  <c r="BH14" i="7"/>
  <c r="EZ14" i="7"/>
  <c r="BI14" i="7"/>
  <c r="FA14" i="7"/>
  <c r="BJ14" i="7"/>
  <c r="FB14" i="7"/>
  <c r="BK14" i="7"/>
  <c r="FC14" i="7"/>
  <c r="BF14" i="7"/>
  <c r="EX14" i="7"/>
  <c r="BA14" i="7"/>
  <c r="ES14" i="7"/>
  <c r="BN14" i="7"/>
  <c r="FF14" i="7"/>
  <c r="BO14" i="7"/>
  <c r="FG14" i="7"/>
  <c r="BP14" i="7"/>
  <c r="FH14" i="7"/>
  <c r="BQ14" i="7"/>
  <c r="FI14" i="7"/>
  <c r="BL14" i="7"/>
  <c r="FD14" i="7"/>
  <c r="BG14" i="7"/>
  <c r="EY14" i="7"/>
  <c r="BT14" i="7"/>
  <c r="FL14" i="7"/>
  <c r="BU14" i="7"/>
  <c r="FM14" i="7"/>
  <c r="BV14" i="7"/>
  <c r="FN14" i="7"/>
  <c r="BW14" i="7"/>
  <c r="FO14" i="7"/>
  <c r="BR14" i="7"/>
  <c r="FJ14" i="7"/>
  <c r="BM14" i="7"/>
  <c r="FE14" i="7"/>
  <c r="BZ14" i="7"/>
  <c r="FR14" i="7"/>
  <c r="CA14" i="7"/>
  <c r="FS14" i="7"/>
  <c r="CB14" i="7"/>
  <c r="FT14" i="7"/>
  <c r="CC14" i="7"/>
  <c r="FU14" i="7"/>
  <c r="BX14" i="7"/>
  <c r="FP14" i="7"/>
  <c r="BS14" i="7"/>
  <c r="FK14" i="7"/>
  <c r="CF14" i="7"/>
  <c r="FX14" i="7"/>
  <c r="CG14" i="7"/>
  <c r="FY14" i="7"/>
  <c r="CH14" i="7"/>
  <c r="FZ14" i="7"/>
  <c r="CI14" i="7"/>
  <c r="GA14" i="7"/>
  <c r="CD14" i="7"/>
  <c r="FV14" i="7"/>
  <c r="BY14" i="7"/>
  <c r="FQ14" i="7"/>
  <c r="CL14" i="7"/>
  <c r="GD14" i="7"/>
  <c r="CM14" i="7"/>
  <c r="GE14" i="7"/>
  <c r="CN14" i="7"/>
  <c r="GF14" i="7"/>
  <c r="CO14" i="7"/>
  <c r="GG14" i="7"/>
  <c r="CJ14" i="7"/>
  <c r="GB14" i="7"/>
  <c r="CE14" i="7"/>
  <c r="FW14" i="7"/>
  <c r="CR14" i="7"/>
  <c r="GJ14" i="7"/>
  <c r="CS14" i="7"/>
  <c r="GK14" i="7"/>
  <c r="CT14" i="7"/>
  <c r="GL14" i="7"/>
  <c r="CU14" i="7"/>
  <c r="GM14" i="7"/>
  <c r="CP14" i="7"/>
  <c r="GH14" i="7"/>
  <c r="CK14" i="7"/>
  <c r="GC14" i="7"/>
  <c r="CX14" i="7"/>
  <c r="GP14" i="7"/>
  <c r="CY14" i="7"/>
  <c r="GQ14" i="7"/>
  <c r="CZ14" i="7"/>
  <c r="GR14" i="7"/>
  <c r="DA14" i="7"/>
  <c r="GS14" i="7"/>
  <c r="CV14" i="7"/>
  <c r="GN14" i="7"/>
  <c r="CQ14" i="7"/>
  <c r="GI14" i="7"/>
  <c r="L14" i="7"/>
  <c r="DD14" i="7"/>
  <c r="M14" i="7"/>
  <c r="DE14" i="7"/>
  <c r="N14" i="7"/>
  <c r="DF14" i="7"/>
  <c r="O14" i="7"/>
  <c r="DG14" i="7"/>
  <c r="DB14" i="7"/>
  <c r="GT14" i="7"/>
  <c r="CW14" i="7"/>
  <c r="GO14" i="7"/>
  <c r="R14" i="7"/>
  <c r="DJ14" i="7"/>
  <c r="S14" i="7"/>
  <c r="DK14" i="7"/>
  <c r="T14" i="7"/>
  <c r="DL14" i="7"/>
  <c r="U14" i="7"/>
  <c r="DM14" i="7"/>
  <c r="P14" i="7"/>
  <c r="DH14" i="7"/>
  <c r="DC14" i="7"/>
  <c r="GU14" i="7"/>
  <c r="X14" i="7"/>
  <c r="DP14" i="7"/>
  <c r="Y14" i="7"/>
  <c r="DQ14" i="7"/>
  <c r="Z14" i="7"/>
  <c r="DR14" i="7"/>
  <c r="AA14" i="7"/>
  <c r="DS14" i="7"/>
  <c r="V14" i="7"/>
  <c r="DN14" i="7"/>
  <c r="Q14" i="7"/>
  <c r="DI14" i="7"/>
  <c r="AD14" i="7"/>
  <c r="DV14" i="7"/>
  <c r="AE14" i="7"/>
  <c r="DW14" i="7"/>
  <c r="AF14" i="7"/>
  <c r="DX14" i="7"/>
  <c r="AG14" i="7"/>
  <c r="DY14" i="7"/>
  <c r="AB14" i="7"/>
  <c r="DT14" i="7"/>
  <c r="W14" i="7"/>
  <c r="DO14" i="7"/>
  <c r="AJ14" i="7"/>
  <c r="EB14" i="7"/>
  <c r="AK14" i="7"/>
  <c r="EC14" i="7"/>
  <c r="AL14" i="7"/>
  <c r="ED14" i="7"/>
  <c r="AM14" i="7"/>
  <c r="EE14" i="7"/>
  <c r="AH14" i="7"/>
  <c r="DZ14" i="7"/>
  <c r="AC14" i="7"/>
  <c r="DU14" i="7"/>
  <c r="AP14" i="7"/>
  <c r="EH14" i="7"/>
  <c r="AQ14" i="7"/>
  <c r="EI14" i="7"/>
  <c r="AR14" i="7"/>
  <c r="EJ14" i="7"/>
  <c r="AS14" i="7"/>
  <c r="EK14" i="7"/>
  <c r="AN14" i="7"/>
  <c r="EF14" i="7"/>
  <c r="AI14" i="7"/>
  <c r="EA1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W10" i="1"/>
  <c r="BU8" i="1"/>
  <c r="BW15" i="1"/>
  <c r="BU13" i="1"/>
  <c r="BU6" i="1"/>
  <c r="BW7" i="1"/>
  <c r="BW9" i="1"/>
  <c r="BU7" i="1"/>
  <c r="BU12" i="1"/>
  <c r="BW13" i="1"/>
  <c r="BU15" i="1"/>
  <c r="BW11" i="1"/>
  <c r="BU14" i="1"/>
  <c r="BU11" i="1"/>
  <c r="BW12" i="1"/>
  <c r="BW6" i="1"/>
  <c r="BU10" i="1"/>
  <c r="BW14" i="1"/>
  <c r="BW8" i="1"/>
  <c r="BU9" i="1"/>
  <c r="AC125" i="1"/>
  <c r="AC224" i="1"/>
  <c r="AC387" i="1"/>
  <c r="BY15" i="1"/>
  <c r="BY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0" i="2"/>
  <c r="BN2" i="2"/>
  <c r="BN26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Y7" i="1"/>
  <c r="BY8" i="1"/>
  <c r="BY9" i="1"/>
  <c r="BY10" i="1"/>
  <c r="BY11" i="1"/>
  <c r="BY12" i="1"/>
  <c r="BY13" i="1"/>
  <c r="BY6" i="1"/>
  <c r="N37" i="2"/>
  <c r="N36" i="2"/>
  <c r="N35" i="2"/>
  <c r="BT36" i="2"/>
  <c r="BT35" i="2"/>
  <c r="BT37" i="2"/>
  <c r="L37" i="2"/>
  <c r="L36" i="2"/>
  <c r="L35" i="2"/>
  <c r="BU37" i="2"/>
  <c r="BU36" i="2"/>
  <c r="BU35" i="2"/>
  <c r="I28" i="2"/>
  <c r="H36" i="2"/>
  <c r="H35" i="2"/>
  <c r="H37" i="2"/>
  <c r="V35" i="2"/>
  <c r="V37" i="2"/>
  <c r="V36" i="2"/>
  <c r="T37" i="2"/>
  <c r="T36" i="2"/>
  <c r="T35" i="2"/>
  <c r="O37" i="2"/>
  <c r="O36" i="2"/>
  <c r="O35" i="2"/>
  <c r="G28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W5" i="1"/>
  <c r="BU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3" i="2"/>
  <c r="AC231" i="1"/>
  <c r="BL10" i="2"/>
  <c r="AD239" i="1"/>
  <c r="AC236" i="1"/>
  <c r="AC150" i="1"/>
  <c r="AC122" i="1"/>
  <c r="AD123" i="1"/>
  <c r="AC102" i="1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8" i="2"/>
  <c r="AH15" i="2"/>
  <c r="BO33" i="2"/>
  <c r="BO14" i="2"/>
  <c r="AJ11" i="2"/>
  <c r="AJ26" i="2"/>
  <c r="AH20" i="2"/>
  <c r="BO23" i="2"/>
  <c r="AJ22" i="2"/>
  <c r="BO11" i="2"/>
  <c r="BN8" i="2"/>
  <c r="AJ4" i="2"/>
  <c r="AG16" i="2"/>
  <c r="BO53" i="5"/>
  <c r="CY6" i="2"/>
  <c r="CY5" i="2"/>
  <c r="AE8" i="2"/>
  <c r="AI15" i="2"/>
  <c r="AI3" i="2"/>
  <c r="BO46" i="5"/>
  <c r="AI9" i="2"/>
  <c r="AJ8" i="2"/>
  <c r="AE3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0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7" i="2"/>
  <c r="BN28" i="2"/>
  <c r="BO17" i="2"/>
  <c r="BO42" i="5"/>
  <c r="BO5" i="2"/>
  <c r="BO21" i="5"/>
  <c r="AI32" i="2"/>
  <c r="AG10" i="2"/>
  <c r="AI23" i="2"/>
  <c r="AE18" i="2"/>
  <c r="AI14" i="2"/>
  <c r="AI6" i="2"/>
  <c r="AG32" i="2"/>
  <c r="AC29" i="2"/>
  <c r="AC5" i="2"/>
  <c r="AC26" i="2"/>
  <c r="AG15" i="2"/>
  <c r="AI29" i="2"/>
  <c r="AI5" i="2"/>
  <c r="AG29" i="2"/>
  <c r="AC23" i="2"/>
  <c r="AE12" i="2"/>
  <c r="AE13" i="2"/>
  <c r="AI2" i="2"/>
  <c r="AI27" i="2"/>
  <c r="AE31" i="2"/>
  <c r="AC18" i="2"/>
  <c r="AC16" i="2"/>
  <c r="AC17" i="2"/>
  <c r="AE26" i="2"/>
  <c r="AE2" i="2"/>
  <c r="AI24" i="2"/>
  <c r="AF20" i="2"/>
  <c r="AE28" i="2"/>
  <c r="AI33" i="2"/>
  <c r="AE11" i="2"/>
  <c r="AG30" i="2"/>
  <c r="AG6" i="2"/>
  <c r="AE21" i="2"/>
  <c r="AI4" i="2"/>
  <c r="AC9" i="2"/>
  <c r="AE23" i="2"/>
  <c r="AC32" i="2"/>
  <c r="AI28" i="2"/>
  <c r="AG31" i="2"/>
  <c r="AE3" i="2"/>
  <c r="AE10" i="2"/>
  <c r="AE24" i="2"/>
  <c r="AI11" i="2"/>
  <c r="AE14" i="2"/>
  <c r="AI25" i="2"/>
  <c r="AE27" i="2"/>
  <c r="AC8" i="2"/>
  <c r="AC12" i="2"/>
  <c r="AE29" i="2"/>
  <c r="AE20" i="2"/>
  <c r="AI16" i="2"/>
  <c r="AI21" i="2"/>
  <c r="AE15" i="2"/>
  <c r="AE16" i="2"/>
  <c r="AC24" i="2"/>
  <c r="AG13" i="2"/>
  <c r="AI30" i="2"/>
  <c r="AI17" i="2"/>
  <c r="AG26" i="2"/>
  <c r="AC10" i="2"/>
  <c r="AI13" i="2"/>
  <c r="AE17" i="2"/>
  <c r="AE6" i="2"/>
  <c r="AG24" i="2"/>
  <c r="AI22" i="2"/>
  <c r="AE30" i="2"/>
  <c r="AE25" i="2"/>
  <c r="AC21" i="2"/>
  <c r="AI31" i="2"/>
  <c r="AI18" i="2"/>
  <c r="AC3" i="2"/>
  <c r="AI12" i="2"/>
  <c r="AE5" i="2"/>
  <c r="AG12" i="2"/>
  <c r="AI8" i="2"/>
  <c r="AC28" i="2"/>
  <c r="AC2" i="2"/>
  <c r="AC11" i="2"/>
  <c r="AC33" i="2"/>
  <c r="AG2" i="2"/>
  <c r="AI26" i="2"/>
  <c r="AI7" i="2"/>
  <c r="AC22" i="2"/>
  <c r="AC19" i="2"/>
  <c r="AC7" i="2"/>
  <c r="AG22" i="2"/>
  <c r="AG14" i="2"/>
  <c r="AI20" i="2"/>
  <c r="AC6" i="2"/>
  <c r="AE9" i="2"/>
  <c r="AG11" i="2"/>
  <c r="AG18" i="2"/>
  <c r="AG21" i="2"/>
  <c r="AC25" i="2"/>
  <c r="AC31" i="2"/>
  <c r="AG9" i="2"/>
  <c r="AE32" i="2"/>
  <c r="AG25" i="2"/>
  <c r="AE22" i="2"/>
  <c r="AG23" i="2"/>
  <c r="AG19" i="2"/>
  <c r="AG27" i="2"/>
  <c r="AC4" i="2"/>
  <c r="AC20" i="2"/>
  <c r="AC13" i="2"/>
  <c r="AC30" i="2"/>
  <c r="AE4" i="2"/>
  <c r="AG17" i="2"/>
  <c r="AG20" i="2"/>
  <c r="AG33" i="2"/>
  <c r="AE19" i="2"/>
  <c r="AH28" i="2"/>
  <c r="AG8" i="2"/>
  <c r="AC15" i="2"/>
  <c r="AC14" i="2"/>
  <c r="AC27" i="2"/>
  <c r="AJ2" i="2"/>
  <c r="AG28" i="2"/>
  <c r="AG5" i="2"/>
  <c r="AG3" i="2"/>
  <c r="AI19" i="2"/>
  <c r="AG7" i="2"/>
  <c r="AE7" i="2"/>
  <c r="AH27" i="2"/>
  <c r="BX13" i="2"/>
  <c r="J18" i="2"/>
  <c r="G18" i="2"/>
  <c r="J14" i="2"/>
  <c r="G14" i="2"/>
  <c r="J8" i="2"/>
  <c r="BX10" i="2"/>
  <c r="J10" i="2"/>
  <c r="BV21" i="2"/>
  <c r="X10" i="2"/>
  <c r="BX21" i="2"/>
  <c r="BX15" i="2"/>
  <c r="J20" i="2"/>
  <c r="X20" i="2"/>
  <c r="X14" i="2"/>
  <c r="X6" i="2"/>
  <c r="BV15" i="2"/>
  <c r="J2" i="2"/>
  <c r="BV6" i="2"/>
  <c r="BX6" i="2"/>
  <c r="X17" i="2"/>
  <c r="BV31" i="2"/>
  <c r="X11" i="2"/>
  <c r="X22" i="2"/>
  <c r="BX3" i="2"/>
  <c r="BW13" i="2"/>
  <c r="AH25" i="2"/>
  <c r="BX33" i="2"/>
  <c r="X33" i="2"/>
  <c r="BW19" i="2"/>
  <c r="X27" i="2"/>
  <c r="BV19" i="2"/>
  <c r="BX27" i="2"/>
  <c r="BX22" i="2"/>
  <c r="BX31" i="2"/>
  <c r="X18" i="2"/>
  <c r="X7" i="2"/>
  <c r="BO16" i="2"/>
  <c r="X30" i="2"/>
  <c r="BX26" i="2"/>
  <c r="BX16" i="2"/>
  <c r="BX19" i="2"/>
  <c r="X29" i="2"/>
  <c r="BX23" i="2"/>
  <c r="BX29" i="2"/>
  <c r="BX18" i="2"/>
  <c r="X16" i="2"/>
  <c r="J15" i="2"/>
  <c r="X13" i="2"/>
  <c r="X31" i="2"/>
  <c r="BV7" i="2"/>
  <c r="BX7" i="2"/>
  <c r="BW6" i="2"/>
  <c r="BV11" i="2"/>
  <c r="BV26" i="2"/>
  <c r="BW26" i="2"/>
  <c r="BV33" i="2"/>
  <c r="BV23" i="2"/>
  <c r="BV22" i="2"/>
  <c r="X4" i="2"/>
  <c r="BX11" i="2"/>
  <c r="BV18" i="2"/>
  <c r="X26" i="2"/>
  <c r="X21" i="2"/>
  <c r="BW16" i="2"/>
  <c r="BX30" i="2"/>
  <c r="BX25" i="2"/>
  <c r="BX20" i="2"/>
  <c r="BV20" i="2"/>
  <c r="BV2" i="2"/>
  <c r="X23" i="2"/>
  <c r="BX8" i="2"/>
  <c r="X8" i="2"/>
  <c r="BX14" i="2"/>
  <c r="BX12" i="2"/>
  <c r="J25" i="2"/>
  <c r="E25" i="2" s="1"/>
  <c r="X32" i="2"/>
  <c r="BV16" i="2"/>
  <c r="AF27" i="2"/>
  <c r="AF19" i="2"/>
  <c r="AJ10" i="2"/>
  <c r="AF10" i="2"/>
  <c r="AF9" i="2"/>
  <c r="AH17" i="2"/>
  <c r="BV13" i="2"/>
  <c r="P30" i="2"/>
  <c r="BV29" i="2"/>
  <c r="BV12" i="2"/>
  <c r="X24" i="2"/>
  <c r="BX24" i="2"/>
  <c r="J19" i="2"/>
  <c r="X19" i="2"/>
  <c r="J28" i="2"/>
  <c r="X5" i="2"/>
  <c r="BX5" i="2"/>
  <c r="X28" i="2"/>
  <c r="P19" i="2"/>
  <c r="BW10" i="2"/>
  <c r="BX28" i="2"/>
  <c r="P14" i="2"/>
  <c r="X25" i="2"/>
  <c r="P7" i="2"/>
  <c r="X15" i="2"/>
  <c r="P33" i="2"/>
  <c r="P29" i="2"/>
  <c r="P11" i="2"/>
  <c r="X2" i="2"/>
  <c r="P17" i="2"/>
  <c r="P12" i="2"/>
  <c r="X12" i="2"/>
  <c r="P24" i="2"/>
  <c r="P22" i="2"/>
  <c r="BV25" i="2"/>
  <c r="BV10" i="2"/>
  <c r="BV5" i="2"/>
  <c r="BV30" i="2"/>
  <c r="BV28" i="2"/>
  <c r="BV32" i="2"/>
  <c r="BX2" i="2"/>
  <c r="BW14" i="2"/>
  <c r="BV17" i="2"/>
  <c r="BV8" i="2"/>
  <c r="BV27" i="2"/>
  <c r="BW23" i="2"/>
  <c r="BW21" i="2"/>
  <c r="BV14" i="2"/>
  <c r="BW4" i="2"/>
  <c r="BV4" i="2"/>
  <c r="BV24" i="2"/>
  <c r="BW31" i="2"/>
  <c r="BW27" i="2"/>
  <c r="BW3" i="2"/>
  <c r="BV3" i="2"/>
  <c r="BX4" i="2"/>
  <c r="X3" i="2"/>
  <c r="P5" i="2"/>
  <c r="BX17" i="2"/>
  <c r="J11" i="2"/>
  <c r="BW30" i="2"/>
  <c r="J6" i="2"/>
  <c r="P27" i="2"/>
  <c r="BX32" i="2"/>
  <c r="BW20" i="2"/>
  <c r="P20" i="2"/>
  <c r="J24" i="2"/>
  <c r="BW24" i="2"/>
  <c r="BW7" i="2"/>
  <c r="J4" i="2"/>
  <c r="P4" i="2"/>
  <c r="BW8" i="2"/>
  <c r="P8" i="2"/>
  <c r="J27" i="2"/>
  <c r="J13" i="2"/>
  <c r="J29" i="2"/>
  <c r="BW15" i="2"/>
  <c r="J31" i="2"/>
  <c r="P31" i="2"/>
  <c r="P10" i="2"/>
  <c r="BW12" i="2"/>
  <c r="BW29" i="2"/>
  <c r="J16" i="2"/>
  <c r="J17" i="2"/>
  <c r="J7" i="2"/>
  <c r="P13" i="2"/>
  <c r="P15" i="2"/>
  <c r="BW11" i="2"/>
  <c r="J32" i="2"/>
  <c r="BW5" i="2"/>
  <c r="J33" i="2"/>
  <c r="P16" i="2"/>
  <c r="BW18" i="2"/>
  <c r="P25" i="2"/>
  <c r="J3" i="2"/>
  <c r="J5" i="2"/>
  <c r="J12" i="2"/>
  <c r="P3" i="2"/>
  <c r="J22" i="2"/>
  <c r="J26" i="2"/>
  <c r="J23" i="2"/>
  <c r="BW25" i="2"/>
  <c r="P6" i="2"/>
  <c r="BW22" i="2"/>
  <c r="P18" i="2"/>
  <c r="J30" i="2"/>
  <c r="P21" i="2"/>
  <c r="P23" i="2"/>
  <c r="P28" i="2"/>
  <c r="P2" i="2"/>
  <c r="BW2" i="2"/>
  <c r="J21" i="2"/>
  <c r="BW17" i="2"/>
  <c r="BW28" i="2"/>
  <c r="P32" i="2"/>
  <c r="BW33" i="2"/>
  <c r="BW32" i="2"/>
  <c r="P26" i="2"/>
  <c r="BH18" i="2"/>
  <c r="BH17" i="2"/>
  <c r="BH5" i="2"/>
  <c r="BH19" i="2"/>
  <c r="BH24" i="2"/>
  <c r="BH25" i="2"/>
  <c r="BH3" i="2"/>
  <c r="BH29" i="2"/>
  <c r="BH13" i="2"/>
  <c r="BH8" i="2"/>
  <c r="BH30" i="2"/>
  <c r="BH16" i="2"/>
  <c r="BH4" i="2"/>
  <c r="BH27" i="2"/>
  <c r="BH20" i="2"/>
  <c r="BH2" i="2"/>
  <c r="BH11" i="2"/>
  <c r="BH21" i="2"/>
  <c r="BH23" i="2"/>
  <c r="BH10" i="2"/>
  <c r="BH6" i="2"/>
  <c r="BH22" i="2"/>
  <c r="BH15" i="2"/>
  <c r="BH28" i="2"/>
  <c r="BH14" i="2"/>
  <c r="BH12" i="2"/>
  <c r="BH31" i="2"/>
  <c r="BH33" i="2"/>
  <c r="BH32" i="2"/>
  <c r="BH26" i="2"/>
  <c r="BH7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P1138" i="1" l="1"/>
  <c r="D70" i="7"/>
  <c r="D34" i="7"/>
  <c r="BN15" i="2"/>
  <c r="BN22" i="2"/>
  <c r="AF26" i="2"/>
  <c r="AF13" i="2"/>
  <c r="AH16" i="2"/>
  <c r="AH33" i="2"/>
  <c r="BO21" i="2"/>
  <c r="BL15" i="2"/>
  <c r="BL20" i="2"/>
  <c r="BO4" i="2"/>
  <c r="BN20" i="2"/>
  <c r="AF15" i="2"/>
  <c r="AJ20" i="2"/>
  <c r="AW20" i="2" s="1"/>
  <c r="AJ30" i="2"/>
  <c r="AH12" i="2"/>
  <c r="AF30" i="2"/>
  <c r="AF8" i="2"/>
  <c r="AF2" i="2"/>
  <c r="AW2" i="2" s="1"/>
  <c r="BO12" i="2"/>
  <c r="BN30" i="2"/>
  <c r="BL30" i="2"/>
  <c r="AO796" i="1"/>
  <c r="AP32" i="2"/>
  <c r="AO802" i="1"/>
  <c r="AJ15" i="2"/>
  <c r="AL15" i="2" s="1"/>
  <c r="AH10" i="2"/>
  <c r="AL10" i="2" s="1"/>
  <c r="BO25" i="2"/>
  <c r="BL27" i="2"/>
  <c r="BN27" i="2"/>
  <c r="BE17" i="1"/>
  <c r="BE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E9" i="1"/>
  <c r="BE10" i="1" s="1"/>
  <c r="BJ17" i="1"/>
  <c r="BJ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6" i="2"/>
  <c r="AP1009" i="1"/>
  <c r="AP990" i="1"/>
  <c r="AP855" i="1"/>
  <c r="AP989" i="1"/>
  <c r="AP1012" i="1"/>
  <c r="BZ33" i="2"/>
  <c r="AO1113" i="1"/>
  <c r="BZ20" i="2"/>
  <c r="BZ3" i="2"/>
  <c r="BZ28" i="2"/>
  <c r="BZ18" i="2"/>
  <c r="BZ5" i="2"/>
  <c r="BZ23" i="2"/>
  <c r="CJ30" i="2"/>
  <c r="CJ7" i="2"/>
  <c r="CJ26" i="2"/>
  <c r="BZ10" i="2"/>
  <c r="BZ2" i="2"/>
  <c r="BZ8" i="2"/>
  <c r="CI10" i="2"/>
  <c r="CI14" i="2"/>
  <c r="CJ31" i="2"/>
  <c r="BZ17" i="2"/>
  <c r="BZ7" i="2"/>
  <c r="BZ4" i="2"/>
  <c r="BZ21" i="2"/>
  <c r="BZ30" i="2"/>
  <c r="BZ15" i="2"/>
  <c r="BZ13" i="2"/>
  <c r="BZ14" i="2"/>
  <c r="BZ25" i="2"/>
  <c r="BZ26" i="2"/>
  <c r="BZ6" i="2"/>
  <c r="BZ32" i="2"/>
  <c r="BZ16" i="2"/>
  <c r="BZ11" i="2"/>
  <c r="BZ24" i="2"/>
  <c r="BZ27" i="2"/>
  <c r="BZ29" i="2"/>
  <c r="BZ22" i="2"/>
  <c r="BZ12" i="2"/>
  <c r="BZ31" i="2"/>
  <c r="BZ19" i="2"/>
  <c r="AO958" i="1"/>
  <c r="CJ8" i="2"/>
  <c r="CI20" i="2"/>
  <c r="CI28" i="2"/>
  <c r="CJ23" i="2"/>
  <c r="CI12" i="2"/>
  <c r="CJ18" i="2"/>
  <c r="CJ33" i="2"/>
  <c r="CI30" i="2"/>
  <c r="CI18" i="2"/>
  <c r="CI9" i="2"/>
  <c r="CI8" i="2"/>
  <c r="CJ27" i="2"/>
  <c r="CJ20" i="2"/>
  <c r="CJ10" i="2"/>
  <c r="CI21" i="2"/>
  <c r="CI25" i="2"/>
  <c r="CI15" i="2"/>
  <c r="CJ16" i="2"/>
  <c r="CJ3" i="2"/>
  <c r="CJ28" i="2"/>
  <c r="AP762" i="1"/>
  <c r="CI4" i="2"/>
  <c r="CI29" i="2"/>
  <c r="CJ2" i="2"/>
  <c r="CJ15" i="2"/>
  <c r="CI5" i="2"/>
  <c r="CI33" i="2"/>
  <c r="CJ5" i="2"/>
  <c r="CI27" i="2"/>
  <c r="CI6" i="2"/>
  <c r="CJ19" i="2"/>
  <c r="CI3" i="2"/>
  <c r="CI32" i="2"/>
  <c r="CI24" i="2"/>
  <c r="CJ14" i="2"/>
  <c r="CI11" i="2"/>
  <c r="CJ22" i="2"/>
  <c r="CJ24" i="2"/>
  <c r="CI26" i="2"/>
  <c r="CI2" i="2"/>
  <c r="CJ4" i="2"/>
  <c r="CI13" i="2"/>
  <c r="CI17" i="2"/>
  <c r="CJ17" i="2"/>
  <c r="CI16" i="2"/>
  <c r="CJ32" i="2"/>
  <c r="CJ6" i="2"/>
  <c r="CI23" i="2"/>
  <c r="CJ12" i="2"/>
  <c r="CI22" i="2"/>
  <c r="CJ11" i="2"/>
  <c r="CJ21" i="2"/>
  <c r="CJ29" i="2"/>
  <c r="CI31" i="2"/>
  <c r="CI19" i="2"/>
  <c r="CI7" i="2"/>
  <c r="CJ9" i="2"/>
  <c r="CJ25" i="2"/>
  <c r="CJ13" i="2"/>
  <c r="E31" i="2"/>
  <c r="BK8" i="2"/>
  <c r="E15" i="2"/>
  <c r="E22" i="2"/>
  <c r="E13" i="2"/>
  <c r="BK14" i="2"/>
  <c r="E5" i="2"/>
  <c r="E17" i="2"/>
  <c r="E27" i="2"/>
  <c r="E6" i="2"/>
  <c r="E23" i="2"/>
  <c r="E3" i="2"/>
  <c r="E16" i="2"/>
  <c r="E11" i="2"/>
  <c r="E2" i="2"/>
  <c r="E21" i="2"/>
  <c r="E30" i="2"/>
  <c r="E26" i="2"/>
  <c r="E29" i="2"/>
  <c r="E4" i="2"/>
  <c r="E12" i="2"/>
  <c r="E33" i="2"/>
  <c r="E7" i="2"/>
  <c r="E24" i="2"/>
  <c r="E10" i="2"/>
  <c r="BK18" i="2"/>
  <c r="BK20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V16" i="1"/>
  <c r="BT16" i="1"/>
  <c r="BX5" i="1"/>
  <c r="BM12" i="1"/>
  <c r="BM11" i="1"/>
  <c r="BO32" i="2"/>
  <c r="BN18" i="2"/>
  <c r="BN3" i="2"/>
  <c r="BO3" i="2"/>
  <c r="BN13" i="2"/>
  <c r="BN4" i="2"/>
  <c r="BN14" i="2"/>
  <c r="BO6" i="2"/>
  <c r="BN7" i="2"/>
  <c r="BO8" i="2"/>
  <c r="BN24" i="2"/>
  <c r="BN23" i="2"/>
  <c r="BO30" i="2"/>
  <c r="BO31" i="2"/>
  <c r="BN31" i="2"/>
  <c r="BN32" i="2"/>
  <c r="BO18" i="2"/>
  <c r="BN19" i="2"/>
  <c r="BN6" i="2"/>
  <c r="BN11" i="2"/>
  <c r="BO13" i="2"/>
  <c r="BO29" i="2"/>
  <c r="BO24" i="2"/>
  <c r="BO19" i="2"/>
  <c r="BN5" i="2"/>
  <c r="BN29" i="2"/>
  <c r="BO7" i="2"/>
  <c r="BO22" i="2"/>
  <c r="BN21" i="2"/>
  <c r="BO10" i="2"/>
  <c r="BO9" i="2"/>
  <c r="BN16" i="2"/>
  <c r="BO27" i="2"/>
  <c r="BN12" i="2"/>
  <c r="BN17" i="2"/>
  <c r="BN33" i="2"/>
  <c r="BO2" i="2"/>
  <c r="BO15" i="2"/>
  <c r="BO20" i="2"/>
  <c r="BO26" i="2"/>
  <c r="BN2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Y5" i="1"/>
  <c r="BY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8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8" i="2"/>
  <c r="BM28" i="2"/>
  <c r="AP23" i="2"/>
  <c r="BL23" i="2"/>
  <c r="BM8" i="2"/>
  <c r="BL5" i="2"/>
  <c r="BL25" i="2"/>
  <c r="BM23" i="2"/>
  <c r="BM33" i="2"/>
  <c r="BM5" i="2"/>
  <c r="BL16" i="2"/>
  <c r="BL29" i="2"/>
  <c r="BM31" i="2"/>
  <c r="BL22" i="2"/>
  <c r="BM17" i="2"/>
  <c r="BM12" i="2"/>
  <c r="BL21" i="2"/>
  <c r="BM6" i="2"/>
  <c r="BM22" i="2"/>
  <c r="BM14" i="2"/>
  <c r="BL3" i="2"/>
  <c r="BM16" i="2"/>
  <c r="BM7" i="2"/>
  <c r="BM4" i="2"/>
  <c r="BL31" i="2"/>
  <c r="BM19" i="2"/>
  <c r="BL12" i="2"/>
  <c r="BL24" i="2"/>
  <c r="BL33" i="2"/>
  <c r="BM29" i="2"/>
  <c r="BM18" i="2"/>
  <c r="BM11" i="2"/>
  <c r="BM13" i="2"/>
  <c r="BM25" i="2"/>
  <c r="BL6" i="2"/>
  <c r="BL11" i="2"/>
  <c r="BM3" i="2"/>
  <c r="BL17" i="2"/>
  <c r="BM32" i="2"/>
  <c r="BL32" i="2"/>
  <c r="BL18" i="2"/>
  <c r="BM21" i="2"/>
  <c r="BL14" i="2"/>
  <c r="BL4" i="2"/>
  <c r="BM24" i="2"/>
  <c r="BM30" i="2"/>
  <c r="BM27" i="2"/>
  <c r="BL28" i="2"/>
  <c r="BL19" i="2"/>
  <c r="BM10" i="2"/>
  <c r="BL7" i="2"/>
  <c r="BM15" i="2"/>
  <c r="BM9" i="2"/>
  <c r="BM2" i="2"/>
  <c r="BM20" i="2"/>
  <c r="BL8" i="2"/>
  <c r="BL13" i="2"/>
  <c r="BM26" i="2"/>
  <c r="AP28" i="2"/>
  <c r="BE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5" i="2"/>
  <c r="AF4" i="2"/>
  <c r="AH19" i="2"/>
  <c r="AP15" i="2"/>
  <c r="AF11" i="2"/>
  <c r="AO23" i="2"/>
  <c r="AF14" i="2"/>
  <c r="AH11" i="2"/>
  <c r="AK11" i="2" s="1"/>
  <c r="AF24" i="2"/>
  <c r="AP20" i="2"/>
  <c r="AH4" i="2"/>
  <c r="AK4" i="2" s="1"/>
  <c r="AF25" i="2"/>
  <c r="AO20" i="2"/>
  <c r="AJ33" i="2"/>
  <c r="AJ25" i="2"/>
  <c r="AK25" i="2" s="1"/>
  <c r="AP26" i="2"/>
  <c r="AF23" i="2"/>
  <c r="AO19" i="2"/>
  <c r="AP22" i="2"/>
  <c r="AO14" i="2"/>
  <c r="AJ14" i="2"/>
  <c r="AO26" i="2"/>
  <c r="AH23" i="2"/>
  <c r="AK23" i="2" s="1"/>
  <c r="AH18" i="2"/>
  <c r="AF22" i="2"/>
  <c r="AO11" i="2"/>
  <c r="AO4" i="2"/>
  <c r="AP4" i="2"/>
  <c r="AP11" i="2"/>
  <c r="AJ13" i="2"/>
  <c r="BP47" i="5"/>
  <c r="BP13" i="5"/>
  <c r="AO13" i="2"/>
  <c r="BP45" i="5"/>
  <c r="BP53" i="5"/>
  <c r="AF31" i="2"/>
  <c r="AF3" i="2"/>
  <c r="AJ7" i="2"/>
  <c r="AJ31" i="2"/>
  <c r="AW26" i="2"/>
  <c r="AW9" i="2"/>
  <c r="AH31" i="2"/>
  <c r="AF12" i="2"/>
  <c r="AP8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8" i="2"/>
  <c r="AJ28" i="2"/>
  <c r="AK28" i="2" s="1"/>
  <c r="BP21" i="5"/>
  <c r="E32" i="2"/>
  <c r="CY2" i="2"/>
  <c r="CZ5" i="2" s="1"/>
  <c r="AO28" i="2"/>
  <c r="AH13" i="2"/>
  <c r="AD17" i="2"/>
  <c r="BP17" i="2" s="1"/>
  <c r="AJ29" i="2"/>
  <c r="AH14" i="2"/>
  <c r="AP14" i="2"/>
  <c r="AH5" i="2"/>
  <c r="AP7" i="2"/>
  <c r="AJ17" i="2"/>
  <c r="AK17" i="2" s="1"/>
  <c r="DA5" i="2"/>
  <c r="DA6" i="2"/>
  <c r="AF33" i="2"/>
  <c r="AF29" i="2"/>
  <c r="CY3" i="2"/>
  <c r="DA3" i="2" s="1"/>
  <c r="AP2" i="2"/>
  <c r="AJ24" i="2"/>
  <c r="AF6" i="2"/>
  <c r="AJ21" i="2"/>
  <c r="AK21" i="2" s="1"/>
  <c r="AF17" i="2"/>
  <c r="AO12" i="2"/>
  <c r="AO24" i="2"/>
  <c r="AH24" i="2"/>
  <c r="AP24" i="2"/>
  <c r="AO21" i="2"/>
  <c r="AH29" i="2"/>
  <c r="AP21" i="2"/>
  <c r="AJ12" i="2"/>
  <c r="BP27" i="5"/>
  <c r="BP3" i="5"/>
  <c r="BP11" i="5"/>
  <c r="BP25" i="5"/>
  <c r="AD24" i="2"/>
  <c r="BP24" i="2" s="1"/>
  <c r="AF16" i="2"/>
  <c r="AF5" i="2"/>
  <c r="AO7" i="2"/>
  <c r="AO8" i="2"/>
  <c r="AH8" i="2"/>
  <c r="CS8" i="2"/>
  <c r="CS7" i="2"/>
  <c r="AF21" i="2"/>
  <c r="AJ18" i="2"/>
  <c r="AJ3" i="2"/>
  <c r="BP5" i="5"/>
  <c r="BP17" i="5"/>
  <c r="BP37" i="5"/>
  <c r="BP9" i="5"/>
  <c r="AH6" i="2"/>
  <c r="BP55" i="5"/>
  <c r="BP23" i="5"/>
  <c r="BP63" i="5"/>
  <c r="BP51" i="5"/>
  <c r="BP65" i="5"/>
  <c r="BP31" i="5"/>
  <c r="BP41" i="5"/>
  <c r="AO5" i="2"/>
  <c r="BP43" i="5"/>
  <c r="BP49" i="5"/>
  <c r="AH7" i="2"/>
  <c r="BP39" i="5"/>
  <c r="AP12" i="2"/>
  <c r="E19" i="2"/>
  <c r="BK4" i="2"/>
  <c r="BK19" i="2"/>
  <c r="BK27" i="2"/>
  <c r="BK11" i="2"/>
  <c r="BK5" i="2"/>
  <c r="BK10" i="2"/>
  <c r="BK12" i="2"/>
  <c r="BK3" i="2"/>
  <c r="BK17" i="2"/>
  <c r="BK22" i="2"/>
  <c r="BK33" i="2"/>
  <c r="BK13" i="2"/>
  <c r="BK32" i="2"/>
  <c r="BK7" i="2"/>
  <c r="BK16" i="2"/>
  <c r="BK2" i="2"/>
  <c r="BK30" i="2"/>
  <c r="BK6" i="2"/>
  <c r="BK23" i="2"/>
  <c r="BK29" i="2"/>
  <c r="BK26" i="2"/>
  <c r="BK28" i="2"/>
  <c r="BK24" i="2"/>
  <c r="BK21" i="2"/>
  <c r="BK25" i="2"/>
  <c r="BK31" i="2"/>
  <c r="BK15" i="2"/>
  <c r="K18" i="2"/>
  <c r="E18" i="2"/>
  <c r="BI20" i="2"/>
  <c r="E20" i="2"/>
  <c r="K8" i="2"/>
  <c r="E8" i="2"/>
  <c r="K14" i="2"/>
  <c r="E14" i="2"/>
  <c r="BJ14" i="2"/>
  <c r="AD8" i="2"/>
  <c r="BP8" i="2" s="1"/>
  <c r="BI18" i="2"/>
  <c r="BJ18" i="2"/>
  <c r="AD32" i="2"/>
  <c r="BP32" i="2" s="1"/>
  <c r="AD21" i="2"/>
  <c r="BP21" i="2" s="1"/>
  <c r="AF32" i="2"/>
  <c r="AD26" i="2"/>
  <c r="BP26" i="2" s="1"/>
  <c r="AD31" i="2"/>
  <c r="BP31" i="2" s="1"/>
  <c r="AD23" i="2"/>
  <c r="BP23" i="2" s="1"/>
  <c r="AO6" i="2"/>
  <c r="AD14" i="2"/>
  <c r="BP14" i="2" s="1"/>
  <c r="AD19" i="2"/>
  <c r="BP19" i="2" s="1"/>
  <c r="AD33" i="2"/>
  <c r="BP33" i="2" s="1"/>
  <c r="AH32" i="2"/>
  <c r="AD11" i="2"/>
  <c r="BP11" i="2" s="1"/>
  <c r="AD20" i="2"/>
  <c r="BP20" i="2" s="1"/>
  <c r="AD25" i="2"/>
  <c r="BP25" i="2" s="1"/>
  <c r="AD4" i="2"/>
  <c r="BP4" i="2" s="1"/>
  <c r="AD7" i="2"/>
  <c r="BP7" i="2" s="1"/>
  <c r="AD18" i="2"/>
  <c r="BP18" i="2" s="1"/>
  <c r="AD15" i="2"/>
  <c r="BP15" i="2" s="1"/>
  <c r="AD2" i="2"/>
  <c r="BP2" i="2" s="1"/>
  <c r="AD3" i="2"/>
  <c r="BP3" i="2" s="1"/>
  <c r="AD13" i="2"/>
  <c r="BP13" i="2" s="1"/>
  <c r="AD27" i="2"/>
  <c r="BP27" i="2" s="1"/>
  <c r="AD22" i="2"/>
  <c r="BP22" i="2" s="1"/>
  <c r="AD29" i="2"/>
  <c r="BP29" i="2" s="1"/>
  <c r="AD16" i="2"/>
  <c r="BP16" i="2" s="1"/>
  <c r="AD10" i="2"/>
  <c r="BP10" i="2" s="1"/>
  <c r="AD6" i="2"/>
  <c r="BP6" i="2" s="1"/>
  <c r="AD30" i="2"/>
  <c r="BP30" i="2" s="1"/>
  <c r="AJ32" i="2"/>
  <c r="AP30" i="2"/>
  <c r="AH30" i="2"/>
  <c r="AJ19" i="2"/>
  <c r="AO27" i="2"/>
  <c r="AJ27" i="2"/>
  <c r="AW27" i="2" s="1"/>
  <c r="AD12" i="2"/>
  <c r="BP12" i="2" s="1"/>
  <c r="AO16" i="2"/>
  <c r="AJ16" i="2"/>
  <c r="AJ5" i="2"/>
  <c r="AD5" i="2"/>
  <c r="BP5" i="2" s="1"/>
  <c r="AJ6" i="2"/>
  <c r="AD28" i="2"/>
  <c r="BP28" i="2" s="1"/>
  <c r="AH22" i="2"/>
  <c r="AK22" i="2" s="1"/>
  <c r="BI14" i="2"/>
  <c r="BY10" i="2"/>
  <c r="BY13" i="2"/>
  <c r="BJ8" i="2"/>
  <c r="BI8" i="2"/>
  <c r="BI29" i="2"/>
  <c r="K29" i="2"/>
  <c r="BI4" i="2"/>
  <c r="K4" i="2"/>
  <c r="BJ12" i="2"/>
  <c r="K12" i="2"/>
  <c r="BJ33" i="2"/>
  <c r="K33" i="2"/>
  <c r="BJ13" i="2"/>
  <c r="K13" i="2"/>
  <c r="BI28" i="2"/>
  <c r="K28" i="2"/>
  <c r="BI22" i="2"/>
  <c r="K22" i="2"/>
  <c r="BI11" i="2"/>
  <c r="K11" i="2"/>
  <c r="BI10" i="2"/>
  <c r="K10" i="2"/>
  <c r="BJ10" i="2"/>
  <c r="BI21" i="2"/>
  <c r="K21" i="2"/>
  <c r="BJ23" i="2"/>
  <c r="K23" i="2"/>
  <c r="BI3" i="2"/>
  <c r="K3" i="2"/>
  <c r="BJ17" i="2"/>
  <c r="K17" i="2"/>
  <c r="BI31" i="2"/>
  <c r="K31" i="2"/>
  <c r="BJ24" i="2"/>
  <c r="K24" i="2"/>
  <c r="BJ19" i="2"/>
  <c r="K19" i="2"/>
  <c r="BJ15" i="2"/>
  <c r="K15" i="2"/>
  <c r="BJ20" i="2"/>
  <c r="K20" i="2"/>
  <c r="BJ5" i="2"/>
  <c r="K5" i="2"/>
  <c r="BI7" i="2"/>
  <c r="K7" i="2"/>
  <c r="BJ27" i="2"/>
  <c r="K27" i="2"/>
  <c r="BJ6" i="2"/>
  <c r="K6" i="2"/>
  <c r="BJ30" i="2"/>
  <c r="K30" i="2"/>
  <c r="BI26" i="2"/>
  <c r="K26" i="2"/>
  <c r="BJ32" i="2"/>
  <c r="K32" i="2"/>
  <c r="BJ16" i="2"/>
  <c r="K16" i="2"/>
  <c r="BI25" i="2"/>
  <c r="K25" i="2"/>
  <c r="BJ2" i="2"/>
  <c r="K2" i="2"/>
  <c r="BI2" i="2"/>
  <c r="BY21" i="2"/>
  <c r="BY15" i="2"/>
  <c r="BY6" i="2"/>
  <c r="BI15" i="2"/>
  <c r="BY27" i="2"/>
  <c r="AP3" i="2"/>
  <c r="BY26" i="2"/>
  <c r="BY22" i="2"/>
  <c r="BY3" i="2"/>
  <c r="AP25" i="2"/>
  <c r="AO25" i="2"/>
  <c r="BY23" i="2"/>
  <c r="AP5" i="2"/>
  <c r="BY33" i="2"/>
  <c r="BJ25" i="2"/>
  <c r="AP18" i="2"/>
  <c r="BY12" i="2"/>
  <c r="AO31" i="2"/>
  <c r="AO18" i="2"/>
  <c r="BY29" i="2"/>
  <c r="AP27" i="2"/>
  <c r="BY18" i="2"/>
  <c r="BY31" i="2"/>
  <c r="BY19" i="2"/>
  <c r="AP16" i="2"/>
  <c r="BY16" i="2"/>
  <c r="BY7" i="2"/>
  <c r="BY8" i="2"/>
  <c r="BY20" i="2"/>
  <c r="BY11" i="2"/>
  <c r="BY25" i="2"/>
  <c r="BY14" i="2"/>
  <c r="BY30" i="2"/>
  <c r="BI19" i="2"/>
  <c r="BY24" i="2"/>
  <c r="AO29" i="2"/>
  <c r="AQ29" i="2" s="1"/>
  <c r="AP19" i="2"/>
  <c r="AO32" i="2"/>
  <c r="AP17" i="2"/>
  <c r="AO17" i="2"/>
  <c r="AO10" i="2"/>
  <c r="BY5" i="2"/>
  <c r="AP29" i="2"/>
  <c r="BY28" i="2"/>
  <c r="AP31" i="2"/>
  <c r="AO22" i="2"/>
  <c r="AO3" i="2"/>
  <c r="AO30" i="2"/>
  <c r="AP33" i="2"/>
  <c r="AP9" i="2"/>
  <c r="AP6" i="2"/>
  <c r="AP10" i="2"/>
  <c r="BJ11" i="2"/>
  <c r="BJ28" i="2"/>
  <c r="BY2" i="2"/>
  <c r="BJ7" i="2"/>
  <c r="AO33" i="2"/>
  <c r="BY4" i="2"/>
  <c r="BY17" i="2"/>
  <c r="BI6" i="2"/>
  <c r="BI24" i="2"/>
  <c r="BI32" i="2"/>
  <c r="BI17" i="2"/>
  <c r="BJ4" i="2"/>
  <c r="BJ29" i="2"/>
  <c r="BY32" i="2"/>
  <c r="BI27" i="2"/>
  <c r="AO9" i="2"/>
  <c r="D2" i="9" s="1"/>
  <c r="U7" i="9" s="1"/>
  <c r="BI13" i="2"/>
  <c r="BJ31" i="2"/>
  <c r="BJ22" i="2"/>
  <c r="BI16" i="2"/>
  <c r="BI23" i="2"/>
  <c r="BI33" i="2"/>
  <c r="BJ21" i="2"/>
  <c r="BJ26" i="2"/>
  <c r="BJ3" i="2"/>
  <c r="BI5" i="2"/>
  <c r="BI12" i="2"/>
  <c r="BI30" i="2"/>
  <c r="BP61" i="4"/>
  <c r="BQ61" i="4" s="1"/>
  <c r="BE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K16" i="2" l="1"/>
  <c r="AW8" i="2"/>
  <c r="AK12" i="2"/>
  <c r="AK33" i="2"/>
  <c r="AL20" i="2"/>
  <c r="AM20" i="2" s="1"/>
  <c r="AW30" i="2"/>
  <c r="AK20" i="2"/>
  <c r="AW10" i="2"/>
  <c r="AK10" i="2"/>
  <c r="AW15" i="2"/>
  <c r="AK15" i="2"/>
  <c r="AM15" i="2"/>
  <c r="AN15" i="2"/>
  <c r="AM26" i="2"/>
  <c r="AN26" i="2"/>
  <c r="AM10" i="2"/>
  <c r="AN10" i="2"/>
  <c r="AM2" i="2"/>
  <c r="AN2" i="2"/>
  <c r="AM9" i="2"/>
  <c r="AN9" i="2"/>
  <c r="AB18" i="2"/>
  <c r="AB8" i="2"/>
  <c r="AB13" i="2"/>
  <c r="AB29" i="2"/>
  <c r="AB24" i="2"/>
  <c r="AB28" i="2"/>
  <c r="AB20" i="2"/>
  <c r="AB32" i="2"/>
  <c r="AB10" i="2"/>
  <c r="AB33" i="2"/>
  <c r="AB25" i="2"/>
  <c r="AB27" i="2"/>
  <c r="AB12" i="2"/>
  <c r="AB11" i="2"/>
  <c r="AB7" i="2"/>
  <c r="AB30" i="2"/>
  <c r="AB31" i="2"/>
  <c r="AB3" i="2"/>
  <c r="AB19" i="2"/>
  <c r="AB21" i="2"/>
  <c r="AB5" i="2"/>
  <c r="AB4" i="2"/>
  <c r="AB26" i="2"/>
  <c r="AB17" i="2"/>
  <c r="AB2" i="2"/>
  <c r="AB15" i="2"/>
  <c r="AB23" i="2"/>
  <c r="AB14" i="2"/>
  <c r="AB16" i="2"/>
  <c r="AB6" i="2"/>
  <c r="AB22" i="2"/>
  <c r="CW11" i="2"/>
  <c r="AL7" i="2"/>
  <c r="AL29" i="2"/>
  <c r="AL14" i="2"/>
  <c r="AL32" i="2"/>
  <c r="AL13" i="2"/>
  <c r="AL19" i="2"/>
  <c r="AL31" i="2"/>
  <c r="AL5" i="2"/>
  <c r="AL18" i="2"/>
  <c r="AL24" i="2"/>
  <c r="AL6" i="2"/>
  <c r="AL3" i="2"/>
  <c r="AL33" i="2"/>
  <c r="AL11" i="2"/>
  <c r="AL30" i="2"/>
  <c r="AL25" i="2"/>
  <c r="AL16" i="2"/>
  <c r="AL21" i="2"/>
  <c r="AL23" i="2"/>
  <c r="AL4" i="2"/>
  <c r="AL17" i="2"/>
  <c r="AL8" i="2"/>
  <c r="AL22" i="2"/>
  <c r="AL12" i="2"/>
  <c r="AL27" i="2"/>
  <c r="AL28" i="2"/>
  <c r="BO36" i="2"/>
  <c r="BN35" i="2"/>
  <c r="BO35" i="2"/>
  <c r="BR21" i="2"/>
  <c r="BS21" i="2" s="1"/>
  <c r="BR5" i="2"/>
  <c r="BS5" i="2" s="1"/>
  <c r="BR4" i="2"/>
  <c r="BS4" i="2" s="1"/>
  <c r="BR32" i="2"/>
  <c r="BS32" i="2" s="1"/>
  <c r="BR31" i="2"/>
  <c r="BS31" i="2" s="1"/>
  <c r="BN37" i="2"/>
  <c r="BR20" i="2"/>
  <c r="BS20" i="2" s="1"/>
  <c r="BR23" i="2"/>
  <c r="BS23" i="2" s="1"/>
  <c r="BR14" i="2"/>
  <c r="BS14" i="2" s="1"/>
  <c r="BR12" i="2"/>
  <c r="BS12" i="2" s="1"/>
  <c r="BR29" i="2"/>
  <c r="BS29" i="2" s="1"/>
  <c r="BN36" i="2"/>
  <c r="BR27" i="2"/>
  <c r="BS27" i="2" s="1"/>
  <c r="BR18" i="2"/>
  <c r="BS18" i="2" s="1"/>
  <c r="BR8" i="2"/>
  <c r="BS8" i="2" s="1"/>
  <c r="BR3" i="2"/>
  <c r="BS3" i="2" s="1"/>
  <c r="BR10" i="2"/>
  <c r="BS10" i="2" s="1"/>
  <c r="BR17" i="2"/>
  <c r="BS17" i="2" s="1"/>
  <c r="BR24" i="2"/>
  <c r="BS24" i="2" s="1"/>
  <c r="BR28" i="2"/>
  <c r="BS28" i="2" s="1"/>
  <c r="BR2" i="2"/>
  <c r="BR11" i="2"/>
  <c r="BS11" i="2" s="1"/>
  <c r="BO37" i="2"/>
  <c r="BR26" i="2"/>
  <c r="BS26" i="2" s="1"/>
  <c r="BR33" i="2"/>
  <c r="BS33" i="2" s="1"/>
  <c r="BR25" i="2"/>
  <c r="BS25" i="2" s="1"/>
  <c r="BR22" i="2"/>
  <c r="BS22" i="2" s="1"/>
  <c r="BR19" i="2"/>
  <c r="BS19" i="2" s="1"/>
  <c r="BR16" i="2"/>
  <c r="BS16" i="2" s="1"/>
  <c r="BR13" i="2"/>
  <c r="BS13" i="2" s="1"/>
  <c r="BR7" i="2"/>
  <c r="BS7" i="2" s="1"/>
  <c r="BR30" i="2"/>
  <c r="BS30" i="2" s="1"/>
  <c r="BR6" i="2"/>
  <c r="BS6" i="2" s="1"/>
  <c r="BR15" i="2"/>
  <c r="BS15" i="2" s="1"/>
  <c r="BL35" i="2"/>
  <c r="BL36" i="2"/>
  <c r="BL37" i="2"/>
  <c r="BM35" i="2"/>
  <c r="BM36" i="2"/>
  <c r="BM37" i="2"/>
  <c r="CK7" i="2"/>
  <c r="CL7" i="2" s="1"/>
  <c r="CK30" i="2"/>
  <c r="CL30" i="2" s="1"/>
  <c r="CK14" i="2"/>
  <c r="CL14" i="2" s="1"/>
  <c r="CK26" i="2"/>
  <c r="CL26" i="2" s="1"/>
  <c r="CK12" i="2"/>
  <c r="CL12" i="2" s="1"/>
  <c r="CK10" i="2"/>
  <c r="CL10" i="2" s="1"/>
  <c r="CK31" i="2"/>
  <c r="CL31" i="2" s="1"/>
  <c r="CK2" i="2"/>
  <c r="CL2" i="2" s="1"/>
  <c r="BV37" i="2"/>
  <c r="BZ9" i="2"/>
  <c r="BZ37" i="2" s="1"/>
  <c r="CK23" i="2"/>
  <c r="CL23" i="2" s="1"/>
  <c r="CK27" i="2"/>
  <c r="CL27" i="2" s="1"/>
  <c r="CK33" i="2"/>
  <c r="CL33" i="2" s="1"/>
  <c r="CK20" i="2"/>
  <c r="CL20" i="2" s="1"/>
  <c r="CK28" i="2"/>
  <c r="CL28" i="2" s="1"/>
  <c r="CK15" i="2"/>
  <c r="CL15" i="2" s="1"/>
  <c r="CK8" i="2"/>
  <c r="CL8" i="2" s="1"/>
  <c r="CK18" i="2"/>
  <c r="CL18" i="2" s="1"/>
  <c r="CK25" i="2"/>
  <c r="CL25" i="2" s="1"/>
  <c r="CK9" i="2"/>
  <c r="CL9" i="2" s="1"/>
  <c r="CK21" i="2"/>
  <c r="CL21" i="2" s="1"/>
  <c r="CK11" i="2"/>
  <c r="CL11" i="2" s="1"/>
  <c r="CK5" i="2"/>
  <c r="CL5" i="2" s="1"/>
  <c r="CK17" i="2"/>
  <c r="CL17" i="2" s="1"/>
  <c r="CK24" i="2"/>
  <c r="CL24" i="2" s="1"/>
  <c r="CK6" i="2"/>
  <c r="CL6" i="2" s="1"/>
  <c r="CK16" i="2"/>
  <c r="CL16" i="2" s="1"/>
  <c r="CK32" i="2"/>
  <c r="CL32" i="2" s="1"/>
  <c r="CK3" i="2"/>
  <c r="CL3" i="2" s="1"/>
  <c r="CK19" i="2"/>
  <c r="CL19" i="2" s="1"/>
  <c r="CK13" i="2"/>
  <c r="CL13" i="2" s="1"/>
  <c r="CK4" i="2"/>
  <c r="CL4" i="2" s="1"/>
  <c r="CK22" i="2"/>
  <c r="CL22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4" i="2"/>
  <c r="AK7" i="2"/>
  <c r="AK13" i="2"/>
  <c r="AK19" i="2"/>
  <c r="AK29" i="2"/>
  <c r="AK5" i="2"/>
  <c r="AK3" i="2"/>
  <c r="AK18" i="2"/>
  <c r="AK6" i="2"/>
  <c r="AK14" i="2"/>
  <c r="AK31" i="2"/>
  <c r="AK32" i="2"/>
  <c r="AK8" i="2"/>
  <c r="AK27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5" i="2"/>
  <c r="AV5" i="2" s="1"/>
  <c r="AR21" i="2"/>
  <c r="AV21" i="2" s="1"/>
  <c r="AQ4" i="2"/>
  <c r="AQ22" i="2"/>
  <c r="AR13" i="2"/>
  <c r="AV13" i="2" s="1"/>
  <c r="AQ11" i="2"/>
  <c r="AR20" i="2"/>
  <c r="AV20" i="2" s="1"/>
  <c r="AR29" i="2"/>
  <c r="AV29" i="2" s="1"/>
  <c r="AQ25" i="2"/>
  <c r="AQ16" i="2"/>
  <c r="AQ21" i="2"/>
  <c r="AR7" i="2"/>
  <c r="AV7" i="2" s="1"/>
  <c r="AQ6" i="2"/>
  <c r="AR4" i="2"/>
  <c r="AV4" i="2" s="1"/>
  <c r="AR31" i="2"/>
  <c r="AV31" i="2" s="1"/>
  <c r="AR25" i="2"/>
  <c r="AV25" i="2" s="1"/>
  <c r="AQ5" i="2"/>
  <c r="AR24" i="2"/>
  <c r="AV24" i="2" s="1"/>
  <c r="AR28" i="2"/>
  <c r="AQ33" i="2"/>
  <c r="AQ10" i="2"/>
  <c r="AR16" i="2"/>
  <c r="AV16" i="2" s="1"/>
  <c r="AR14" i="2"/>
  <c r="AV14" i="2" s="1"/>
  <c r="AQ2" i="2"/>
  <c r="AQ24" i="2"/>
  <c r="AQ26" i="2"/>
  <c r="AQ23" i="2"/>
  <c r="AQ8" i="2"/>
  <c r="AQ12" i="2"/>
  <c r="AQ27" i="2"/>
  <c r="AQ7" i="2"/>
  <c r="AQ14" i="2"/>
  <c r="AR15" i="2"/>
  <c r="AV15" i="2" s="1"/>
  <c r="AR32" i="2"/>
  <c r="AV32" i="2" s="1"/>
  <c r="AR19" i="2"/>
  <c r="AV19" i="2" s="1"/>
  <c r="AR27" i="2"/>
  <c r="AV27" i="2" s="1"/>
  <c r="AR30" i="2"/>
  <c r="AV30" i="2" s="1"/>
  <c r="AR22" i="2"/>
  <c r="AV22" i="2" s="1"/>
  <c r="AQ32" i="2"/>
  <c r="AQ19" i="2"/>
  <c r="AR6" i="2"/>
  <c r="AV6" i="2" s="1"/>
  <c r="AQ13" i="2"/>
  <c r="AQ15" i="2"/>
  <c r="AR2" i="2"/>
  <c r="AV2" i="2" s="1"/>
  <c r="AR8" i="2"/>
  <c r="AV8" i="2" s="1"/>
  <c r="AR26" i="2"/>
  <c r="AV26" i="2" s="1"/>
  <c r="AQ17" i="2"/>
  <c r="AR17" i="2"/>
  <c r="AV17" i="2" s="1"/>
  <c r="AR3" i="2"/>
  <c r="AV3" i="2" s="1"/>
  <c r="AR10" i="2"/>
  <c r="AV10" i="2" s="1"/>
  <c r="AQ28" i="2"/>
  <c r="BQ28" i="2" s="1"/>
  <c r="AQ18" i="2"/>
  <c r="AQ31" i="2"/>
  <c r="AR33" i="2"/>
  <c r="AV33" i="2" s="1"/>
  <c r="AR23" i="2"/>
  <c r="AV23" i="2" s="1"/>
  <c r="AQ30" i="2"/>
  <c r="AR18" i="2"/>
  <c r="AV18" i="2" s="1"/>
  <c r="AQ3" i="2"/>
  <c r="AR12" i="2"/>
  <c r="AV12" i="2" s="1"/>
  <c r="AR11" i="2"/>
  <c r="AV11" i="2" s="1"/>
  <c r="AQ20" i="2"/>
  <c r="AW28" i="2"/>
  <c r="AR9" i="2"/>
  <c r="AW33" i="2"/>
  <c r="AW11" i="2"/>
  <c r="AW4" i="2"/>
  <c r="AW19" i="2"/>
  <c r="AW23" i="2"/>
  <c r="AW14" i="2"/>
  <c r="AW25" i="2"/>
  <c r="AT22" i="2"/>
  <c r="AS14" i="2"/>
  <c r="AW22" i="2"/>
  <c r="AW13" i="2"/>
  <c r="AW7" i="2"/>
  <c r="AW24" i="2"/>
  <c r="AW31" i="2"/>
  <c r="AW3" i="2"/>
  <c r="AW32" i="2"/>
  <c r="AW18" i="2"/>
  <c r="AW12" i="2"/>
  <c r="AW6" i="2"/>
  <c r="AW21" i="2"/>
  <c r="AW5" i="2"/>
  <c r="AW16" i="2"/>
  <c r="AW17" i="2"/>
  <c r="AW29" i="2"/>
  <c r="CR18" i="2"/>
  <c r="CZ6" i="2"/>
  <c r="CY4" i="2"/>
  <c r="DA4" i="2" s="1"/>
  <c r="AS8" i="2"/>
  <c r="BP67" i="5"/>
  <c r="AT18" i="2"/>
  <c r="AT14" i="2"/>
  <c r="BK9" i="2"/>
  <c r="BK36" i="2" s="1"/>
  <c r="AT8" i="2"/>
  <c r="K9" i="2"/>
  <c r="E9" i="2"/>
  <c r="E35" i="2" s="1"/>
  <c r="AT30" i="2"/>
  <c r="AD9" i="2"/>
  <c r="AS18" i="2"/>
  <c r="AQ9" i="2"/>
  <c r="AT17" i="2"/>
  <c r="AT33" i="2"/>
  <c r="AT29" i="2"/>
  <c r="AS13" i="2"/>
  <c r="AT13" i="2"/>
  <c r="AS2" i="2"/>
  <c r="AT2" i="2"/>
  <c r="AS6" i="2"/>
  <c r="AT6" i="2"/>
  <c r="AS19" i="2"/>
  <c r="AT19" i="2"/>
  <c r="AS21" i="2"/>
  <c r="AT21" i="2"/>
  <c r="AS26" i="2"/>
  <c r="AT26" i="2"/>
  <c r="AS20" i="2"/>
  <c r="AT20" i="2"/>
  <c r="AT3" i="2"/>
  <c r="AT10" i="2"/>
  <c r="AS28" i="2"/>
  <c r="AT28" i="2"/>
  <c r="AS12" i="2"/>
  <c r="AT12" i="2"/>
  <c r="AS11" i="2"/>
  <c r="AT11" i="2"/>
  <c r="AS4" i="2"/>
  <c r="AT4" i="2"/>
  <c r="AT32" i="2"/>
  <c r="AS5" i="2"/>
  <c r="AT5" i="2"/>
  <c r="AT25" i="2"/>
  <c r="AS27" i="2"/>
  <c r="AT27" i="2"/>
  <c r="AS24" i="2"/>
  <c r="AT24" i="2"/>
  <c r="AS16" i="2"/>
  <c r="AT16" i="2"/>
  <c r="AS7" i="2"/>
  <c r="AT7" i="2"/>
  <c r="AS15" i="2"/>
  <c r="AT15" i="2"/>
  <c r="AT31" i="2"/>
  <c r="AS23" i="2"/>
  <c r="AT23" i="2"/>
  <c r="AS33" i="2"/>
  <c r="AS29" i="2"/>
  <c r="AS25" i="2"/>
  <c r="AS3" i="2"/>
  <c r="AS10" i="2"/>
  <c r="AS22" i="2"/>
  <c r="AS30" i="2"/>
  <c r="AS31" i="2"/>
  <c r="AS32" i="2"/>
  <c r="AS17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N20" i="2" l="1"/>
  <c r="AM4" i="2"/>
  <c r="AN4" i="2"/>
  <c r="AM32" i="2"/>
  <c r="AN32" i="2"/>
  <c r="AM21" i="2"/>
  <c r="AN21" i="2"/>
  <c r="AM29" i="2"/>
  <c r="AN29" i="2"/>
  <c r="AM16" i="2"/>
  <c r="AN16" i="2"/>
  <c r="AM7" i="2"/>
  <c r="AN7" i="2"/>
  <c r="AM25" i="2"/>
  <c r="AN25" i="2"/>
  <c r="AM14" i="2"/>
  <c r="AN14" i="2"/>
  <c r="AM30" i="2"/>
  <c r="AN30" i="2"/>
  <c r="AM11" i="2"/>
  <c r="AN11" i="2"/>
  <c r="AM33" i="2"/>
  <c r="AN33" i="2"/>
  <c r="AM3" i="2"/>
  <c r="AN3" i="2"/>
  <c r="AM6" i="2"/>
  <c r="AN6" i="2"/>
  <c r="AM23" i="2"/>
  <c r="AN23" i="2"/>
  <c r="AM28" i="2"/>
  <c r="AN28" i="2"/>
  <c r="AM24" i="2"/>
  <c r="AN24" i="2"/>
  <c r="AM27" i="2"/>
  <c r="AN27" i="2"/>
  <c r="AM18" i="2"/>
  <c r="AN18" i="2"/>
  <c r="AM12" i="2"/>
  <c r="AN12" i="2"/>
  <c r="AM5" i="2"/>
  <c r="AN5" i="2"/>
  <c r="AM22" i="2"/>
  <c r="AN22" i="2"/>
  <c r="AM31" i="2"/>
  <c r="AN31" i="2"/>
  <c r="AM8" i="2"/>
  <c r="AN8" i="2"/>
  <c r="AM19" i="2"/>
  <c r="AN19" i="2"/>
  <c r="AM17" i="2"/>
  <c r="AN17" i="2"/>
  <c r="AM13" i="2"/>
  <c r="AN13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17" i="2"/>
  <c r="BQ17" i="2"/>
  <c r="AU14" i="2"/>
  <c r="BQ14" i="2"/>
  <c r="AU20" i="2"/>
  <c r="BQ20" i="2"/>
  <c r="AU27" i="2"/>
  <c r="BQ27" i="2"/>
  <c r="AU15" i="2"/>
  <c r="BQ15" i="2"/>
  <c r="AU8" i="2"/>
  <c r="BQ8" i="2"/>
  <c r="AU3" i="2"/>
  <c r="BQ3" i="2"/>
  <c r="AU13" i="2"/>
  <c r="BQ13" i="2"/>
  <c r="AU23" i="2"/>
  <c r="BQ23" i="2"/>
  <c r="AU21" i="2"/>
  <c r="BQ21" i="2"/>
  <c r="AU26" i="2"/>
  <c r="BQ26" i="2"/>
  <c r="AU16" i="2"/>
  <c r="BQ16" i="2"/>
  <c r="AU30" i="2"/>
  <c r="BQ30" i="2"/>
  <c r="AU19" i="2"/>
  <c r="BQ19" i="2"/>
  <c r="AU24" i="2"/>
  <c r="BQ24" i="2"/>
  <c r="AU25" i="2"/>
  <c r="BQ25" i="2"/>
  <c r="AU29" i="2"/>
  <c r="BQ29" i="2"/>
  <c r="AU2" i="2"/>
  <c r="BQ2" i="2"/>
  <c r="AU32" i="2"/>
  <c r="BQ32" i="2"/>
  <c r="AU6" i="2"/>
  <c r="BQ6" i="2"/>
  <c r="AU31" i="2"/>
  <c r="BQ31" i="2"/>
  <c r="AU11" i="2"/>
  <c r="BQ11" i="2"/>
  <c r="AU18" i="2"/>
  <c r="BQ18" i="2"/>
  <c r="AU10" i="2"/>
  <c r="BQ10" i="2"/>
  <c r="AU33" i="2"/>
  <c r="BQ33" i="2"/>
  <c r="AU22" i="2"/>
  <c r="BQ22" i="2"/>
  <c r="AU12" i="2"/>
  <c r="BQ12" i="2"/>
  <c r="AU4" i="2"/>
  <c r="BQ4" i="2"/>
  <c r="AU7" i="2"/>
  <c r="BQ7" i="2"/>
  <c r="AU5" i="2"/>
  <c r="BQ5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8" i="2"/>
  <c r="AR35" i="2"/>
  <c r="AR37" i="2"/>
  <c r="AR36" i="2"/>
  <c r="AU28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<sst xmlns="http://schemas.openxmlformats.org/spreadsheetml/2006/main" count="6253" uniqueCount="767">
  <si>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</si>
  <si>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</si>
  <si>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</si>
  <si>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</si>
  <si>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</si>
  <si>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</si>
  <si>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</si>
  <si>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</si>
  <si>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</si>
  <si>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</si>
  <si>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</si>
  <si>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</si>
  <si>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</si>
  <si>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</si>
  <si>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</si>
  <si>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</si>
  <si>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</si>
  <si>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</si>
  <si>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</si>
  <si>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</si>
  <si>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</si>
  <si>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</si>
  <si>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</si>
  <si>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</si>
  <si>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</si>
  <si>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</si>
  <si>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</si>
  <si>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</si>
  <si>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</si>
  <si>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</si>
  <si>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</si>
  <si>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</si>
  <si>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</si>
  <si>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</si>
  <si>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</si>
  <si>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</si>
  <si>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</si>
  <si>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</si>
  <si>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</si>
  <si>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</si>
  <si>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</si>
  <si>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</si>
  <si>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</si>
  <si>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</si>
  <si>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</si>
  <si>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</si>
  <si>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</si>
  <si>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</si>
  <si>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</si>
  <si>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</si>
  <si>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</si>
  <si>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</si>
  <si>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</si>
  <si>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</si>
  <si>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</si>
  <si>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</si>
  <si>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</si>
  <si>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</si>
  <si>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</si>
  <si>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</si>
  <si>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</si>
  <si>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</si>
  <si>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</si>
  <si>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</si>
  <si>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</si>
  <si>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</si>
  <si>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</si>
  <si>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</si>
  <si>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</si>
  <si>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</si>
  <si>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</si>
  <si>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</si>
  <si>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</si>
  <si>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</si>
  <si>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</si>
  <si>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</si>
  <si>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</si>
  <si>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</si>
  <si>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</si>
  <si>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</si>
  <si>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</si>
  <si>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</si>
  <si>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</si>
  <si>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</si>
  <si>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</si>
  <si>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</si>
  <si>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</si>
  <si>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</si>
  <si>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</si>
  <si>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</si>
  <si>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</si>
  <si>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</si>
  <si>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</si>
  <si>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</si>
  <si>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</si>
  <si>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</si>
  <si>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</si>
  <si>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</si>
  <si>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</si>
  <si>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</si>
  <si>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</si>
  <si>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</si>
  <si>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</si>
  <si>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</si>
  <si>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</si>
  <si>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</si>
  <si>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</si>
  <si>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</si>
  <si>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</si>
  <si>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</si>
  <si>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</si>
  <si>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</si>
  <si>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</si>
  <si>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</si>
  <si>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</si>
  <si>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</si>
  <si>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</si>
  <si>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</si>
  <si>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</si>
  <si>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</si>
  <si>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</si>
  <si>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</si>
  <si>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</si>
  <si>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</si>
  <si>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</si>
  <si>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</si>
  <si>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</si>
  <si>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</si>
  <si>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</si>
  <si>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</si>
  <si>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</si>
  <si>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</si>
  <si>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</si>
  <si>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</si>
  <si>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</si>
  <si>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</si>
  <si>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</si>
  <si>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</si>
  <si>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</si>
  <si>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</si>
  <si>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</si>
  <si>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</si>
  <si>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</si>
  <si>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</si>
  <si>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</si>
  <si>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</si>
  <si>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</si>
  <si>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</si>
  <si>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</si>
  <si>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</si>
  <si>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</si>
  <si>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</si>
  <si>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</si>
  <si>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</si>
  <si>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</si>
  <si>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</si>
  <si>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</si>
  <si>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</si>
  <si>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</si>
  <si>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</si>
  <si>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</si>
  <si>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</si>
  <si>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</si>
  <si>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</si>
  <si>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</si>
  <si>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</si>
  <si>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</si>
  <si>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</si>
  <si>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</si>
  <si>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</si>
  <si>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</si>
  <si>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</si>
  <si>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</si>
  <si>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</si>
  <si>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</si>
  <si>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</si>
  <si>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</si>
  <si>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</si>
  <si>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</si>
  <si>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</si>
  <si>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</si>
  <si>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</si>
  <si>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</si>
  <si>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</si>
  <si>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</si>
  <si>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</si>
  <si>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</si>
  <si>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</si>
  <si>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</si>
  <si>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</si>
  <si>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</si>
  <si>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</si>
  <si>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</si>
  <si>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</si>
  <si>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</si>
  <si>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</si>
  <si>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</si>
  <si>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</si>
  <si>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</si>
  <si>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</si>
  <si>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</si>
  <si>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</si>
  <si>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</si>
  <si>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</si>
  <si>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</si>
  <si>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</si>
  <si>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</si>
  <si>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</si>
  <si>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</si>
  <si>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</si>
  <si>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</si>
  <si>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</si>
  <si>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</si>
  <si>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</si>
  <si>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</si>
  <si>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</si>
  <si>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</si>
  <si>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</si>
  <si>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</si>
  <si>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</si>
  <si>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</si>
  <si>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</si>
  <si>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</si>
  <si>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</si>
  <si>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</si>
  <si>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</si>
  <si>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</si>
  <si>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</si>
  <si>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</si>
  <si>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</si>
  <si>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</si>
  <si>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</si>
  <si>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</si>
  <si>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</si>
  <si>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</si>
  <si>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</si>
  <si>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</si>
  <si>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</si>
  <si>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</si>
  <si>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</si>
  <si>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</si>
  <si>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</si>
  <si>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</si>
  <si>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</si>
  <si>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</si>
  <si>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</si>
  <si>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</si>
  <si>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</si>
  <si>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</si>
  <si>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</si>
  <si>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</si>
  <si>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</si>
  <si>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</si>
  <si>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</si>
  <si>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</si>
  <si>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</si>
  <si>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</si>
  <si>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</si>
  <si>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</si>
  <si>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</si>
  <si>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</si>
  <si>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</si>
  <si>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</si>
  <si>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</si>
  <si>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</si>
  <si>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</si>
  <si>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</si>
  <si>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</si>
  <si>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</si>
  <si>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</si>
  <si>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</si>
  <si>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</si>
  <si>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</si>
  <si>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</si>
  <si>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</si>
  <si>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</si>
  <si>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</si>
  <si>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</si>
  <si>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</si>
  <si>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</si>
  <si>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</si>
  <si>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</si>
  <si>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</si>
  <si>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</si>
  <si>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</si>
  <si>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</si>
  <si>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</si>
  <si>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</si>
  <si>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</si>
  <si>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</si>
  <si>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</si>
  <si>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</si>
  <si>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</si>
  <si>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</si>
  <si>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</si>
  <si>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</si>
  <si>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</si>
  <si>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</si>
  <si>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</si>
  <si>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</si>
  <si>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</si>
  <si>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</si>
  <si>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</si>
  <si>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</si>
  <si>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</si>
  <si>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</si>
  <si>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</si>
  <si>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</si>
  <si>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</si>
  <si>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</si>
  <si>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</si>
  <si>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</si>
  <si>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</si>
  <si>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</si>
  <si>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</si>
  <si>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</si>
  <si>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</si>
  <si>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</si>
  <si>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</si>
  <si>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</si>
  <si>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</si>
  <si>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</si>
  <si>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</si>
  <si>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</si>
  <si>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</si>
  <si>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</si>
  <si>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</si>
  <si>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</si>
  <si>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</si>
  <si>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</si>
  <si>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</si>
  <si>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</si>
  <si>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</si>
  <si>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</si>
  <si>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</si>
  <si>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</si>
  <si>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</si>
  <si>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</si>
  <si>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</si>
  <si>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</si>
  <si>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</si>
  <si>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</si>
  <si>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</si>
  <si>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</si>
  <si>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</si>
  <si>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</si>
  <si>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</si>
  <si>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</si>
  <si>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</si>
  <si>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</si>
  <si>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</si>
  <si>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</si>
  <si>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</si>
  <si>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</si>
  <si>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</si>
  <si>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</si>
  <si>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</si>
  <si>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</si>
  <si>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</si>
  <si>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</si>
  <si>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</si>
  <si>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</si>
  <si>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</si>
  <si>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</si>
  <si>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</si>
  <si>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</si>
  <si>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</si>
  <si>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</si>
  <si>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</si>
  <si>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</si>
  <si>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</si>
  <si>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</si>
  <si>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</si>
  <si>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</si>
  <si>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</si>
  <si>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</si>
  <si>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</si>
  <si>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</si>
  <si>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</si>
  <si>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</si>
  <si>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</si>
  <si>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</si>
  <si>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</si>
  <si>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</si>
  <si>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</si>
  <si>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</si>
  <si>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</si>
  <si>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</si>
  <si>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</si>
  <si>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</si>
  <si>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</si>
  <si>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</si>
  <si>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</si>
  <si>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</si>
  <si>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</si>
  <si>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</si>
  <si>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</si>
  <si>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</si>
  <si>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</si>
  <si>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</si>
  <si>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</si>
  <si>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</si>
  <si>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</si>
  <si>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</si>
  <si>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</si>
  <si>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</si>
  <si>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</si>
  <si>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</si>
  <si>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</si>
  <si>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</si>
  <si>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</si>
  <si>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</si>
  <si>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</si>
  <si>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</si>
  <si>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</si>
  <si>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</si>
  <si>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</si>
  <si>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</si>
  <si>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</si>
  <si>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</si>
  <si>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</si>
  <si>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</si>
  <si>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</si>
  <si>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</si>
  <si>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</si>
  <si>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</si>
  <si>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</si>
  <si>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</si>
  <si>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</si>
  <si>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</si>
  <si>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</si>
  <si>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</si>
  <si>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</si>
  <si>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</si>
  <si>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</si>
  <si>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</si>
  <si>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</si>
  <si>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</si>
  <si>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</si>
  <si>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</si>
  <si>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</si>
  <si>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</si>
  <si>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</si>
  <si>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</si>
  <si>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</si>
  <si>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</si>
  <si>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</si>
  <si>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</si>
  <si>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</si>
  <si>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</si>
  <si>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</si>
  <si>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</si>
  <si>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</si>
  <si>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</si>
  <si>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</si>
  <si>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</si>
  <si>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</si>
  <si>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</si>
  <si>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</si>
  <si>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</si>
  <si>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</si>
  <si>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</si>
  <si>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</si>
  <si>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</si>
  <si>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</si>
  <si>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</si>
  <si>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</si>
  <si>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</si>
  <si>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</si>
  <si>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</si>
  <si>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</si>
  <si>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</si>
  <si>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</si>
  <si>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</si>
  <si>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</si>
  <si>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</si>
  <si>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</si>
  <si>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</si>
  <si>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</si>
  <si>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</si>
  <si>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</si>
  <si>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</si>
  <si>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</si>
  <si>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</si>
  <si>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</si>
  <si>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</si>
  <si>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</si>
  <si>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</si>
  <si>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</si>
  <si>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</si>
  <si>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</si>
  <si>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</si>
  <si>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</si>
  <si>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</si>
  <si>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</si>
  <si>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</si>
  <si>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</si>
  <si>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</si>
  <si>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</si>
  <si>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</si>
  <si>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</si>
  <si>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</si>
  <si>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</si>
  <si>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</si>
  <si>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</si>
  <si>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</si>
  <si>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</si>
  <si>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</si>
  <si>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</si>
  <si>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</si>
  <si>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</si>
  <si>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</si>
  <si>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</si>
  <si>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</si>
  <si>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</si>
  <si>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</si>
  <si>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</si>
  <si>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</si>
  <si>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</si>
  <si>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</si>
  <si>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</si>
  <si>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</si>
  <si>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</si>
  <si>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</si>
  <si>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</si>
  <si>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</si>
  <si>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</si>
  <si>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</si>
  <si>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</si>
  <si>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</si>
  <si>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</si>
  <si>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</si>
  <si>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</si>
  <si>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</si>
  <si>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</si>
  <si>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</si>
  <si>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</si>
  <si>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</si>
  <si>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</si>
  <si>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</si>
  <si>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</si>
  <si>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</si>
  <si>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</si>
  <si>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</si>
  <si>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</si>
  <si>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</si>
  <si>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</si>
  <si>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</si>
  <si>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</si>
  <si>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</si>
  <si>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</si>
  <si>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</si>
  <si>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</si>
  <si>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</si>
  <si>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</si>
  <si>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</si>
  <si>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</si>
  <si>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</si>
  <si>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</si>
  <si>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</si>
  <si>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</si>
  <si>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</si>
  <si>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</si>
  <si>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</si>
  <si>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</si>
  <si>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</si>
  <si>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</si>
  <si>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</si>
  <si>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</si>
  <si>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</si>
  <si>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</si>
  <si>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</si>
  <si>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</si>
  <si>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</si>
  <si>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</si>
  <si>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</si>
  <si>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</si>
  <si>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</si>
  <si>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</si>
  <si>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</si>
  <si>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</si>
  <si>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</si>
  <si>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</si>
  <si>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</si>
  <si>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</si>
  <si>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</si>
  <si>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</si>
  <si>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</si>
  <si>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</si>
  <si>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</si>
  <si>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</si>
  <si>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</si>
  <si>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</si>
  <si>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</si>
  <si>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</si>
  <si>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</si>
  <si>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</si>
  <si>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</si>
  <si>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</si>
  <si>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</si>
  <si>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</si>
  <si>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</si>
  <si>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</si>
  <si>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</si>
  <si>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</si>
  <si>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</si>
  <si>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</si>
  <si>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</si>
  <si>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</si>
  <si>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</si>
  <si>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</si>
  <si>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</si>
  <si>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</si>
  <si>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</si>
  <si>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</si>
  <si>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</si>
  <si>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</si>
  <si>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</si>
  <si>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</si>
  <si>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</si>
  <si>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</si>
  <si>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</si>
  <si>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</si>
  <si>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</si>
  <si>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</si>
  <si>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</si>
  <si>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</si>
  <si>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</si>
  <si>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</si>
  <si>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</si>
  <si>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</si>
  <si>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</si>
  <si>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</si>
  <si>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</si>
  <si>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</si>
  <si>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</si>
  <si>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</si>
  <si>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</si>
  <si>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</si>
  <si>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</si>
  <si>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</si>
  <si>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</si>
  <si>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</si>
  <si>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</si>
  <si>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</si>
  <si>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</si>
  <si>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</si>
  <si>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</si>
  <si>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</si>
  <si>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</si>
  <si>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</si>
  <si>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</si>
  <si>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</si>
  <si>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</si>
  <si>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</si>
  <si>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</si>
  <si>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</si>
  <si>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</si>
  <si>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</si>
  <si>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</si>
  <si>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</si>
  <si>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</si>
  <si>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</si>
  <si>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</si>
  <si>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</si>
  <si>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</si>
  <si>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</si>
  <si>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</si>
  <si>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</si>
  <si>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</si>
  <si>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</si>
  <si>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</si>
  <si>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</si>
  <si>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</si>
  <si>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</si>
  <si>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</si>
  <si>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</si>
  <si>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</si>
  <si>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</si>
  <si>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</si>
  <si>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</si>
  <si>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</si>
  <si>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</si>
  <si>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</si>
  <si>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</si>
  <si>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</si>
  <si>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</si>
  <si>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</si>
  <si>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</si>
  <si>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</si>
  <si>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</si>
  <si>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</si>
  <si>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</si>
  <si>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</si>
  <si>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</si>
  <si>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</si>
  <si>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</si>
  <si>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</si>
  <si>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</si>
  <si>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</si>
  <si>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</si>
  <si>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</si>
  <si>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</si>
  <si>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</si>
  <si>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</si>
  <si>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</si>
  <si>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</si>
  <si>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</si>
  <si>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</si>
  <si>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</si>
  <si>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</si>
  <si>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</si>
  <si>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</si>
  <si>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</si>
  <si>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</si>
  <si>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</si>
  <si>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</si>
  <si>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</si>
  <si>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</si>
  <si>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</si>
  <si>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</si>
  <si>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</si>
  <si>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</si>
  <si>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</si>
  <si>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</si>
  <si>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</si>
  <si>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</si>
  <si>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</si>
  <si>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</si>
  <si>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</si>
  <si>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</si>
  <si>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</si>
  <si>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</si>
  <si>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</si>
  <si>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</si>
  <si>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</si>
  <si>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</si>
  <si>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</si>
  <si>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</si>
  <si>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</si>
  <si>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</si>
  <si>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</si>
  <si>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</si>
  <si>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</si>
  <si>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</si>
  <si>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</si>
  <si>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</si>
  <si>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</si>
  <si>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</si>
  <si>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</si>
  <si>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</si>
  <si>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</si>
  <si>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</si>
  <si>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</si>
  <si>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</si>
  <si>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</si>
  <si>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</si>
  <si>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</si>
  <si>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</si>
  <si>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</si>
  <si>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</si>
  <si>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</si>
  <si>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</si>
  <si>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</si>
  <si>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</si>
  <si>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</si>
  <si>
    <t>PaySearchTeam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</si>
</sst>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14" fontId="0" fillId="0" borderId="55" xfId="0" applyNumberFormat="1" applyBorder="1" applyAlignment="1">
      <alignment horizontal="center"/>
    </xf>
    <xf numFmtId="49" fontId="0" fillId="0" borderId="55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" fontId="0" fillId="0" borderId="55" xfId="0" applyNumberFormat="1" applyBorder="1" applyAlignment="1">
      <alignment horizontal="center"/>
    </xf>
    <xf numFmtId="2" fontId="0" fillId="0" borderId="55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3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0</c:v>
                </c:pt>
                <c:pt idx="481">
                  <c:v>4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0</c:v>
                </c:pt>
                <c:pt idx="486">
                  <c:v>3</c:v>
                </c:pt>
                <c:pt idx="487">
                  <c:v>-1</c:v>
                </c:pt>
                <c:pt idx="488">
                  <c:v>-1</c:v>
                </c:pt>
                <c:pt idx="489">
                  <c:v>4</c:v>
                </c:pt>
                <c:pt idx="490">
                  <c:v>0</c:v>
                </c:pt>
                <c:pt idx="491">
                  <c:v>-2</c:v>
                </c:pt>
                <c:pt idx="492">
                  <c:v>-1</c:v>
                </c:pt>
                <c:pt idx="493">
                  <c:v>-2</c:v>
                </c:pt>
                <c:pt idx="494">
                  <c:v>1</c:v>
                </c:pt>
                <c:pt idx="495">
                  <c:v>-3</c:v>
                </c:pt>
                <c:pt idx="496">
                  <c:v>-1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0</c:v>
                </c:pt>
                <c:pt idx="501">
                  <c:v>1</c:v>
                </c:pt>
                <c:pt idx="502">
                  <c:v>0</c:v>
                </c:pt>
                <c:pt idx="503">
                  <c:v>-3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-2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1</c:v>
                </c:pt>
                <c:pt idx="512">
                  <c:v>-3</c:v>
                </c:pt>
                <c:pt idx="513">
                  <c:v>1</c:v>
                </c:pt>
                <c:pt idx="514">
                  <c:v>2</c:v>
                </c:pt>
                <c:pt idx="515">
                  <c:v>1</c:v>
                </c:pt>
                <c:pt idx="516">
                  <c:v>2</c:v>
                </c:pt>
                <c:pt idx="517">
                  <c:v>1</c:v>
                </c:pt>
                <c:pt idx="518">
                  <c:v>-1</c:v>
                </c:pt>
                <c:pt idx="519">
                  <c:v>-1</c:v>
                </c:pt>
                <c:pt idx="520">
                  <c:v>-1</c:v>
                </c:pt>
                <c:pt idx="521">
                  <c:v>0</c:v>
                </c:pt>
                <c:pt idx="522">
                  <c:v>-2</c:v>
                </c:pt>
                <c:pt idx="523">
                  <c:v>-1</c:v>
                </c:pt>
                <c:pt idx="524">
                  <c:v>2</c:v>
                </c:pt>
                <c:pt idx="525">
                  <c:v>0</c:v>
                </c:pt>
                <c:pt idx="526">
                  <c:v>-2</c:v>
                </c:pt>
                <c:pt idx="527">
                  <c:v>-1</c:v>
                </c:pt>
                <c:pt idx="528">
                  <c:v>0</c:v>
                </c:pt>
                <c:pt idx="529">
                  <c:v>-1</c:v>
                </c:pt>
                <c:pt idx="530">
                  <c:v>-2</c:v>
                </c:pt>
                <c:pt idx="531">
                  <c:v>-3</c:v>
                </c:pt>
                <c:pt idx="532">
                  <c:v>-4</c:v>
                </c:pt>
                <c:pt idx="533">
                  <c:v>-3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-2</c:v>
                </c:pt>
                <c:pt idx="481">
                  <c:v>2</c:v>
                </c:pt>
                <c:pt idx="482">
                  <c:v>1</c:v>
                </c:pt>
                <c:pt idx="483">
                  <c:v>-2</c:v>
                </c:pt>
                <c:pt idx="484">
                  <c:v>-3</c:v>
                </c:pt>
                <c:pt idx="485">
                  <c:v>0</c:v>
                </c:pt>
                <c:pt idx="486">
                  <c:v>1</c:v>
                </c:pt>
                <c:pt idx="487">
                  <c:v>2</c:v>
                </c:pt>
                <c:pt idx="488">
                  <c:v>3</c:v>
                </c:pt>
                <c:pt idx="489">
                  <c:v>-1</c:v>
                </c:pt>
                <c:pt idx="490">
                  <c:v>2</c:v>
                </c:pt>
                <c:pt idx="491">
                  <c:v>0</c:v>
                </c:pt>
                <c:pt idx="492">
                  <c:v>-1</c:v>
                </c:pt>
                <c:pt idx="493">
                  <c:v>0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2</c:v>
                </c:pt>
                <c:pt idx="498">
                  <c:v>1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-2</c:v>
                </c:pt>
                <c:pt idx="503">
                  <c:v>3</c:v>
                </c:pt>
                <c:pt idx="504">
                  <c:v>-3</c:v>
                </c:pt>
                <c:pt idx="505">
                  <c:v>-3</c:v>
                </c:pt>
                <c:pt idx="506">
                  <c:v>-1</c:v>
                </c:pt>
                <c:pt idx="507">
                  <c:v>-2</c:v>
                </c:pt>
                <c:pt idx="508">
                  <c:v>-3</c:v>
                </c:pt>
                <c:pt idx="509">
                  <c:v>1</c:v>
                </c:pt>
                <c:pt idx="510">
                  <c:v>0</c:v>
                </c:pt>
                <c:pt idx="511">
                  <c:v>3</c:v>
                </c:pt>
                <c:pt idx="512">
                  <c:v>2</c:v>
                </c:pt>
                <c:pt idx="513">
                  <c:v>-3</c:v>
                </c:pt>
                <c:pt idx="514">
                  <c:v>0</c:v>
                </c:pt>
                <c:pt idx="515">
                  <c:v>-3</c:v>
                </c:pt>
                <c:pt idx="516">
                  <c:v>0</c:v>
                </c:pt>
                <c:pt idx="517">
                  <c:v>-1</c:v>
                </c:pt>
                <c:pt idx="518">
                  <c:v>1</c:v>
                </c:pt>
                <c:pt idx="519">
                  <c:v>0</c:v>
                </c:pt>
                <c:pt idx="520">
                  <c:v>-2</c:v>
                </c:pt>
                <c:pt idx="521">
                  <c:v>-2</c:v>
                </c:pt>
                <c:pt idx="522">
                  <c:v>0</c:v>
                </c:pt>
                <c:pt idx="523">
                  <c:v>-2</c:v>
                </c:pt>
                <c:pt idx="524">
                  <c:v>1</c:v>
                </c:pt>
                <c:pt idx="525">
                  <c:v>-1</c:v>
                </c:pt>
                <c:pt idx="526">
                  <c:v>2</c:v>
                </c:pt>
                <c:pt idx="527">
                  <c:v>3</c:v>
                </c:pt>
                <c:pt idx="528">
                  <c:v>0</c:v>
                </c:pt>
                <c:pt idx="529">
                  <c:v>-3</c:v>
                </c:pt>
                <c:pt idx="530">
                  <c:v>-4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34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  <c:pt idx="529">
                  <c:v>2025-12-17</c:v>
                </c:pt>
                <c:pt idx="530">
                  <c:v>2025-12-17</c:v>
                </c:pt>
                <c:pt idx="531">
                  <c:v>2025-12-17</c:v>
                </c:pt>
                <c:pt idx="532">
                  <c:v>2025-12-17</c:v>
                </c:pt>
                <c:pt idx="533">
                  <c:v>2025-12-17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8</c:v>
                </c:pt>
                <c:pt idx="481">
                  <c:v>8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8</c:v>
                </c:pt>
                <c:pt idx="486">
                  <c:v>8</c:v>
                </c:pt>
                <c:pt idx="487">
                  <c:v>8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-1</c:v>
                </c:pt>
                <c:pt idx="494">
                  <c:v>-1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-1</c:v>
                </c:pt>
                <c:pt idx="505">
                  <c:v>-1</c:v>
                </c:pt>
                <c:pt idx="506">
                  <c:v>-1</c:v>
                </c:pt>
                <c:pt idx="507">
                  <c:v>-1</c:v>
                </c:pt>
                <c:pt idx="508">
                  <c:v>2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-6</c:v>
                </c:pt>
                <c:pt idx="520">
                  <c:v>-6</c:v>
                </c:pt>
                <c:pt idx="521">
                  <c:v>-6</c:v>
                </c:pt>
                <c:pt idx="522">
                  <c:v>-6</c:v>
                </c:pt>
                <c:pt idx="523">
                  <c:v>-6</c:v>
                </c:pt>
                <c:pt idx="524">
                  <c:v>-6</c:v>
                </c:pt>
                <c:pt idx="525">
                  <c:v>-6</c:v>
                </c:pt>
                <c:pt idx="526">
                  <c:v>-6</c:v>
                </c:pt>
                <c:pt idx="527">
                  <c:v>-6</c:v>
                </c:pt>
                <c:pt idx="528">
                  <c:v>-6</c:v>
                </c:pt>
                <c:pt idx="529">
                  <c:v>-13</c:v>
                </c:pt>
                <c:pt idx="530">
                  <c:v>-13</c:v>
                </c:pt>
                <c:pt idx="531">
                  <c:v>-13</c:v>
                </c:pt>
                <c:pt idx="532">
                  <c:v>-13</c:v>
                </c:pt>
                <c:pt idx="533">
                  <c:v>-13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34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  <c:pt idx="529">
                  <c:v>2025-12-17</c:v>
                </c:pt>
                <c:pt idx="530">
                  <c:v>2025-12-17</c:v>
                </c:pt>
                <c:pt idx="531">
                  <c:v>2025-12-17</c:v>
                </c:pt>
                <c:pt idx="532">
                  <c:v>2025-12-17</c:v>
                </c:pt>
                <c:pt idx="533">
                  <c:v>2025-12-17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4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-3</c:v>
                </c:pt>
                <c:pt idx="515">
                  <c:v>-3</c:v>
                </c:pt>
                <c:pt idx="516">
                  <c:v>-3</c:v>
                </c:pt>
                <c:pt idx="517">
                  <c:v>-3</c:v>
                </c:pt>
                <c:pt idx="518">
                  <c:v>-3</c:v>
                </c:pt>
                <c:pt idx="519">
                  <c:v>-1</c:v>
                </c:pt>
                <c:pt idx="520">
                  <c:v>-1</c:v>
                </c:pt>
                <c:pt idx="521">
                  <c:v>-1</c:v>
                </c:pt>
                <c:pt idx="522">
                  <c:v>-1</c:v>
                </c:pt>
                <c:pt idx="523">
                  <c:v>-1</c:v>
                </c:pt>
                <c:pt idx="524">
                  <c:v>-1</c:v>
                </c:pt>
                <c:pt idx="525">
                  <c:v>-1</c:v>
                </c:pt>
                <c:pt idx="526">
                  <c:v>-1</c:v>
                </c:pt>
                <c:pt idx="527">
                  <c:v>-1</c:v>
                </c:pt>
                <c:pt idx="528">
                  <c:v>-1</c:v>
                </c:pt>
                <c:pt idx="529">
                  <c:v>-13</c:v>
                </c:pt>
                <c:pt idx="530">
                  <c:v>-13</c:v>
                </c:pt>
                <c:pt idx="531">
                  <c:v>-13</c:v>
                </c:pt>
                <c:pt idx="532">
                  <c:v>-13</c:v>
                </c:pt>
                <c:pt idx="533">
                  <c:v>-13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DataRegularSeason20242025!$BU$5:$BU$15</c:f>
              <c:numCache>
                <c:formatCode>General</c:formatCode>
                <c:ptCount val="11"/>
                <c:pt idx="0">
                  <c:v>0.17803030303030304</c:v>
                </c:pt>
                <c:pt idx="1">
                  <c:v>0.38636363636363635</c:v>
                </c:pt>
                <c:pt idx="2">
                  <c:v>0.22916666666666666</c:v>
                </c:pt>
                <c:pt idx="3">
                  <c:v>0.14393939393939395</c:v>
                </c:pt>
                <c:pt idx="4">
                  <c:v>4.924242424242424E-2</c:v>
                </c:pt>
                <c:pt idx="5">
                  <c:v>7.575757575757576E-3</c:v>
                </c:pt>
                <c:pt idx="6">
                  <c:v>7.575757575757576E-3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DataRegularSeason20242025!$BW$5:$BW$15</c:f>
              <c:numCache>
                <c:formatCode>General</c:formatCode>
                <c:ptCount val="11"/>
                <c:pt idx="0">
                  <c:v>0.16856060606060605</c:v>
                </c:pt>
                <c:pt idx="1">
                  <c:v>0.35227272727272729</c:v>
                </c:pt>
                <c:pt idx="2">
                  <c:v>0.27272727272727271</c:v>
                </c:pt>
                <c:pt idx="3">
                  <c:v>0.13636363636363635</c:v>
                </c:pt>
                <c:pt idx="4">
                  <c:v>6.25E-2</c:v>
                </c:pt>
                <c:pt idx="5">
                  <c:v>5.681818181818182E-3</c:v>
                </c:pt>
                <c:pt idx="6">
                  <c:v>3.787878787878788E-3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DataRegularSeason20242025!$BY$5:$BY$15</c:f>
              <c:numCache>
                <c:formatCode>General</c:formatCode>
                <c:ptCount val="11"/>
                <c:pt idx="0">
                  <c:v>0.17329545454545456</c:v>
                </c:pt>
                <c:pt idx="1">
                  <c:v>0.36931818181818182</c:v>
                </c:pt>
                <c:pt idx="2">
                  <c:v>0.25094696969696972</c:v>
                </c:pt>
                <c:pt idx="3">
                  <c:v>0.14015151515151514</c:v>
                </c:pt>
                <c:pt idx="4">
                  <c:v>5.587121212121212E-2</c:v>
                </c:pt>
                <c:pt idx="5">
                  <c:v>6.628787878787879E-3</c:v>
                </c:pt>
                <c:pt idx="6">
                  <c:v>5.681818181818182E-3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40</c:v>
                </c:pt>
                <c:pt idx="69">
                  <c:v>40</c:v>
                </c:pt>
                <c:pt idx="70">
                  <c:v>42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51</c:v>
                </c:pt>
                <c:pt idx="69">
                  <c:v>51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55</c:v>
                </c:pt>
                <c:pt idx="74">
                  <c:v>55</c:v>
                </c:pt>
                <c:pt idx="75">
                  <c:v>55</c:v>
                </c:pt>
                <c:pt idx="76">
                  <c:v>55</c:v>
                </c:pt>
                <c:pt idx="77">
                  <c:v>55</c:v>
                </c:pt>
                <c:pt idx="78">
                  <c:v>55</c:v>
                </c:pt>
                <c:pt idx="79">
                  <c:v>55</c:v>
                </c:pt>
                <c:pt idx="80">
                  <c:v>55</c:v>
                </c:pt>
                <c:pt idx="8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34</c:v>
                </c:pt>
                <c:pt idx="71">
                  <c:v>34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43</c:v>
                </c:pt>
                <c:pt idx="72">
                  <c:v>43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33</c:v>
                </c:pt>
                <c:pt idx="69">
                  <c:v>33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31</c:v>
                </c:pt>
                <c:pt idx="71">
                  <c:v>31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142502</xdr:colOff>
      <xdr:row>95</xdr:row>
      <xdr:rowOff>13289</xdr:rowOff>
    </xdr:from>
    <xdr:to>
      <xdr:col>163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154288</xdr:colOff>
      <xdr:row>121</xdr:row>
      <xdr:rowOff>142492</xdr:rowOff>
    </xdr:from>
    <xdr:to>
      <xdr:col>163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70</xdr:col>
      <xdr:colOff>33337</xdr:colOff>
      <xdr:row>17</xdr:row>
      <xdr:rowOff>4762</xdr:rowOff>
    </xdr:from>
    <xdr:to>
      <xdr:col>80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W1314" headerRowDxfId="942" dataDxfId="940" headerRowBorderDxfId="941">
  <autoFilter ref="A2:AW1314" xr:uid="{5B054025-4CD5-437B-A2B1-4953810278F9}"/>
  <tableColumns count="49">
    <tableColumn id="1" xr3:uid="{4F0EF3E3-5ED2-413B-9486-9498BEF02C85}" name=" PredictionDate" totalsRowLabel="Total" dataDxfId="939" totalsRowDxfId="938"/>
    <tableColumn id="2" xr3:uid="{39F623AD-0A71-404E-ACB2-FF5C232C4B60}" name="GameDate" dataDxfId="937"/>
    <tableColumn id="3" xr3:uid="{F9CBDD2B-6977-478D-B9B1-48132BC29B8D}" name="GameID" dataDxfId="936" totalsRowDxfId="935"/>
    <tableColumn id="4" xr3:uid="{2B6D103E-CF04-4221-A032-6566D087A240}" name="AwayTeam" totalsRowFunction="count" dataDxfId="934" totalsRowDxfId="933"/>
    <tableColumn id="5" xr3:uid="{E9B83039-5C7E-45B4-A5F1-F54DF85D8DB5}" name="HomeTeam" totalsRowFunction="count" dataDxfId="932" totalsRowDxfId="931"/>
    <tableColumn id="6" xr3:uid="{CA60FB2E-C878-4F57-9486-8FFAB21268D1}" name="PredictedAwayScore" totalsRowFunction="count" dataDxfId="930" totalsRowDxfId="929"/>
    <tableColumn id="7" xr3:uid="{BDE84EDC-079B-4057-84F6-42C28780CF56}" name="PredictedHomeScore" totalsRowFunction="count" dataDxfId="928" totalsRowDxfId="927"/>
    <tableColumn id="8" xr3:uid="{AB1145B6-73D2-4952-891E-2532100229DC}" name="PredictedWinner" totalsRowFunction="count" dataDxfId="926" totalsRowDxfId="925"/>
    <tableColumn id="9" xr3:uid="{0FDA5C85-1339-41A1-AEB6-455F4E077F46}" name="PredictedResult" totalsRowFunction="count" dataDxfId="924" totalsRowDxfId="923"/>
    <tableColumn id="10" xr3:uid="{6C6A6DF0-F9AE-4DAF-8957-8621DF7520A2}" name="ActualAwayScore" totalsRowFunction="count" dataDxfId="922"/>
    <tableColumn id="11" xr3:uid="{B8B678E5-1823-43AE-95CC-BEE79D908CEE}" name="ActualHomeScore" totalsRowFunction="count" dataDxfId="921" totalsRowDxfId="920"/>
    <tableColumn id="12" xr3:uid="{C650F2F7-7978-49EE-8737-DCE1A6311E23}" name="ActualWinner" totalsRowFunction="count" dataDxfId="919" totalsRowDxfId="918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7" totalsRowDxfId="916"/>
    <tableColumn id="17" xr3:uid="{239B68C2-07A2-4506-9EC8-00E52DD7178A}" name="GameIsOver" totalsRowFunction="count" dataDxfId="915" totalsRowDxfId="914">
      <calculatedColumnFormula>IF(ISBLANK(Table2[[#This Row],[ActualResult]]), 0, 1)</calculatedColumnFormula>
    </tableColumn>
    <tableColumn id="14" xr3:uid="{C40BC093-C7BF-4F78-9D28-E8E87FFCAD46}" name="CorrectWinnerPrediction" totalsRowFunction="count" dataDxfId="913" totalsRowDxfId="912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11" totalsRowDxfId="910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9" totalsRowDxfId="908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7" totalsRowDxfId="906"/>
    <tableColumn id="19" xr3:uid="{665B4234-0C9B-451F-996C-0671FAEA8ED7}" name="LosingTeam" totalsRowFunction="count" dataDxfId="905" totalsRowDxfId="904">
      <calculatedColumnFormula>IF($L3="_", "_", IF($L3=$D3,$E3,$D3))</calculatedColumnFormula>
    </tableColumn>
    <tableColumn id="20" xr3:uid="{44E37CA6-669F-47CA-95D2-B831EB8B3628}" name="InterConf" totalsRowFunction="count" dataDxfId="903" totalsRowDxfId="902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901" totalsRowDxfId="900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9" totalsRowDxfId="898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7" totalsRowDxfId="896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5" totalsRowDxfId="894"/>
    <tableColumn id="25" xr3:uid="{5D6968E6-45CE-4B45-818F-1A4B201A39D4}" name="PostGameNotes" totalsRowFunction="count" dataDxfId="893" totalsRowDxfId="892"/>
    <tableColumn id="26" xr3:uid="{4CC012EB-DB6C-4853-A5B9-75650FDCD78B}" name="GameHasShutOut" dataDxfId="891" totalsRowDxfId="890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9" totalsRowDxfId="888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7" totalsRowDxfId="886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5" totalsRowDxfId="884">
      <calculatedColumnFormula>(($BG$11)*IF(Table2[[#This Row],[CorrectWinnerPrediction]]="Y", 1, 0))+(($BG$12)*IF(Table2[[#This Row],[CorrectAwayScorePrediction]]="Y", 1, 0))+(($BG$13)*IF(Table2[[#This Row],[CorrectHomeScorePrediction]]="Y", 1, 0))</calculatedColumnFormula>
    </tableColumn>
    <tableColumn id="31" xr3:uid="{4B765D38-7690-40FC-AA0D-1B437759BB0B}" name="GamePredictionScore2" dataDxfId="883" totalsRowDxfId="882">
      <calculatedColumnFormula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81" totalsRowDxfId="880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9" totalsRowDxfId="878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7" totalsRowDxfId="876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5" totalsRowDxfId="874">
      <calculatedColumnFormula>SUMIF($B$3:$B$1315, $B3, $AF$3:$AF$1315)</calculatedColumnFormula>
    </tableColumn>
    <tableColumn id="35" xr3:uid="{438B3C73-5C9F-4061-9177-ADA21EB41F1F}" name="PredictedHomeScorePlusMinusByDate" dataDxfId="873" totalsRowDxfId="872">
      <calculatedColumnFormula>SUMIF($B$3:$B$1315, $B3, $AG$3:$AG$1315)</calculatedColumnFormula>
    </tableColumn>
    <tableColumn id="36" xr3:uid="{4D822B59-35DC-4091-9231-8369AB949EE5}" name="WatchOrder" dataDxfId="871" totalsRowDxfId="870"/>
    <tableColumn id="37" xr3:uid="{B77EE501-1744-4AD0-B258-0585548DBA89}" name="WatchDate" dataDxfId="869" totalsRowDxfId="868"/>
    <tableColumn id="38" xr3:uid="{6E91C3FB-94AE-4E5D-952D-6DEEE0AE52C5}" name="AwayWon" dataDxfId="867" totalsRowDxfId="866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5" totalsRowDxfId="864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3" totalsRowDxfId="862">
      <calculatedColumnFormula>IF(IFERROR(FIND(Table2[[#This Row],[AwayTeam]], UPPER(_xlfn.TEXTJOIN(";", 1, $BE$31:$BE$40))), 0) &gt; 0, 1, 0) + IF(IFERROR(FIND(Table2[[#This Row],[HomeTeam]], UPPER(_xlfn.TEXTJOIN(";", 1, $BE$31:$BE$40))), 0) &gt; 0, 1, 0)</calculatedColumnFormula>
    </tableColumn>
    <tableColumn id="41" xr3:uid="{C0D8E96D-C185-4F49-8512-18CC8A612DB7}" name="AwayVsHomeRecord" dataDxfId="861" totalsRowDxfId="860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9" totalsRowDxfId="858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7" totalsRowDxfId="856">
      <calculatedColumnFormula>IF(Table2[[#This Row],[GameHasShutOut]], 1, 0)</calculatedColumnFormula>
    </tableColumn>
    <tableColumn id="46" xr3:uid="{BBFBDF87-36DE-484F-86A2-55ABF6AE31FC}" name="THG_80sGame" dataDxfId="855" totalsRowDxfId="854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3" totalsRowDxfId="852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51" totalsRowDxfId="850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9" totalsRowDxfId="848">
      <calculatedColumnFormula>IF(IFERROR(FIND(Table2[[#This Row],[AwayTeam]], UPPER(_xlfn.TEXTJOIN(";", 1, $BH$47:$BH$52))), 0) &gt; 0, 1, 0) + IF(IFERROR(FIND(Table2[[#This Row],[HomeTeam]], UPPER(_xlfn.TEXTJOIN(";", 1, $BE$31:$BE$40))), 0) &gt; 0, 1, 0)</calculatedColumnFormula>
    </tableColumn>
    <tableColumn id="48" xr3:uid="{BDBA9500-1B08-4C78-A627-8692B4F09A7E}" name="CanadianTeamPlays" dataDxfId="847" totalsRowDxfId="846">
      <calculatedColumnFormula>IF(IFERROR(FIND(Table2[[#This Row],[AwayTeam]], UPPER(_xlfn.TEXTJOIN(";", 1, $BI$47:$BI$53))), 0) &gt; 0, 1, 0) + IF(IFERROR(FIND(Table2[[#This Row],[HomeTeam]], UPPER(_xlfn.TEXTJOIN(";", 1, $BE$31:$BE$40))), 0) &gt; 0, 1, 0)</calculatedColumnFormula>
    </tableColumn>
    <tableColumn id="49" xr3:uid="{56CEEC66-4A93-4397-AAD5-4397FBADBA1E}" name="PaySearchTeam" dataDxfId="845" totalsRowDxfId="844">
      <calculatedColumnFormula xml:space="preserve"> (UPPER(TRIM(Table2[[#This Row],[AwayTeam]]))=UPPER(TRIM(StatsRegularSeason20242025!$CV$30))) + (UPPER(TRIM(Table2[[#This Row],[HomeTeam]]))=UPPER(TRIM(StatsRegularSeason20242025!$CV$30)))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E1316"/>
  <sheetViews>
    <sheetView tabSelected="1" topLeftCell="A516" workbookViewId="0">
      <selection activeCell="I534" sqref="I534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48" width="8.5703125" customWidth="1"/>
    <col min="49" max="49" width="16.5703125" customWidth="1"/>
    <col min="50" max="52" width="8.5703125" customWidth="1"/>
    <col min="56" max="56" width="25.140625" customWidth="1"/>
    <col min="57" max="57" width="17.5703125" bestFit="1" customWidth="1"/>
    <col min="61" max="61" width="14.28515625" customWidth="1"/>
    <col min="72" max="72" width="10.42578125" bestFit="1" customWidth="1"/>
    <col min="73" max="73" width="10.85546875" customWidth="1"/>
    <col min="74" max="74" width="11" bestFit="1" customWidth="1"/>
    <col min="75" max="76" width="11" customWidth="1"/>
  </cols>
  <sheetData>
    <row r="1" spans="1:83" ht="60.75" customHeight="1" x14ac:dyDescent="0.25">
      <c r="C1" s="2"/>
      <c r="E1" s="168" t="s">
        <v>71</v>
      </c>
      <c r="F1" s="168"/>
      <c r="G1" s="168"/>
      <c r="H1" s="168"/>
      <c r="I1" s="168" t="s">
        <v>72</v>
      </c>
      <c r="J1" s="168"/>
      <c r="K1" s="168"/>
      <c r="L1" s="168"/>
      <c r="AC1"/>
      <c r="AD1"/>
      <c r="AE1" s="5"/>
      <c r="AF1"/>
    </row>
    <row r="2" spans="1:83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AW2" s="6" t="s">
        <v>766</v>
      </c>
      <c r="BM2" s="60"/>
      <c r="BN2" s="60"/>
      <c r="BO2" s="60"/>
      <c r="BP2" s="60"/>
      <c r="BQ2" s="60"/>
    </row>
    <row r="3" spans="1:83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" s="139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" s="2">
        <f xml:space="preserve"> (UPPER(TRIM(Table2[[#This Row],[AwayTeam]]))=UPPER(TRIM(StatsRegularSeason20242025!$CV$30))) + (UPPER(TRIM(Table2[[#This Row],[HomeTeam]]))=UPPER(TRIM(StatsRegularSeason20242025!$CV$30)))</f>
        <v>0</v>
      </c>
      <c r="BI3" t="s">
        <v>126</v>
      </c>
      <c r="BJ3">
        <v>100</v>
      </c>
      <c r="BL3" s="57"/>
      <c r="BM3" s="165" t="s">
        <v>472</v>
      </c>
      <c r="BN3" s="166"/>
      <c r="BO3" s="166"/>
      <c r="BP3" s="166"/>
      <c r="BQ3" s="167"/>
      <c r="BS3" s="162" t="s">
        <v>466</v>
      </c>
      <c r="BT3" s="162"/>
      <c r="BU3" s="162"/>
      <c r="BV3" s="162"/>
      <c r="BW3" s="2"/>
      <c r="BX3" s="2"/>
    </row>
    <row r="4" spans="1:83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" s="2">
        <f xml:space="preserve"> (UPPER(TRIM(Table2[[#This Row],[AwayTeam]]))=UPPER(TRIM(StatsRegularSeason20242025!$CV$30))) + (UPPER(TRIM(Table2[[#This Row],[HomeTeam]]))=UPPER(TRIM(StatsRegularSeason20242025!$CV$30)))</f>
        <v>0</v>
      </c>
      <c r="BD4" t="s">
        <v>80</v>
      </c>
      <c r="BE4">
        <f>COUNTA($M$3:$M$1315)</f>
        <v>528</v>
      </c>
      <c r="BI4" t="s">
        <v>127</v>
      </c>
      <c r="BJ4">
        <v>50</v>
      </c>
      <c r="BL4" s="57"/>
      <c r="BM4" t="s">
        <v>118</v>
      </c>
      <c r="BN4">
        <f>COUNTIFS($O$3:$O$1315, "Y", $M$3:$M$1315, "REG")</f>
        <v>211</v>
      </c>
      <c r="BQ4" s="57"/>
      <c r="BS4" s="44" t="s">
        <v>465</v>
      </c>
      <c r="BT4" s="162" t="s">
        <v>463</v>
      </c>
      <c r="BU4" s="162"/>
      <c r="BV4" s="162" t="s">
        <v>464</v>
      </c>
      <c r="BW4" s="162"/>
      <c r="BX4" s="2" t="s">
        <v>510</v>
      </c>
      <c r="BY4" s="2" t="s">
        <v>469</v>
      </c>
      <c r="CE4" t="s">
        <v>479</v>
      </c>
    </row>
    <row r="5" spans="1:83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" s="2">
        <f xml:space="preserve"> (UPPER(TRIM(Table2[[#This Row],[AwayTeam]]))=UPPER(TRIM(StatsRegularSeason20242025!$CV$30))) + (UPPER(TRIM(Table2[[#This Row],[HomeTeam]]))=UPPER(TRIM(StatsRegularSeason20242025!$CV$30)))</f>
        <v>0</v>
      </c>
      <c r="BD5" t="s">
        <v>79</v>
      </c>
      <c r="BE5">
        <f>COUNTIF($O$3:$O$1315,"Y")</f>
        <v>282</v>
      </c>
      <c r="BI5" t="s">
        <v>128</v>
      </c>
      <c r="BJ5">
        <v>50</v>
      </c>
      <c r="BL5" s="57"/>
      <c r="BM5" t="s">
        <v>120</v>
      </c>
      <c r="BN5">
        <f>COUNTIFS($O$3:$O$1315, "N", $M$3:$M$1315, "REG")</f>
        <v>176</v>
      </c>
      <c r="BQ5" s="57"/>
      <c r="BS5" s="2">
        <v>0</v>
      </c>
      <c r="BT5" s="110" cm="1">
        <f t="array" ref="BT5">SUM(--(ABS($F$3:$F$1315 - $J$3:$J$1315) = 0)) -(((32*82)/2) - $BE$4)</f>
        <v>94</v>
      </c>
      <c r="BU5" s="111">
        <f>$BT5/$BE$4</f>
        <v>0.17803030303030304</v>
      </c>
      <c r="BV5" s="112" cm="1">
        <f t="array" ref="BV5">SUM(--(ABS($G$3:$G$1315 - $K$3:$K$1315) = 0)) -(((32*82)/2) - $BE$4)</f>
        <v>89</v>
      </c>
      <c r="BW5" s="113">
        <f>$BV5/$BE$4</f>
        <v>0.16856060606060605</v>
      </c>
      <c r="BX5" s="109">
        <f t="shared" ref="BX5:BX15" si="5">BT5+BV5</f>
        <v>183</v>
      </c>
      <c r="BY5" s="114">
        <f t="shared" ref="BY5:BY15" si="6">(BT5+BV5)/($BE$4*2)</f>
        <v>0.17329545454545456</v>
      </c>
      <c r="CE5" t="s">
        <v>480</v>
      </c>
    </row>
    <row r="6" spans="1:83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" s="2">
        <f xml:space="preserve"> (UPPER(TRIM(Table2[[#This Row],[AwayTeam]]))=UPPER(TRIM(StatsRegularSeason20242025!$CV$30))) + (UPPER(TRIM(Table2[[#This Row],[HomeTeam]]))=UPPER(TRIM(StatsRegularSeason20242025!$CV$30)))</f>
        <v>0</v>
      </c>
      <c r="BD6" t="s">
        <v>81</v>
      </c>
      <c r="BE6">
        <f>BE4-BE5</f>
        <v>246</v>
      </c>
      <c r="BI6" t="s">
        <v>156</v>
      </c>
      <c r="BJ6">
        <v>50</v>
      </c>
      <c r="BL6" s="57"/>
      <c r="BM6" t="s">
        <v>121</v>
      </c>
      <c r="BN6">
        <f>COUNTIFS($O$3:$O$1315, "Y", $M$3:$M$1315, "OT")</f>
        <v>46</v>
      </c>
      <c r="BQ6" s="57"/>
      <c r="BS6" s="2">
        <v>1</v>
      </c>
      <c r="BT6" s="110" cm="1">
        <f t="array" ref="BT6">SUM(--(ABS($F$3:$F$1315 - $J$3:$J$1315) = $BS6))</f>
        <v>204</v>
      </c>
      <c r="BU6" s="111">
        <f t="shared" ref="BU6:BU15" si="7">$BT6/$BE$4</f>
        <v>0.38636363636363635</v>
      </c>
      <c r="BV6" s="112" cm="1">
        <f t="array" ref="BV6">SUM(--(ABS($G$3:$G$1315 - $K$3:$K$1315) = $BS6))</f>
        <v>186</v>
      </c>
      <c r="BW6" s="113">
        <f t="shared" ref="BW6:BW15" si="8">$BV6/$BE$4</f>
        <v>0.35227272727272729</v>
      </c>
      <c r="BX6" s="109">
        <f t="shared" si="5"/>
        <v>390</v>
      </c>
      <c r="BY6" s="114">
        <f t="shared" si="6"/>
        <v>0.36931818181818182</v>
      </c>
      <c r="CE6" t="s">
        <v>481</v>
      </c>
    </row>
    <row r="7" spans="1:83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" s="2">
        <f xml:space="preserve"> (UPPER(TRIM(Table2[[#This Row],[AwayTeam]]))=UPPER(TRIM(StatsRegularSeason20242025!$CV$30))) + (UPPER(TRIM(Table2[[#This Row],[HomeTeam]]))=UPPER(TRIM(StatsRegularSeason20242025!$CV$30)))</f>
        <v>0</v>
      </c>
      <c r="BD7" t="s">
        <v>82</v>
      </c>
      <c r="BE7" s="10">
        <f>BE5/BE4</f>
        <v>0.53409090909090906</v>
      </c>
      <c r="BI7" t="s">
        <v>129</v>
      </c>
      <c r="BJ7">
        <v>50</v>
      </c>
      <c r="BL7" s="57"/>
      <c r="BM7" t="s">
        <v>122</v>
      </c>
      <c r="BN7">
        <f>COUNTIFS($O$3:$O$1315, "N", $M$3:$M$1315, "OT")</f>
        <v>44</v>
      </c>
      <c r="BQ7" s="57"/>
      <c r="BS7" s="2">
        <v>2</v>
      </c>
      <c r="BT7" s="110" cm="1">
        <f t="array" ref="BT7">SUM(--(ABS($F$3:$F$1315 - $J$3:$J$1315) = $BS7))</f>
        <v>121</v>
      </c>
      <c r="BU7" s="111">
        <f t="shared" si="7"/>
        <v>0.22916666666666666</v>
      </c>
      <c r="BV7" s="112" cm="1">
        <f t="array" ref="BV7">SUM(--(ABS($G$3:$G$1315 - $K$3:$K$1315) = $BS7))</f>
        <v>144</v>
      </c>
      <c r="BW7" s="113">
        <f t="shared" si="8"/>
        <v>0.27272727272727271</v>
      </c>
      <c r="BX7" s="109">
        <f t="shared" si="5"/>
        <v>265</v>
      </c>
      <c r="BY7" s="114">
        <f t="shared" si="6"/>
        <v>0.25094696969696972</v>
      </c>
      <c r="CE7" t="s">
        <v>482</v>
      </c>
    </row>
    <row r="8" spans="1:83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" s="2">
        <f xml:space="preserve"> (UPPER(TRIM(Table2[[#This Row],[AwayTeam]]))=UPPER(TRIM(StatsRegularSeason20242025!$CV$30))) + (UPPER(TRIM(Table2[[#This Row],[HomeTeam]]))=UPPER(TRIM(StatsRegularSeason20242025!$CV$30)))</f>
        <v>1</v>
      </c>
      <c r="BI8" t="s">
        <v>133</v>
      </c>
      <c r="BJ8">
        <v>55</v>
      </c>
      <c r="BL8" s="57"/>
      <c r="BM8" t="s">
        <v>123</v>
      </c>
      <c r="BN8">
        <f>COUNTIFS($O$3:$O$1315, "Y", $M$3:$M$1315, "SO")</f>
        <v>25</v>
      </c>
      <c r="BQ8" s="57"/>
      <c r="BS8" s="2">
        <v>3</v>
      </c>
      <c r="BT8" s="110" cm="1">
        <f t="array" ref="BT8">SUM(--(ABS($F$3:$F$1315 - $J$3:$J$1315) = $BS8))</f>
        <v>76</v>
      </c>
      <c r="BU8" s="111">
        <f t="shared" si="7"/>
        <v>0.14393939393939395</v>
      </c>
      <c r="BV8" s="112" cm="1">
        <f t="array" ref="BV8">SUM(--(ABS($G$3:$G$1315 - $K$3:$K$1315) = $BS8))</f>
        <v>72</v>
      </c>
      <c r="BW8" s="113">
        <f t="shared" si="8"/>
        <v>0.13636363636363635</v>
      </c>
      <c r="BX8" s="109">
        <f t="shared" si="5"/>
        <v>148</v>
      </c>
      <c r="BY8" s="114">
        <f t="shared" si="6"/>
        <v>0.14015151515151514</v>
      </c>
      <c r="CE8" t="s">
        <v>483</v>
      </c>
    </row>
    <row r="9" spans="1:83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" s="2">
        <f xml:space="preserve"> (UPPER(TRIM(Table2[[#This Row],[AwayTeam]]))=UPPER(TRIM(StatsRegularSeason20242025!$CV$30))) + (UPPER(TRIM(Table2[[#This Row],[HomeTeam]]))=UPPER(TRIM(StatsRegularSeason20242025!$CV$30)))</f>
        <v>0</v>
      </c>
      <c r="BD9" t="s">
        <v>438</v>
      </c>
      <c r="BE9" s="23">
        <f>SUMIF($N$3:$N$1315,1, $AC$3:$AC$1315)</f>
        <v>244.70000000000078</v>
      </c>
      <c r="BI9" t="s">
        <v>134</v>
      </c>
      <c r="BJ9">
        <v>40</v>
      </c>
      <c r="BL9" s="57"/>
      <c r="BM9" t="s">
        <v>124</v>
      </c>
      <c r="BN9">
        <f>COUNTIFS($O$3:$O$1315, "N", $M$3:$M$1315, "SO")</f>
        <v>26</v>
      </c>
      <c r="BQ9" s="57"/>
      <c r="BS9" s="2">
        <v>4</v>
      </c>
      <c r="BT9" s="110" cm="1">
        <f t="array" ref="BT9">SUM(--(ABS($F$3:$F$1315 - $J$3:$J$1315) = $BS9))</f>
        <v>26</v>
      </c>
      <c r="BU9" s="111">
        <f t="shared" si="7"/>
        <v>4.924242424242424E-2</v>
      </c>
      <c r="BV9" s="112" cm="1">
        <f t="array" ref="BV9">SUM(--(ABS($G$3:$G$1315 - $K$3:$K$1315) = $BS9))</f>
        <v>33</v>
      </c>
      <c r="BW9" s="113">
        <f t="shared" si="8"/>
        <v>6.25E-2</v>
      </c>
      <c r="BX9" s="109">
        <f t="shared" si="5"/>
        <v>59</v>
      </c>
      <c r="BY9" s="114">
        <f t="shared" si="6"/>
        <v>5.587121212121212E-2</v>
      </c>
      <c r="CE9" t="s">
        <v>484</v>
      </c>
    </row>
    <row r="10" spans="1:83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" s="2">
        <f xml:space="preserve"> (UPPER(TRIM(Table2[[#This Row],[AwayTeam]]))=UPPER(TRIM(StatsRegularSeason20242025!$CV$30))) + (UPPER(TRIM(Table2[[#This Row],[HomeTeam]]))=UPPER(TRIM(StatsRegularSeason20242025!$CV$30)))</f>
        <v>0</v>
      </c>
      <c r="BD10" t="s">
        <v>439</v>
      </c>
      <c r="BE10" s="23">
        <f>BE9/$BE$4</f>
        <v>0.46344696969697119</v>
      </c>
      <c r="BI10" t="s">
        <v>136</v>
      </c>
      <c r="BJ10">
        <v>75</v>
      </c>
      <c r="BL10" s="57"/>
      <c r="BQ10" s="57"/>
      <c r="BS10" s="2">
        <v>5</v>
      </c>
      <c r="BT10" s="110" cm="1">
        <f t="array" ref="BT10">SUM(--(ABS($F$3:$F$1315 - $J$3:$J$1315) = $BS10))</f>
        <v>4</v>
      </c>
      <c r="BU10" s="111">
        <f t="shared" si="7"/>
        <v>7.575757575757576E-3</v>
      </c>
      <c r="BV10" s="112" cm="1">
        <f t="array" ref="BV10">SUM(--(ABS($G$3:$G$1315 - $K$3:$K$1315) = $BS10))</f>
        <v>3</v>
      </c>
      <c r="BW10" s="113">
        <f t="shared" si="8"/>
        <v>5.681818181818182E-3</v>
      </c>
      <c r="BX10" s="109">
        <f t="shared" si="5"/>
        <v>7</v>
      </c>
      <c r="BY10" s="114">
        <f t="shared" si="6"/>
        <v>6.628787878787879E-3</v>
      </c>
    </row>
    <row r="11" spans="1:83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" s="2">
        <f xml:space="preserve"> (UPPER(TRIM(Table2[[#This Row],[AwayTeam]]))=UPPER(TRIM(StatsRegularSeason20242025!$CV$30))) + (UPPER(TRIM(Table2[[#This Row],[HomeTeam]]))=UPPER(TRIM(StatsRegularSeason20242025!$CV$30)))</f>
        <v>0</v>
      </c>
      <c r="BB11" t="s">
        <v>446</v>
      </c>
      <c r="BD11" t="s">
        <v>440</v>
      </c>
      <c r="BE11" s="23">
        <f>$BG$11*($BE$5)</f>
        <v>225.60000000000002</v>
      </c>
      <c r="BG11">
        <f>80/100</f>
        <v>0.8</v>
      </c>
      <c r="BI11" t="s">
        <v>135</v>
      </c>
      <c r="BJ11">
        <v>65</v>
      </c>
      <c r="BL11" s="57"/>
      <c r="BM11" s="169" t="str">
        <f>_xlfn.CONCAT(TEXT(BN4+BN6+BN8, "0"),"-",TEXT(BN5, "0"),"-",TEXT(BN7+BN9, "0"))</f>
        <v>282-176-70</v>
      </c>
      <c r="BN11" s="170"/>
      <c r="BO11" t="s">
        <v>528</v>
      </c>
      <c r="BQ11" s="57"/>
      <c r="BS11" s="2">
        <v>6</v>
      </c>
      <c r="BT11" s="110" cm="1">
        <f t="array" ref="BT11">SUM(--(ABS($F$3:$F$1315 - $J$3:$J$1315) = $BS11))</f>
        <v>4</v>
      </c>
      <c r="BU11" s="111">
        <f t="shared" si="7"/>
        <v>7.575757575757576E-3</v>
      </c>
      <c r="BV11" s="112" cm="1">
        <f t="array" ref="BV11">SUM(--(ABS($G$3:$G$1315 - $K$3:$K$1315) = $BS11))</f>
        <v>2</v>
      </c>
      <c r="BW11" s="113">
        <f t="shared" si="8"/>
        <v>3.787878787878788E-3</v>
      </c>
      <c r="BX11" s="109">
        <f t="shared" si="5"/>
        <v>6</v>
      </c>
      <c r="BY11" s="114">
        <f t="shared" si="6"/>
        <v>5.681818181818182E-3</v>
      </c>
    </row>
    <row r="12" spans="1:83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" s="2">
        <f xml:space="preserve"> (UPPER(TRIM(Table2[[#This Row],[AwayTeam]]))=UPPER(TRIM(StatsRegularSeason20242025!$CV$30))) + (UPPER(TRIM(Table2[[#This Row],[HomeTeam]]))=UPPER(TRIM(StatsRegularSeason20242025!$CV$30)))</f>
        <v>0</v>
      </c>
      <c r="BD12" t="s">
        <v>442</v>
      </c>
      <c r="BE12" s="23">
        <f>COUNTIFS($N$3:$N$1315,1, $P$3:$P$1315, "Y")</f>
        <v>98</v>
      </c>
      <c r="BG12">
        <f>10/100</f>
        <v>0.1</v>
      </c>
      <c r="BL12" s="57"/>
      <c r="BM12" s="163" t="str">
        <f>_xlfn.CONCAT(TEXT(BN4, "0"),"-",TEXT(BN5, "0"),"-",TEXT(BN7+BN9+BN6+BN8, "0"))</f>
        <v>211-176-141</v>
      </c>
      <c r="BN12" s="164"/>
      <c r="BO12" s="58" t="s">
        <v>473</v>
      </c>
      <c r="BP12" s="58"/>
      <c r="BQ12" s="59"/>
      <c r="BS12" s="2">
        <v>7</v>
      </c>
      <c r="BT12" s="110" cm="1">
        <f t="array" ref="BT12">SUM(--(ABS($F$3:$F$1315 - $J$3:$J$1315) = $BS12))</f>
        <v>0</v>
      </c>
      <c r="BU12" s="111">
        <f t="shared" si="7"/>
        <v>0</v>
      </c>
      <c r="BV12" s="112" cm="1">
        <f t="array" ref="BV12">SUM(--(ABS($G$3:$G$1315 - $K$3:$K$1315) = $BS12))</f>
        <v>0</v>
      </c>
      <c r="BW12" s="113">
        <f t="shared" si="8"/>
        <v>0</v>
      </c>
      <c r="BX12" s="109">
        <f t="shared" si="5"/>
        <v>0</v>
      </c>
      <c r="BY12" s="114">
        <f t="shared" si="6"/>
        <v>0</v>
      </c>
    </row>
    <row r="13" spans="1:83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" s="2">
        <f xml:space="preserve"> (UPPER(TRIM(Table2[[#This Row],[AwayTeam]]))=UPPER(TRIM(StatsRegularSeason20242025!$CV$30))) + (UPPER(TRIM(Table2[[#This Row],[HomeTeam]]))=UPPER(TRIM(StatsRegularSeason20242025!$CV$30)))</f>
        <v>0</v>
      </c>
      <c r="BD13" t="s">
        <v>441</v>
      </c>
      <c r="BE13" s="23">
        <f>COUNTIFS($N$3:$N$1315,1, $Q$3:$Q$1315, "Y")*$BG$13</f>
        <v>9.3000000000000007</v>
      </c>
      <c r="BG13">
        <f>10/100</f>
        <v>0.1</v>
      </c>
      <c r="BI13" t="s">
        <v>157</v>
      </c>
      <c r="BJ13">
        <f>SUM(BJ3:BJ11)</f>
        <v>535</v>
      </c>
      <c r="BS13" s="2">
        <v>8</v>
      </c>
      <c r="BT13" s="110" cm="1">
        <f t="array" ref="BT13">SUM(--(ABS($F$3:$F$1315 - $J$3:$J$1315) = $BS13))</f>
        <v>0</v>
      </c>
      <c r="BU13" s="111">
        <f t="shared" si="7"/>
        <v>0</v>
      </c>
      <c r="BV13" s="112" cm="1">
        <f t="array" ref="BV13">SUM(--(ABS($G$3:$G$1315 - $K$3:$K$1315) = $BS13))</f>
        <v>0</v>
      </c>
      <c r="BW13" s="113">
        <f t="shared" si="8"/>
        <v>0</v>
      </c>
      <c r="BX13" s="109">
        <f t="shared" si="5"/>
        <v>0</v>
      </c>
      <c r="BY13" s="114">
        <f t="shared" si="6"/>
        <v>0</v>
      </c>
    </row>
    <row r="14" spans="1:83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" s="2">
        <f xml:space="preserve"> (UPPER(TRIM(Table2[[#This Row],[AwayTeam]]))=UPPER(TRIM(StatsRegularSeason20242025!$CV$30))) + (UPPER(TRIM(Table2[[#This Row],[HomeTeam]]))=UPPER(TRIM(StatsRegularSeason20242025!$CV$30)))</f>
        <v>0</v>
      </c>
      <c r="BS14" s="2">
        <v>9</v>
      </c>
      <c r="BT14" s="110" cm="1">
        <f t="array" ref="BT14">SUM(--(ABS($F$3:$F$1315 - $J$3:$J$1315) = $BS14))</f>
        <v>0</v>
      </c>
      <c r="BU14" s="111">
        <f t="shared" si="7"/>
        <v>0</v>
      </c>
      <c r="BV14" s="112" cm="1">
        <f t="array" ref="BV14">SUM(--(ABS($G$3:$G$1315 - $K$3:$K$1315) = $BS14))</f>
        <v>0</v>
      </c>
      <c r="BW14" s="113">
        <f t="shared" si="8"/>
        <v>0</v>
      </c>
      <c r="BX14" s="109">
        <f t="shared" si="5"/>
        <v>0</v>
      </c>
      <c r="BY14" s="114">
        <f t="shared" si="6"/>
        <v>0</v>
      </c>
    </row>
    <row r="15" spans="1:83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" s="2">
        <f xml:space="preserve"> (UPPER(TRIM(Table2[[#This Row],[AwayTeam]]))=UPPER(TRIM(StatsRegularSeason20242025!$CV$30))) + (UPPER(TRIM(Table2[[#This Row],[HomeTeam]]))=UPPER(TRIM(StatsRegularSeason20242025!$CV$30)))</f>
        <v>0</v>
      </c>
      <c r="BS15" s="2">
        <v>10</v>
      </c>
      <c r="BT15" s="110" cm="1">
        <f t="array" ref="BT15">SUM(--(ABS($F$3:$F$1315 - $J$3:$J$1315) = $BS15))</f>
        <v>0</v>
      </c>
      <c r="BU15" s="111">
        <f t="shared" si="7"/>
        <v>0</v>
      </c>
      <c r="BV15" s="112" cm="1">
        <f t="array" ref="BV15">SUM(--(ABS($G$3:$G$1315 - $K$3:$K$1315) = $BS15))</f>
        <v>0</v>
      </c>
      <c r="BW15" s="113">
        <f t="shared" si="8"/>
        <v>0</v>
      </c>
      <c r="BX15" s="109">
        <f t="shared" si="5"/>
        <v>0</v>
      </c>
      <c r="BY15" s="114">
        <f t="shared" si="6"/>
        <v>0</v>
      </c>
    </row>
    <row r="16" spans="1:83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" s="2">
        <f xml:space="preserve"> (UPPER(TRIM(Table2[[#This Row],[AwayTeam]]))=UPPER(TRIM(StatsRegularSeason20242025!$CV$30))) + (UPPER(TRIM(Table2[[#This Row],[HomeTeam]]))=UPPER(TRIM(StatsRegularSeason20242025!$CV$30)))</f>
        <v>0</v>
      </c>
      <c r="BS16" t="s">
        <v>467</v>
      </c>
      <c r="BT16" s="162">
        <f>((BS5*BU5)+(BU6*BS6)+(BU7*BS7)+(BU8*BS8)+(BU9*BS9)+(BU10*BS10)+(BU11*BS11)+(BU12*BS12)+(BU13*BS13)+(BU14*BS14)+(BU15*BS15))</f>
        <v>1.5568181818181819</v>
      </c>
      <c r="BU16" s="162"/>
      <c r="BV16" s="162">
        <f>((BS5*BW5)+(BW6*BS6)+(BW7*BS7)+(BW8*BS8)+(BW9*BS9)+(BW10*BS10)+(BW11*BS11)+(BW12*BS12)+(BW13*BS13)+(BW14*BS14)+(BW15*BS15))</f>
        <v>1.6079545454545452</v>
      </c>
      <c r="BW16" s="162"/>
      <c r="BY16">
        <f>((BS5*BY5)+(BY6*BS6)+(BY7*BS7)+(BY8*BS8)+(BY9*BS9)+(BY10*BS10)+(BY11*BS11)+(BY12*BS12)+(BY13*BS13)+(BY14*BS14)+(BY15*BS15))</f>
        <v>1.5823863636363638</v>
      </c>
    </row>
    <row r="17" spans="1:62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" s="2">
        <f xml:space="preserve"> (UPPER(TRIM(Table2[[#This Row],[AwayTeam]]))=UPPER(TRIM(StatsRegularSeason20242025!$CV$30))) + (UPPER(TRIM(Table2[[#This Row],[HomeTeam]]))=UPPER(TRIM(StatsRegularSeason20242025!$CV$30)))</f>
        <v>0</v>
      </c>
      <c r="BD17" t="s">
        <v>438</v>
      </c>
      <c r="BE17" s="23">
        <f>SUMIF($N$3:$N$1315,1, $AD$3:$AD$1315)</f>
        <v>266.900000000001</v>
      </c>
      <c r="BI17" t="s">
        <v>486</v>
      </c>
      <c r="BJ17">
        <f>COUNTIFS($N$3:$N$1315,1,$AC$3:$AC$1315,1)</f>
        <v>27</v>
      </c>
    </row>
    <row r="18" spans="1:62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" s="2">
        <f xml:space="preserve"> (UPPER(TRIM(Table2[[#This Row],[AwayTeam]]))=UPPER(TRIM(StatsRegularSeason20242025!$CV$30))) + (UPPER(TRIM(Table2[[#This Row],[HomeTeam]]))=UPPER(TRIM(StatsRegularSeason20242025!$CV$30)))</f>
        <v>0</v>
      </c>
      <c r="BD18" t="s">
        <v>439</v>
      </c>
      <c r="BE18" s="23">
        <f>BE17/$BE$4</f>
        <v>0.50549242424242613</v>
      </c>
      <c r="BI18" t="s">
        <v>759</v>
      </c>
      <c r="BJ18" s="10">
        <f>BJ17/BE4</f>
        <v>5.113636363636364E-2</v>
      </c>
    </row>
    <row r="19" spans="1:62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" s="2">
        <f xml:space="preserve"> (UPPER(TRIM(Table2[[#This Row],[AwayTeam]]))=UPPER(TRIM(StatsRegularSeason20242025!$CV$30))) + (UPPER(TRIM(Table2[[#This Row],[HomeTeam]]))=UPPER(TRIM(StatsRegularSeason20242025!$CV$30)))</f>
        <v>0</v>
      </c>
      <c r="BB19" t="s">
        <v>447</v>
      </c>
      <c r="BD19" t="s">
        <v>448</v>
      </c>
      <c r="BE19" s="23">
        <f>COUNTIFS($I$3:$I$1315,"OT",$M$3:$M$1315,"OT",$O$3:$O$1315,"N")</f>
        <v>11</v>
      </c>
    </row>
    <row r="20" spans="1:62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" s="2">
        <f xml:space="preserve"> (UPPER(TRIM(Table2[[#This Row],[AwayTeam]]))=UPPER(TRIM(StatsRegularSeason20242025!$CV$30))) + (UPPER(TRIM(Table2[[#This Row],[HomeTeam]]))=UPPER(TRIM(StatsRegularSeason20242025!$CV$30)))</f>
        <v>0</v>
      </c>
      <c r="BD20" t="s">
        <v>449</v>
      </c>
      <c r="BE20" s="23">
        <f>COUNTIFS($I$3:$I$1315,"SO",$M$3:$M$1315,"SO",$O$3:$O$1315,"N")</f>
        <v>4</v>
      </c>
      <c r="BJ20">
        <f>FIND("CGY", "FLA;EDM;COL;BOS;PIT;CGY")</f>
        <v>21</v>
      </c>
    </row>
    <row r="21" spans="1:62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" s="2">
        <f xml:space="preserve"> (UPPER(TRIM(Table2[[#This Row],[AwayTeam]]))=UPPER(TRIM(StatsRegularSeason20242025!$CV$30))) + (UPPER(TRIM(Table2[[#This Row],[HomeTeam]]))=UPPER(TRIM(StatsRegularSeason20242025!$CV$30)))</f>
        <v>1</v>
      </c>
      <c r="BD21" t="s">
        <v>450</v>
      </c>
      <c r="BE21" s="23">
        <f>COUNTIFS($I$3:$I$1315,"OT",$M$3:$M$1315,"SO",$O$3:$O$1315,"N")</f>
        <v>10</v>
      </c>
    </row>
    <row r="22" spans="1:62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" s="2">
        <f xml:space="preserve"> (UPPER(TRIM(Table2[[#This Row],[AwayTeam]]))=UPPER(TRIM(StatsRegularSeason20242025!$CV$30))) + (UPPER(TRIM(Table2[[#This Row],[HomeTeam]]))=UPPER(TRIM(StatsRegularSeason20242025!$CV$30)))</f>
        <v>0</v>
      </c>
      <c r="BD22" t="s">
        <v>451</v>
      </c>
      <c r="BE22">
        <f>COUNTIFS($I$3:$I$1315,"SO",$M$3:$M$1315,"OT",$O$3:$O$1315,"N")</f>
        <v>6</v>
      </c>
    </row>
    <row r="23" spans="1:62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" spans="1:62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" spans="1:62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" spans="1:62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" spans="1:62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" s="2">
        <f xml:space="preserve"> (UPPER(TRIM(Table2[[#This Row],[AwayTeam]]))=UPPER(TRIM(StatsRegularSeason20242025!$CV$30))) + (UPPER(TRIM(Table2[[#This Row],[HomeTeam]]))=UPPER(TRIM(StatsRegularSeason20242025!$CV$30)))</f>
        <v>0</v>
      </c>
      <c r="BD27" t="s">
        <v>502</v>
      </c>
      <c r="BE27">
        <v>1.8</v>
      </c>
    </row>
    <row r="28" spans="1:62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" s="2" t="str">
        <f>INDEX(Sheet5!$B$2:$AG$33, MATCH(Table2[[#This Row],[AwayTeam]],Sheet5!$A$2:$A$33, 0), MATCH(Table2[[#This Row],[HomeTeam]],Sheet5!$A$2:$A$33, 0))</f>
        <v>1-2-0</v>
      </c>
      <c r="AP28" s="2" t="str">
        <f>INDEX(Sheet5!$B$2:$AG$33, MATCH(Table2[[#This Row],[HomeTeam]],Sheet5!$A$2:$A$33, 0), MATCH(Table2[[#This Row],[AwayTeam]],Sheet5!$A$2:$A$33, 0))</f>
        <v>2-1-0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" s="2">
        <f xml:space="preserve"> (UPPER(TRIM(Table2[[#This Row],[AwayTeam]]))=UPPER(TRIM(StatsRegularSeason20242025!$CV$30))) + (UPPER(TRIM(Table2[[#This Row],[HomeTeam]]))=UPPER(TRIM(StatsRegularSeason20242025!$CV$30)))</f>
        <v>0</v>
      </c>
      <c r="BD28" t="s">
        <v>503</v>
      </c>
      <c r="BE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5</v>
      </c>
    </row>
    <row r="29" spans="1:62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" s="2">
        <f xml:space="preserve"> (UPPER(TRIM(Table2[[#This Row],[AwayTeam]]))=UPPER(TRIM(StatsRegularSeason20242025!$CV$30))) + (UPPER(TRIM(Table2[[#This Row],[HomeTeam]]))=UPPER(TRIM(StatsRegularSeason20242025!$CV$30)))</f>
        <v>0</v>
      </c>
      <c r="BD29" t="s">
        <v>504</v>
      </c>
      <c r="BE29" s="24">
        <f ca="1">BE28*BE27</f>
        <v>9</v>
      </c>
    </row>
    <row r="30" spans="1:62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" spans="1:62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" s="2">
        <f xml:space="preserve"> (UPPER(TRIM(Table2[[#This Row],[AwayTeam]]))=UPPER(TRIM(StatsRegularSeason20242025!$CV$30))) + (UPPER(TRIM(Table2[[#This Row],[HomeTeam]]))=UPPER(TRIM(StatsRegularSeason20242025!$CV$30)))</f>
        <v>0</v>
      </c>
      <c r="BD31" t="s">
        <v>489</v>
      </c>
      <c r="BE31" s="66" t="s">
        <v>751</v>
      </c>
      <c r="BI31" t="str">
        <f>_xlfn.TEXTJOIN(";", 1, $BE31:$BE$40)</f>
        <v>col</v>
      </c>
    </row>
    <row r="32" spans="1:62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" s="2" t="str">
        <f>INDEX(Sheet5!$B$2:$AG$33, MATCH(Table2[[#This Row],[AwayTeam]],Sheet5!$A$2:$A$33, 0), MATCH(Table2[[#This Row],[HomeTeam]],Sheet5!$A$2:$A$33, 0))</f>
        <v>0-0-3</v>
      </c>
      <c r="AP32" s="2" t="str">
        <f>INDEX(Sheet5!$B$2:$AG$33, MATCH(Table2[[#This Row],[HomeTeam]],Sheet5!$A$2:$A$33, 0), MATCH(Table2[[#This Row],[AwayTeam]],Sheet5!$A$2:$A$33, 0))</f>
        <v>3-0-0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" s="2">
        <f xml:space="preserve"> (UPPER(TRIM(Table2[[#This Row],[AwayTeam]]))=UPPER(TRIM(StatsRegularSeason20242025!$CV$30))) + (UPPER(TRIM(Table2[[#This Row],[HomeTeam]]))=UPPER(TRIM(StatsRegularSeason20242025!$CV$30)))</f>
        <v>0</v>
      </c>
      <c r="BE32" s="67"/>
    </row>
    <row r="33" spans="1:61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" s="2">
        <f xml:space="preserve"> (UPPER(TRIM(Table2[[#This Row],[AwayTeam]]))=UPPER(TRIM(StatsRegularSeason20242025!$CV$30))) + (UPPER(TRIM(Table2[[#This Row],[HomeTeam]]))=UPPER(TRIM(StatsRegularSeason20242025!$CV$30)))</f>
        <v>0</v>
      </c>
      <c r="BE33" s="67"/>
      <c r="BI33">
        <f>FIND("Avery", "BriggsAveryBriggs")</f>
        <v>7</v>
      </c>
    </row>
    <row r="34" spans="1:61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" s="2">
        <f xml:space="preserve"> (UPPER(TRIM(Table2[[#This Row],[AwayTeam]]))=UPPER(TRIM(StatsRegularSeason20242025!$CV$30))) + (UPPER(TRIM(Table2[[#This Row],[HomeTeam]]))=UPPER(TRIM(StatsRegularSeason20242025!$CV$30)))</f>
        <v>0</v>
      </c>
      <c r="BE34" s="67"/>
      <c r="BI34">
        <f>IFERROR(FIND("Avery", "BriggsBriggs"), 0)</f>
        <v>0</v>
      </c>
    </row>
    <row r="35" spans="1:61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" s="2">
        <f xml:space="preserve"> (UPPER(TRIM(Table2[[#This Row],[AwayTeam]]))=UPPER(TRIM(StatsRegularSeason20242025!$CV$30))) + (UPPER(TRIM(Table2[[#This Row],[HomeTeam]]))=UPPER(TRIM(StatsRegularSeason20242025!$CV$30)))</f>
        <v>0</v>
      </c>
      <c r="BE35" s="67"/>
      <c r="BI35">
        <f>IFERROR(FIND("Avery", "AveryBriggsBriggs"), 0)</f>
        <v>1</v>
      </c>
    </row>
    <row r="36" spans="1:61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" s="2">
        <f xml:space="preserve"> (UPPER(TRIM(Table2[[#This Row],[AwayTeam]]))=UPPER(TRIM(StatsRegularSeason20242025!$CV$30))) + (UPPER(TRIM(Table2[[#This Row],[HomeTeam]]))=UPPER(TRIM(StatsRegularSeason20242025!$CV$30)))</f>
        <v>0</v>
      </c>
      <c r="BE36" s="67"/>
    </row>
    <row r="37" spans="1:61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" s="2">
        <f xml:space="preserve"> (UPPER(TRIM(Table2[[#This Row],[AwayTeam]]))=UPPER(TRIM(StatsRegularSeason20242025!$CV$30))) + (UPPER(TRIM(Table2[[#This Row],[HomeTeam]]))=UPPER(TRIM(StatsRegularSeason20242025!$CV$30)))</f>
        <v>0</v>
      </c>
      <c r="BE37" s="67"/>
    </row>
    <row r="38" spans="1:61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" s="2">
        <f xml:space="preserve"> (UPPER(TRIM(Table2[[#This Row],[AwayTeam]]))=UPPER(TRIM(StatsRegularSeason20242025!$CV$30))) + (UPPER(TRIM(Table2[[#This Row],[HomeTeam]]))=UPPER(TRIM(StatsRegularSeason20242025!$CV$30)))</f>
        <v>0</v>
      </c>
      <c r="BE38" s="67"/>
    </row>
    <row r="39" spans="1:61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" s="2">
        <f xml:space="preserve"> (UPPER(TRIM(Table2[[#This Row],[AwayTeam]]))=UPPER(TRIM(StatsRegularSeason20242025!$CV$30))) + (UPPER(TRIM(Table2[[#This Row],[HomeTeam]]))=UPPER(TRIM(StatsRegularSeason20242025!$CV$30)))</f>
        <v>0</v>
      </c>
      <c r="BE39" s="67"/>
    </row>
    <row r="40" spans="1:61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" s="2">
        <f xml:space="preserve"> (UPPER(TRIM(Table2[[#This Row],[AwayTeam]]))=UPPER(TRIM(StatsRegularSeason20242025!$CV$30))) + (UPPER(TRIM(Table2[[#This Row],[HomeTeam]]))=UPPER(TRIM(StatsRegularSeason20242025!$CV$30)))</f>
        <v>0</v>
      </c>
      <c r="BE40" s="68"/>
    </row>
    <row r="41" spans="1:61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" spans="1:61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" spans="1:61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" spans="1:61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" spans="1:61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" s="2">
        <f xml:space="preserve"> (UPPER(TRIM(Table2[[#This Row],[AwayTeam]]))=UPPER(TRIM(StatsRegularSeason20242025!$CV$30))) + (UPPER(TRIM(Table2[[#This Row],[HomeTeam]]))=UPPER(TRIM(StatsRegularSeason20242025!$CV$30)))</f>
        <v>0</v>
      </c>
      <c r="BG45" t="s">
        <v>752</v>
      </c>
      <c r="BH45" t="s">
        <v>754</v>
      </c>
      <c r="BI45" t="s">
        <v>756</v>
      </c>
    </row>
    <row r="46" spans="1:61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" s="2">
        <f xml:space="preserve"> (UPPER(TRIM(Table2[[#This Row],[AwayTeam]]))=UPPER(TRIM(StatsRegularSeason20242025!$CV$30))) + (UPPER(TRIM(Table2[[#This Row],[HomeTeam]]))=UPPER(TRIM(StatsRegularSeason20242025!$CV$30)))</f>
        <v>0</v>
      </c>
      <c r="BE46" s="2" t="s">
        <v>509</v>
      </c>
      <c r="BG46" t="s">
        <v>753</v>
      </c>
      <c r="BH46" t="s">
        <v>755</v>
      </c>
    </row>
    <row r="47" spans="1:61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" s="2">
        <f xml:space="preserve"> (UPPER(TRIM(Table2[[#This Row],[AwayTeam]]))=UPPER(TRIM(StatsRegularSeason20242025!$CV$30))) + (UPPER(TRIM(Table2[[#This Row],[HomeTeam]]))=UPPER(TRIM(StatsRegularSeason20242025!$CV$30)))</f>
        <v>0</v>
      </c>
      <c r="BE47" s="66" t="s">
        <v>29</v>
      </c>
      <c r="BG47" s="66" t="s">
        <v>13</v>
      </c>
      <c r="BH47" s="66" t="s">
        <v>17</v>
      </c>
      <c r="BI47" s="66" t="s">
        <v>24</v>
      </c>
    </row>
    <row r="48" spans="1:61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" s="2">
        <f xml:space="preserve"> (UPPER(TRIM(Table2[[#This Row],[AwayTeam]]))=UPPER(TRIM(StatsRegularSeason20242025!$CV$30))) + (UPPER(TRIM(Table2[[#This Row],[HomeTeam]]))=UPPER(TRIM(StatsRegularSeason20242025!$CV$30)))</f>
        <v>0</v>
      </c>
      <c r="BE48" s="67" t="s">
        <v>17</v>
      </c>
      <c r="BG48" s="67" t="s">
        <v>26</v>
      </c>
      <c r="BH48" s="67" t="s">
        <v>18</v>
      </c>
      <c r="BI48" s="67" t="s">
        <v>23</v>
      </c>
    </row>
    <row r="49" spans="1:61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" s="2">
        <f xml:space="preserve"> (UPPER(TRIM(Table2[[#This Row],[AwayTeam]]))=UPPER(TRIM(StatsRegularSeason20242025!$CV$30))) + (UPPER(TRIM(Table2[[#This Row],[HomeTeam]]))=UPPER(TRIM(StatsRegularSeason20242025!$CV$30)))</f>
        <v>0</v>
      </c>
      <c r="BE49" s="67" t="s">
        <v>18</v>
      </c>
      <c r="BG49" s="67" t="s">
        <v>25</v>
      </c>
      <c r="BH49" s="67" t="s">
        <v>15</v>
      </c>
      <c r="BI49" s="67" t="s">
        <v>22</v>
      </c>
    </row>
    <row r="50" spans="1:61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" s="2">
        <f xml:space="preserve"> (UPPER(TRIM(Table2[[#This Row],[AwayTeam]]))=UPPER(TRIM(StatsRegularSeason20242025!$CV$30))) + (UPPER(TRIM(Table2[[#This Row],[HomeTeam]]))=UPPER(TRIM(StatsRegularSeason20242025!$CV$30)))</f>
        <v>0</v>
      </c>
      <c r="BE50" s="67" t="s">
        <v>21</v>
      </c>
      <c r="BG50" s="67" t="s">
        <v>40</v>
      </c>
      <c r="BH50" s="67" t="s">
        <v>30</v>
      </c>
      <c r="BI50" s="67" t="s">
        <v>21</v>
      </c>
    </row>
    <row r="51" spans="1:61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" s="2">
        <f xml:space="preserve"> (UPPER(TRIM(Table2[[#This Row],[AwayTeam]]))=UPPER(TRIM(StatsRegularSeason20242025!$CV$30))) + (UPPER(TRIM(Table2[[#This Row],[HomeTeam]]))=UPPER(TRIM(StatsRegularSeason20242025!$CV$30)))</f>
        <v>0</v>
      </c>
      <c r="BE51" s="67" t="s">
        <v>22</v>
      </c>
      <c r="BG51" s="67" t="s">
        <v>12</v>
      </c>
      <c r="BH51" s="67" t="s">
        <v>16</v>
      </c>
      <c r="BI51" s="67" t="s">
        <v>17</v>
      </c>
    </row>
    <row r="52" spans="1:61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" s="2">
        <f xml:space="preserve"> (UPPER(TRIM(Table2[[#This Row],[AwayTeam]]))=UPPER(TRIM(StatsRegularSeason20242025!$CV$30))) + (UPPER(TRIM(Table2[[#This Row],[HomeTeam]]))=UPPER(TRIM(StatsRegularSeason20242025!$CV$30)))</f>
        <v>0</v>
      </c>
      <c r="BE52" s="67" t="s">
        <v>24</v>
      </c>
      <c r="BG52" s="67" t="s">
        <v>43</v>
      </c>
      <c r="BH52" s="67" t="s">
        <v>19</v>
      </c>
      <c r="BI52" s="67" t="s">
        <v>29</v>
      </c>
    </row>
    <row r="53" spans="1:61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" s="2">
        <f xml:space="preserve"> (UPPER(TRIM(Table2[[#This Row],[AwayTeam]]))=UPPER(TRIM(StatsRegularSeason20242025!$CV$30))) + (UPPER(TRIM(Table2[[#This Row],[HomeTeam]]))=UPPER(TRIM(StatsRegularSeason20242025!$CV$30)))</f>
        <v>0</v>
      </c>
      <c r="BE53" s="67" t="s">
        <v>23</v>
      </c>
      <c r="BG53" s="67" t="s">
        <v>20</v>
      </c>
      <c r="BH53" s="67"/>
      <c r="BI53" s="67" t="s">
        <v>18</v>
      </c>
    </row>
    <row r="54" spans="1:61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" s="2">
        <f xml:space="preserve"> (UPPER(TRIM(Table2[[#This Row],[AwayTeam]]))=UPPER(TRIM(StatsRegularSeason20242025!$CV$30))) + (UPPER(TRIM(Table2[[#This Row],[HomeTeam]]))=UPPER(TRIM(StatsRegularSeason20242025!$CV$30)))</f>
        <v>0</v>
      </c>
      <c r="BE54" s="67"/>
      <c r="BG54" s="67" t="s">
        <v>16</v>
      </c>
      <c r="BH54" s="67"/>
      <c r="BI54" s="67"/>
    </row>
    <row r="55" spans="1:61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" s="2">
        <f xml:space="preserve"> (UPPER(TRIM(Table2[[#This Row],[AwayTeam]]))=UPPER(TRIM(StatsRegularSeason20242025!$CV$30))) + (UPPER(TRIM(Table2[[#This Row],[HomeTeam]]))=UPPER(TRIM(StatsRegularSeason20242025!$CV$30)))</f>
        <v>1</v>
      </c>
      <c r="BE55" s="67"/>
      <c r="BG55" s="67"/>
      <c r="BH55" s="67"/>
      <c r="BI55" s="67"/>
    </row>
    <row r="56" spans="1:61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" s="2" t="str">
        <f>INDEX(Sheet5!$B$2:$AG$33, MATCH(Table2[[#This Row],[AwayTeam]],Sheet5!$A$2:$A$33, 0), MATCH(Table2[[#This Row],[HomeTeam]],Sheet5!$A$2:$A$33, 0))</f>
        <v>1-1-0</v>
      </c>
      <c r="AP56" s="2" t="str">
        <f>INDEX(Sheet5!$B$2:$AG$33, MATCH(Table2[[#This Row],[HomeTeam]],Sheet5!$A$2:$A$33, 0), MATCH(Table2[[#This Row],[AwayTeam]],Sheet5!$A$2:$A$33, 0))</f>
        <v>1-1-0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" s="2">
        <f xml:space="preserve"> (UPPER(TRIM(Table2[[#This Row],[AwayTeam]]))=UPPER(TRIM(StatsRegularSeason20242025!$CV$30))) + (UPPER(TRIM(Table2[[#This Row],[HomeTeam]]))=UPPER(TRIM(StatsRegularSeason20242025!$CV$30)))</f>
        <v>0</v>
      </c>
      <c r="BE56" s="68"/>
      <c r="BG56" s="68"/>
      <c r="BH56" s="68"/>
      <c r="BI56" s="68"/>
    </row>
    <row r="57" spans="1:61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" spans="1:61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" spans="1:61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" spans="1:61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" spans="1:61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" s="2" t="str">
        <f>INDEX(Sheet5!$B$2:$AG$33, MATCH(Table2[[#This Row],[AwayTeam]],Sheet5!$A$2:$A$33, 0), MATCH(Table2[[#This Row],[HomeTeam]],Sheet5!$A$2:$A$33, 0))</f>
        <v>1-1-0</v>
      </c>
      <c r="AP61" s="2" t="str">
        <f>INDEX(Sheet5!$B$2:$AG$33, MATCH(Table2[[#This Row],[HomeTeam]],Sheet5!$A$2:$A$33, 0), MATCH(Table2[[#This Row],[AwayTeam]],Sheet5!$A$2:$A$33, 0))</f>
        <v>1-1-0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" spans="1:61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" spans="1:61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" spans="1:61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" spans="1:49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" spans="1:49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" spans="1:49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" spans="1:49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" spans="1:49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" spans="1:49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" spans="1:49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" spans="1:49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" spans="1:49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" spans="1:49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" spans="1:49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" s="2" t="str">
        <f>INDEX(Sheet5!$B$2:$AG$33, MATCH(Table2[[#This Row],[AwayTeam]],Sheet5!$A$2:$A$33, 0), MATCH(Table2[[#This Row],[HomeTeam]],Sheet5!$A$2:$A$33, 0))</f>
        <v>1-1-0</v>
      </c>
      <c r="AP75" s="2" t="str">
        <f>INDEX(Sheet5!$B$2:$AG$33, MATCH(Table2[[#This Row],[HomeTeam]],Sheet5!$A$2:$A$33, 0), MATCH(Table2[[#This Row],[AwayTeam]],Sheet5!$A$2:$A$33, 0))</f>
        <v>1-1-0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" spans="1:49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" spans="1:49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" spans="1:49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" spans="1:49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" spans="1:49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" spans="1:49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" spans="1:49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" s="2" t="str">
        <f>INDEX(Sheet5!$B$2:$AG$33, MATCH(Table2[[#This Row],[AwayTeam]],Sheet5!$A$2:$A$33, 0), MATCH(Table2[[#This Row],[HomeTeam]],Sheet5!$A$2:$A$33, 0))</f>
        <v>2-0-0</v>
      </c>
      <c r="AP82" s="2" t="str">
        <f>INDEX(Sheet5!$B$2:$AG$33, MATCH(Table2[[#This Row],[HomeTeam]],Sheet5!$A$2:$A$33, 0), MATCH(Table2[[#This Row],[AwayTeam]],Sheet5!$A$2:$A$33, 0))</f>
        <v>0-1-1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" spans="1:49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" spans="1:49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" spans="1:49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" spans="1:49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" spans="1:49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" spans="1:49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" spans="1:49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" spans="1:49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" s="143" t="str">
        <f>INDEX(Sheet5!$B$2:$AG$33, MATCH(Table2[[#This Row],[AwayTeam]],Sheet5!$A$2:$A$33, 0), MATCH(Table2[[#This Row],[HomeTeam]],Sheet5!$A$2:$A$33, 0))</f>
        <v>1-0-1</v>
      </c>
      <c r="AP90" s="143" t="str">
        <f>INDEX(Sheet5!$B$2:$AG$33, MATCH(Table2[[#This Row],[HomeTeam]],Sheet5!$A$2:$A$33, 0), MATCH(Table2[[#This Row],[AwayTeam]],Sheet5!$A$2:$A$33, 0))</f>
        <v>1-1-0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" spans="1:49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" spans="1:49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" s="2" t="str">
        <f>INDEX(Sheet5!$B$2:$AG$33, MATCH(Table2[[#This Row],[AwayTeam]],Sheet5!$A$2:$A$33, 0), MATCH(Table2[[#This Row],[HomeTeam]],Sheet5!$A$2:$A$33, 0))</f>
        <v>1-1-0</v>
      </c>
      <c r="AP92" s="2" t="str">
        <f>INDEX(Sheet5!$B$2:$AG$33, MATCH(Table2[[#This Row],[HomeTeam]],Sheet5!$A$2:$A$33, 0), MATCH(Table2[[#This Row],[AwayTeam]],Sheet5!$A$2:$A$33, 0))</f>
        <v>1-1-0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" spans="1:49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" spans="1:49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" s="143" t="str">
        <f>INDEX(Sheet5!$B$2:$AG$33, MATCH(Table2[[#This Row],[AwayTeam]],Sheet5!$A$2:$A$33, 0), MATCH(Table2[[#This Row],[HomeTeam]],Sheet5!$A$2:$A$33, 0))</f>
        <v>1-1-0</v>
      </c>
      <c r="AP94" s="143" t="str">
        <f>INDEX(Sheet5!$B$2:$AG$33, MATCH(Table2[[#This Row],[HomeTeam]],Sheet5!$A$2:$A$33, 0), MATCH(Table2[[#This Row],[AwayTeam]],Sheet5!$A$2:$A$33, 0))</f>
        <v>1-1-0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" spans="1:49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" spans="1:49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" spans="1:49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" spans="1:49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9" spans="1:49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" spans="1:49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" spans="1:49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" spans="1:49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" spans="1:49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" spans="1:49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" spans="1:49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" spans="1:49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" spans="1:49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" spans="1:49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" spans="1:49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" spans="1:49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" spans="1:49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" spans="1:49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" spans="1:49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" spans="1:49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" spans="1:49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" spans="1:49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" spans="1:49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" s="2" t="str">
        <f>INDEX(Sheet5!$B$2:$AG$33, MATCH(Table2[[#This Row],[AwayTeam]],Sheet5!$A$2:$A$33, 0), MATCH(Table2[[#This Row],[HomeTeam]],Sheet5!$A$2:$A$33, 0))</f>
        <v>1-2-0</v>
      </c>
      <c r="AP117" s="2" t="str">
        <f>INDEX(Sheet5!$B$2:$AG$33, MATCH(Table2[[#This Row],[HomeTeam]],Sheet5!$A$2:$A$33, 0), MATCH(Table2[[#This Row],[AwayTeam]],Sheet5!$A$2:$A$33, 0))</f>
        <v>2-1-0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" spans="1:49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" spans="1:49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" spans="1:49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" spans="1:49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" s="2" t="str">
        <f>INDEX(Sheet5!$B$2:$AG$33, MATCH(Table2[[#This Row],[AwayTeam]],Sheet5!$A$2:$A$33, 0), MATCH(Table2[[#This Row],[HomeTeam]],Sheet5!$A$2:$A$33, 0))</f>
        <v>1-1-0</v>
      </c>
      <c r="AP121" s="2" t="str">
        <f>INDEX(Sheet5!$B$2:$AG$33, MATCH(Table2[[#This Row],[HomeTeam]],Sheet5!$A$2:$A$33, 0), MATCH(Table2[[#This Row],[AwayTeam]],Sheet5!$A$2:$A$33, 0))</f>
        <v>1-0-1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" spans="1:49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" spans="1:49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" spans="1:49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" s="143" t="str">
        <f>INDEX(Sheet5!$B$2:$AG$33, MATCH(Table2[[#This Row],[AwayTeam]],Sheet5!$A$2:$A$33, 0), MATCH(Table2[[#This Row],[HomeTeam]],Sheet5!$A$2:$A$33, 0))</f>
        <v>1-1-0</v>
      </c>
      <c r="AP124" s="143" t="str">
        <f>INDEX(Sheet5!$B$2:$AG$33, MATCH(Table2[[#This Row],[HomeTeam]],Sheet5!$A$2:$A$33, 0), MATCH(Table2[[#This Row],[AwayTeam]],Sheet5!$A$2:$A$33, 0))</f>
        <v>1-1-0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" spans="1:49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" spans="1:49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" spans="1:49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" spans="1:49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9" spans="1:49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" spans="1:49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" spans="1:49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2" spans="1:49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3" spans="1:49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4" spans="1:49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5" spans="1:49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6" spans="1:49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7" spans="1:49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8" spans="1:49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9" spans="1:49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0" spans="1:49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1" spans="1:49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2" spans="1:49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3" spans="1:49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4" spans="1:49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5" spans="1:49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6" spans="1:49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7" spans="1:49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8" spans="1:49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49" spans="1:49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0" spans="1:49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1" spans="1:49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2" spans="1:49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3" spans="1:49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54" spans="1:49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5" spans="1:49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6" spans="1:49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7" spans="1:49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8" spans="1:49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9" spans="1:49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0" spans="1:49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1" spans="1:49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2" spans="1:49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3" spans="1:49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4" spans="1:49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5" spans="1:49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5" s="2" t="str">
        <f>INDEX(Sheet5!$B$2:$AG$33, MATCH(Table2[[#This Row],[AwayTeam]],Sheet5!$A$2:$A$33, 0), MATCH(Table2[[#This Row],[HomeTeam]],Sheet5!$A$2:$A$33, 0))</f>
        <v>1-1-0</v>
      </c>
      <c r="AP165" s="2" t="str">
        <f>INDEX(Sheet5!$B$2:$AG$33, MATCH(Table2[[#This Row],[HomeTeam]],Sheet5!$A$2:$A$33, 0), MATCH(Table2[[#This Row],[AwayTeam]],Sheet5!$A$2:$A$33, 0))</f>
        <v>1-1-0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6" spans="1:49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7" spans="1:49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8" spans="1:49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8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8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9" spans="1:49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0" spans="1:49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71" spans="1:49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2" spans="1:49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3" spans="1:49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4" spans="1:49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5" spans="1:49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6" spans="1:49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7" spans="1:49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8" spans="1:49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9" spans="1:49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0" spans="1:49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1" spans="1:49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2" spans="1:49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8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3" spans="1:49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4" spans="1:49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5" spans="1:49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86" spans="1:49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7" spans="1:49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7" s="2" t="str">
        <f>INDEX(Sheet5!$B$2:$AG$33, MATCH(Table2[[#This Row],[AwayTeam]],Sheet5!$A$2:$A$33, 0), MATCH(Table2[[#This Row],[HomeTeam]],Sheet5!$A$2:$A$33, 0))</f>
        <v>0-1-1</v>
      </c>
      <c r="AP187" s="2" t="str">
        <f>INDEX(Sheet5!$B$2:$AG$33, MATCH(Table2[[#This Row],[HomeTeam]],Sheet5!$A$2:$A$33, 0), MATCH(Table2[[#This Row],[AwayTeam]],Sheet5!$A$2:$A$33, 0))</f>
        <v>2-0-0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8" spans="1:49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9" spans="1:49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0" spans="1:49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1" spans="1:49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2" spans="1:49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3" spans="1:49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4" spans="1:49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5" spans="1:49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6" spans="1:49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7" spans="1:49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8" spans="1:49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99" spans="1:49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9" s="2" t="str">
        <f>INDEX(Sheet5!$B$2:$AG$33, MATCH(Table2[[#This Row],[AwayTeam]],Sheet5!$A$2:$A$33, 0), MATCH(Table2[[#This Row],[HomeTeam]],Sheet5!$A$2:$A$33, 0))</f>
        <v>1-1-0</v>
      </c>
      <c r="AP199" s="2" t="str">
        <f>INDEX(Sheet5!$B$2:$AG$33, MATCH(Table2[[#This Row],[HomeTeam]],Sheet5!$A$2:$A$33, 0), MATCH(Table2[[#This Row],[AwayTeam]],Sheet5!$A$2:$A$33, 0))</f>
        <v>1-1-0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0" spans="1:49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1" spans="1:49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2" spans="1:49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3" spans="1:49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4" spans="1:49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5" spans="1:49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6" spans="1:49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6" s="2" t="str">
        <f>INDEX(Sheet5!$B$2:$AG$33, MATCH(Table2[[#This Row],[AwayTeam]],Sheet5!$A$2:$A$33, 0), MATCH(Table2[[#This Row],[HomeTeam]],Sheet5!$A$2:$A$33, 0))</f>
        <v>2-0-0</v>
      </c>
      <c r="AP206" s="2" t="str">
        <f>INDEX(Sheet5!$B$2:$AG$33, MATCH(Table2[[#This Row],[HomeTeam]],Sheet5!$A$2:$A$33, 0), MATCH(Table2[[#This Row],[AwayTeam]],Sheet5!$A$2:$A$33, 0))</f>
        <v>0-1-1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7" spans="1:49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8" spans="1:49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9" spans="1:49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0" spans="1:49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1" spans="1:49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2" spans="1:49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3" spans="1:49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4" spans="1:49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5" spans="1:49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6" spans="1:49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7" spans="1:49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18" spans="1:49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9" spans="1:49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0" spans="1:49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1" spans="1:49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2" spans="1:49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3" spans="1:49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4" spans="1:49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5" spans="1:49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6" spans="1:49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7" spans="1:49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8" spans="1:49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9" spans="1:49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0" spans="1:49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1" spans="1:49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32" spans="1:49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3" spans="1:49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4" spans="1:49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5" spans="1:49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6" spans="1:49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7" spans="1:49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8" spans="1:49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9" spans="1:49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0" spans="1:49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1" spans="1:49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2" spans="1:49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3" spans="1:49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4" spans="1:49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5" spans="1:49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6" spans="1:49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6" s="2" t="str">
        <f>INDEX(Sheet5!$B$2:$AG$33, MATCH(Table2[[#This Row],[AwayTeam]],Sheet5!$A$2:$A$33, 0), MATCH(Table2[[#This Row],[HomeTeam]],Sheet5!$A$2:$A$33, 0))</f>
        <v>1-1-0</v>
      </c>
      <c r="AP246" s="2" t="str">
        <f>INDEX(Sheet5!$B$2:$AG$33, MATCH(Table2[[#This Row],[HomeTeam]],Sheet5!$A$2:$A$33, 0), MATCH(Table2[[#This Row],[AwayTeam]],Sheet5!$A$2:$A$33, 0))</f>
        <v>1-1-0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7" spans="1:49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8" spans="1:49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9" spans="1:49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0" spans="1:49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1" spans="1:49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52" spans="1:49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3" spans="1:49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4" spans="1:49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5" spans="1:49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6" spans="1:49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7" spans="1:49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5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8" spans="1:49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5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9" spans="1:49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0" spans="1:49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1" spans="1:49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1" s="2" t="str">
        <f>INDEX(Sheet5!$B$2:$AG$33, MATCH(Table2[[#This Row],[AwayTeam]],Sheet5!$A$2:$A$33, 0), MATCH(Table2[[#This Row],[HomeTeam]],Sheet5!$A$2:$A$33, 0))</f>
        <v>1-0-1</v>
      </c>
      <c r="AP261" s="2" t="str">
        <f>INDEX(Sheet5!$B$2:$AG$33, MATCH(Table2[[#This Row],[HomeTeam]],Sheet5!$A$2:$A$33, 0), MATCH(Table2[[#This Row],[AwayTeam]],Sheet5!$A$2:$A$33, 0))</f>
        <v>1-1-0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2" spans="1:49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3" spans="1:49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4" spans="1:49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5" spans="1:49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6" spans="1:49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7" spans="1:49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8" spans="1:49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9" spans="1:49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0" spans="1:49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1" spans="1:49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2" spans="1:49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3" spans="1:49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4" spans="1:49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5" spans="1:49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6" spans="1:49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7" spans="1:49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8" spans="1:49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8" s="2" t="str">
        <f>INDEX(Sheet5!$B$2:$AG$33, MATCH(Table2[[#This Row],[AwayTeam]],Sheet5!$A$2:$A$33, 0), MATCH(Table2[[#This Row],[HomeTeam]],Sheet5!$A$2:$A$33, 0))</f>
        <v>1-1-0</v>
      </c>
      <c r="AP278" s="2" t="str">
        <f>INDEX(Sheet5!$B$2:$AG$33, MATCH(Table2[[#This Row],[HomeTeam]],Sheet5!$A$2:$A$33, 0), MATCH(Table2[[#This Row],[AwayTeam]],Sheet5!$A$2:$A$33, 0))</f>
        <v>1-1-0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79" spans="1:49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0" spans="1:49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1" spans="1:49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2" spans="1:49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3" spans="1:49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4" spans="1:49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5" spans="1:49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5" s="2" t="str">
        <f>INDEX(Sheet5!$B$2:$AG$33, MATCH(Table2[[#This Row],[AwayTeam]],Sheet5!$A$2:$A$33, 0), MATCH(Table2[[#This Row],[HomeTeam]],Sheet5!$A$2:$A$33, 0))</f>
        <v>1-1-0</v>
      </c>
      <c r="AP285" s="2" t="str">
        <f>INDEX(Sheet5!$B$2:$AG$33, MATCH(Table2[[#This Row],[HomeTeam]],Sheet5!$A$2:$A$33, 0), MATCH(Table2[[#This Row],[AwayTeam]],Sheet5!$A$2:$A$33, 0))</f>
        <v>1-1-0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6" spans="1:49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7" spans="1:49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8" spans="1:49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9" spans="1:49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0" spans="1:49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1" spans="1:49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2" spans="1:49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3" spans="1:49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3" s="2" t="str">
        <f>INDEX(Sheet5!$B$2:$AG$33, MATCH(Table2[[#This Row],[AwayTeam]],Sheet5!$A$2:$A$33, 0), MATCH(Table2[[#This Row],[HomeTeam]],Sheet5!$A$2:$A$33, 0))</f>
        <v>1-1-0</v>
      </c>
      <c r="AP293" s="2" t="str">
        <f>INDEX(Sheet5!$B$2:$AG$33, MATCH(Table2[[#This Row],[HomeTeam]],Sheet5!$A$2:$A$33, 0), MATCH(Table2[[#This Row],[AwayTeam]],Sheet5!$A$2:$A$33, 0))</f>
        <v>1-1-0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4" spans="1:49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5" spans="1:49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6" spans="1:49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97" spans="1:49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8" spans="1:49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9" spans="1:49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0" spans="1:49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1" spans="1:49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2" spans="1:49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3" spans="1:49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4" spans="1:49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5" spans="1:49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6" spans="1:49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7" spans="1:49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8" spans="1:49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9" spans="1:49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0" spans="1:49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1" spans="1:49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1" s="2" t="str">
        <f>INDEX(Sheet5!$B$2:$AG$33, MATCH(Table2[[#This Row],[AwayTeam]],Sheet5!$A$2:$A$33, 0), MATCH(Table2[[#This Row],[HomeTeam]],Sheet5!$A$2:$A$33, 0))</f>
        <v>1-2-0</v>
      </c>
      <c r="AP311" s="2" t="str">
        <f>INDEX(Sheet5!$B$2:$AG$33, MATCH(Table2[[#This Row],[HomeTeam]],Sheet5!$A$2:$A$33, 0), MATCH(Table2[[#This Row],[AwayTeam]],Sheet5!$A$2:$A$33, 0))</f>
        <v>2-1-0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2" spans="1:49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3" spans="1:49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4" spans="1:49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5" spans="1:49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6" spans="1:49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7" spans="1:49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8" spans="1:49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9" spans="1:49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0" spans="1:49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1" spans="1:49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2" spans="1:49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3" spans="1:49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3" s="2" t="str">
        <f>INDEX(Sheet5!$B$2:$AG$33, MATCH(Table2[[#This Row],[AwayTeam]],Sheet5!$A$2:$A$33, 0), MATCH(Table2[[#This Row],[HomeTeam]],Sheet5!$A$2:$A$33, 0))</f>
        <v>2-1-0</v>
      </c>
      <c r="AP323" s="2" t="str">
        <f>INDEX(Sheet5!$B$2:$AG$33, MATCH(Table2[[#This Row],[HomeTeam]],Sheet5!$A$2:$A$33, 0), MATCH(Table2[[#This Row],[AwayTeam]],Sheet5!$A$2:$A$33, 0))</f>
        <v>1-2-0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4" spans="1:49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5" spans="1:49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6" spans="1:49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7" spans="1:49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8" spans="1:49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9" spans="1:49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0" spans="1:49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1" spans="1:49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2" spans="1:49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3" spans="1:49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4" spans="1:49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5" spans="1:49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6" spans="1:49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7" spans="1:49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8" spans="1:49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9" spans="1:49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0" spans="1:49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1" spans="1:49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2" spans="1:49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3" spans="1:49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4" spans="1:49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5" spans="1:49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45" s="2" t="str">
        <f>INDEX(Sheet5!$B$2:$AG$33, MATCH(Table2[[#This Row],[AwayTeam]],Sheet5!$A$2:$A$33, 0), MATCH(Table2[[#This Row],[HomeTeam]],Sheet5!$A$2:$A$33, 0))</f>
        <v>2-0-1</v>
      </c>
      <c r="AP345" s="2" t="str">
        <f>INDEX(Sheet5!$B$2:$AG$33, MATCH(Table2[[#This Row],[HomeTeam]],Sheet5!$A$2:$A$33, 0), MATCH(Table2[[#This Row],[AwayTeam]],Sheet5!$A$2:$A$33, 0))</f>
        <v>1-2-0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6" spans="1:49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7" spans="1:49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48" spans="1:49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9" spans="1:49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0" spans="1:49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1" spans="1:49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2" spans="1:49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3" spans="1:49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4" spans="1:49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5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55" spans="1:49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6" spans="1:49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7" spans="1:49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8" spans="1:49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9" spans="1:49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0" spans="1:49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1" spans="1:49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6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2" spans="1:49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2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2" s="15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3" spans="1:49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4" spans="1:49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65" spans="1:49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6" spans="1:49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7" spans="1:49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8" spans="1:49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9" spans="1:49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9" s="2" t="str">
        <f>INDEX(Sheet5!$B$2:$AG$33, MATCH(Table2[[#This Row],[AwayTeam]],Sheet5!$A$2:$A$33, 0), MATCH(Table2[[#This Row],[HomeTeam]],Sheet5!$A$2:$A$33, 0))</f>
        <v>1-1-0</v>
      </c>
      <c r="AP369" s="2" t="str">
        <f>INDEX(Sheet5!$B$2:$AG$33, MATCH(Table2[[#This Row],[HomeTeam]],Sheet5!$A$2:$A$33, 0), MATCH(Table2[[#This Row],[AwayTeam]],Sheet5!$A$2:$A$33, 0))</f>
        <v>1-1-0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0" spans="1:49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1" spans="1:49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2" spans="1:49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3" spans="1:49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4" spans="1:49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5" spans="1:49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6" spans="1:49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7" spans="1:49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8" spans="1:49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9" spans="1:49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0" spans="1:49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1" spans="1:49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2" spans="1:49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83" spans="1:49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4" spans="1:49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5" spans="1:49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6" spans="1:49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7" spans="1:49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8" spans="1:49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9" spans="1:49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0" spans="1:49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1" spans="1:49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2" spans="1:49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3" spans="1:49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4" spans="1:49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9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3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5" spans="1:49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6" spans="1:49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7" spans="1:49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8" spans="1:49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9" spans="1:49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0" spans="1:49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1" spans="1:49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2" spans="1:49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3" spans="1:49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4" spans="1:49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5" spans="1:49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6" spans="1:49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07" spans="1:49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8" spans="1:49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9" spans="1:49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0" spans="1:49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1" spans="1:49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2" spans="1:49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3" spans="1:49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4" spans="1:49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5" spans="1:49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6" spans="1:49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6" s="2" t="str">
        <f>INDEX(Sheet5!$B$2:$AG$33, MATCH(Table2[[#This Row],[AwayTeam]],Sheet5!$A$2:$A$33, 0), MATCH(Table2[[#This Row],[HomeTeam]],Sheet5!$A$2:$A$33, 0))</f>
        <v>0-2-1</v>
      </c>
      <c r="AP416" s="2" t="str">
        <f>INDEX(Sheet5!$B$2:$AG$33, MATCH(Table2[[#This Row],[HomeTeam]],Sheet5!$A$2:$A$33, 0), MATCH(Table2[[#This Row],[AwayTeam]],Sheet5!$A$2:$A$33, 0))</f>
        <v>3-0-0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7" spans="1:49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8" spans="1:49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19" spans="1:49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9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4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0" spans="1:49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1" spans="1:49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2" spans="1:49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3" spans="1:49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4" spans="1:49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5" spans="1:49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6" spans="1:49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7" spans="1:49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8" spans="1:49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9" spans="1:49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0" spans="1:49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1" spans="1:49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2" spans="1:49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3" spans="1:49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4" spans="1:49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5" spans="1:49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36" spans="1:49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7" spans="1:49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8" spans="1:49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9" spans="1:49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0" spans="1:49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1" spans="1:49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2" spans="1:49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3" spans="1:49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4" spans="1:49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5" spans="1:49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6" spans="1:49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7" spans="1:49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8" spans="1:49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8" s="2" t="str">
        <f>INDEX(Sheet5!$B$2:$AG$33, MATCH(Table2[[#This Row],[AwayTeam]],Sheet5!$A$2:$A$33, 0), MATCH(Table2[[#This Row],[HomeTeam]],Sheet5!$A$2:$A$33, 0))</f>
        <v>3-0-0</v>
      </c>
      <c r="AP448" s="2" t="str">
        <f>INDEX(Sheet5!$B$2:$AG$33, MATCH(Table2[[#This Row],[HomeTeam]],Sheet5!$A$2:$A$33, 0), MATCH(Table2[[#This Row],[AwayTeam]],Sheet5!$A$2:$A$33, 0))</f>
        <v>0-2-1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9" spans="1:49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0" spans="1:49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51" spans="1:49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2" spans="1:49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3" spans="1:49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4" spans="1:49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5" spans="1:49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6" spans="1:49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7" spans="1:49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8" spans="1:49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9" spans="1:49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0" spans="1:49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1" spans="1:49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2" spans="1:49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3" spans="1:49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 t="s">
        <v>750</v>
      </c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4" spans="1:49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5" spans="1:49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66" spans="1:49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7" spans="1:49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8" spans="1:49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9" spans="1:49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0" spans="1:49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1" spans="1:49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2" spans="1:49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3" spans="1:49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4" spans="1:49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5" spans="1:49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6" spans="1:49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7" spans="1:49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77" s="143" t="str">
        <f>INDEX(Sheet5!$B$2:$AG$33, MATCH(Table2[[#This Row],[AwayTeam]],Sheet5!$A$2:$A$33, 0), MATCH(Table2[[#This Row],[HomeTeam]],Sheet5!$A$2:$A$33, 0))</f>
        <v>2-0-1</v>
      </c>
      <c r="AP477" s="143" t="str">
        <f>INDEX(Sheet5!$B$2:$AG$33, MATCH(Table2[[#This Row],[HomeTeam]],Sheet5!$A$2:$A$33, 0), MATCH(Table2[[#This Row],[AwayTeam]],Sheet5!$A$2:$A$33, 0))</f>
        <v>1-2-0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8" spans="1:49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9" spans="1:49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80" spans="1:49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1" spans="1:49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2" spans="1:49" x14ac:dyDescent="0.25">
      <c r="A482" s="3">
        <v>46002</v>
      </c>
      <c r="B482" s="3">
        <v>46002</v>
      </c>
      <c r="C482" s="5">
        <v>2025020480</v>
      </c>
      <c r="D482" s="2" t="s">
        <v>37</v>
      </c>
      <c r="E482" s="2" t="s">
        <v>17</v>
      </c>
      <c r="F482" s="2">
        <v>3</v>
      </c>
      <c r="G482" s="2">
        <v>4</v>
      </c>
      <c r="H482" s="2" t="str">
        <f t="shared" si="39"/>
        <v>TOR</v>
      </c>
      <c r="I482" s="2" t="s">
        <v>718</v>
      </c>
      <c r="J482" s="2">
        <v>3</v>
      </c>
      <c r="K482" s="2">
        <v>2</v>
      </c>
      <c r="L482" s="2" t="str">
        <f t="shared" si="40"/>
        <v>SJS</v>
      </c>
      <c r="M482" s="2" t="s">
        <v>720</v>
      </c>
      <c r="N482" s="2">
        <f>IF(ISBLANK(Table2[[#This Row],[ActualResult]]), 0, 1)</f>
        <v>1</v>
      </c>
      <c r="O482" s="2" t="str">
        <f>IF(ISBLANK(Table2[[#This Row],[ActualResult]]), "_", IF(Table2[[#This Row],[ActualWinner]]=Table2[[#This Row],[PredictedWinner]], "Y", "N"))</f>
        <v>N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2" s="2">
        <v>1</v>
      </c>
      <c r="S482" s="2" t="str">
        <f t="shared" si="41"/>
        <v>TOR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-2</v>
      </c>
      <c r="AH482" s="2">
        <f t="shared" si="42"/>
        <v>8</v>
      </c>
      <c r="AI482" s="2">
        <f t="shared" si="43"/>
        <v>2</v>
      </c>
      <c r="AJ482" s="2">
        <v>1</v>
      </c>
      <c r="AK482" s="3">
        <v>46002</v>
      </c>
      <c r="AL482" s="2">
        <f>IF(Table2[[#This Row],[GameIsOver]]=0,0,IF(Table2[[#This Row],[ActualWinner]]=Table2[[#This Row],[AwayTeam]], 1, 0))</f>
        <v>1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2" s="2" t="str">
        <f>INDEX(Sheet5!$B$2:$AG$33, MATCH(Table2[[#This Row],[AwayTeam]],Sheet5!$A$2:$A$33, 0), MATCH(Table2[[#This Row],[HomeTeam]],Sheet5!$A$2:$A$33, 0))</f>
        <v>1-0-0</v>
      </c>
      <c r="AP482" s="2" t="str">
        <f>INDEX(Sheet5!$B$2:$AG$33, MATCH(Table2[[#This Row],[HomeTeam]],Sheet5!$A$2:$A$33, 0), MATCH(Table2[[#This Row],[AwayTeam]],Sheet5!$A$2:$A$33, 0))</f>
        <v>0-0-1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0</v>
      </c>
      <c r="AU4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3" spans="1:49" x14ac:dyDescent="0.25">
      <c r="A483" s="3">
        <v>46002</v>
      </c>
      <c r="B483" s="3">
        <v>46002</v>
      </c>
      <c r="C483" s="5">
        <v>2025020481</v>
      </c>
      <c r="D483" s="2" t="s">
        <v>40</v>
      </c>
      <c r="E483" s="2" t="s">
        <v>31</v>
      </c>
      <c r="F483" s="2">
        <v>4</v>
      </c>
      <c r="G483" s="2">
        <v>2</v>
      </c>
      <c r="H483" s="2" t="str">
        <f t="shared" si="39"/>
        <v>TBL</v>
      </c>
      <c r="I483" s="2" t="s">
        <v>718</v>
      </c>
      <c r="J483" s="2">
        <v>8</v>
      </c>
      <c r="K483" s="2">
        <v>4</v>
      </c>
      <c r="L483" s="2" t="str">
        <f t="shared" si="40"/>
        <v>TBL</v>
      </c>
      <c r="M483" s="2" t="s">
        <v>718</v>
      </c>
      <c r="N483" s="2">
        <f>IF(ISBLANK(Table2[[#This Row],[ActualResult]]), 0, 1)</f>
        <v>1</v>
      </c>
      <c r="O483" s="2" t="str">
        <f>IF(ISBLANK(Table2[[#This Row],[ActualResult]]), "_", IF(Table2[[#This Row],[ActualWinner]]=Table2[[#This Row],[PredictedWinner]], "Y", "N"))</f>
        <v>Y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3" s="2">
        <v>1</v>
      </c>
      <c r="S483" s="2" t="str">
        <f t="shared" si="41"/>
        <v>NJD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4</v>
      </c>
      <c r="AG483" s="2">
        <f>Table2[[#This Row],[ActualHomeScore]]-Table2[[#This Row],[PredictedHomeScore]]</f>
        <v>2</v>
      </c>
      <c r="AH483" s="2">
        <f t="shared" si="42"/>
        <v>8</v>
      </c>
      <c r="AI483" s="2">
        <f t="shared" si="43"/>
        <v>2</v>
      </c>
      <c r="AJ483" s="2">
        <v>2</v>
      </c>
      <c r="AK483" s="3">
        <v>46002</v>
      </c>
      <c r="AL483" s="2">
        <f>IF(Table2[[#This Row],[GameIsOver]]=0,0,IF(Table2[[#This Row],[ActualWinner]]=Table2[[#This Row],[AwayTeam]], 1, 0))</f>
        <v>1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3" s="2" t="str">
        <f>INDEX(Sheet5!$B$2:$AG$33, MATCH(Table2[[#This Row],[AwayTeam]],Sheet5!$A$2:$A$33, 0), MATCH(Table2[[#This Row],[HomeTeam]],Sheet5!$A$2:$A$33, 0))</f>
        <v>2-1-0</v>
      </c>
      <c r="AP483" s="2" t="str">
        <f>INDEX(Sheet5!$B$2:$AG$33, MATCH(Table2[[#This Row],[HomeTeam]],Sheet5!$A$2:$A$33, 0), MATCH(Table2[[#This Row],[AwayTeam]],Sheet5!$A$2:$A$33, 0))</f>
        <v>1-2-0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1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0</v>
      </c>
      <c r="AU4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4" spans="1:49" x14ac:dyDescent="0.25">
      <c r="A484" s="3">
        <v>46002</v>
      </c>
      <c r="B484" s="3">
        <v>46002</v>
      </c>
      <c r="C484" s="5">
        <v>2025020482</v>
      </c>
      <c r="D484" s="2" t="s">
        <v>44</v>
      </c>
      <c r="E484" s="2" t="s">
        <v>32</v>
      </c>
      <c r="F484" s="2">
        <v>2</v>
      </c>
      <c r="G484" s="2">
        <v>4</v>
      </c>
      <c r="H484" s="2" t="str">
        <f t="shared" si="39"/>
        <v>NYI</v>
      </c>
      <c r="I484" s="2" t="s">
        <v>718</v>
      </c>
      <c r="J484" s="2">
        <v>2</v>
      </c>
      <c r="K484" s="2">
        <v>5</v>
      </c>
      <c r="L484" s="2" t="str">
        <f t="shared" si="40"/>
        <v>NYI</v>
      </c>
      <c r="M484" s="2" t="s">
        <v>718</v>
      </c>
      <c r="N484" s="2">
        <f>IF(ISBLANK(Table2[[#This Row],[ActualResult]]), 0, 1)</f>
        <v>1</v>
      </c>
      <c r="O484" s="2" t="str">
        <f>IF(ISBLANK(Table2[[#This Row],[ActualResult]]), "_", IF(Table2[[#This Row],[ActualWinner]]=Table2[[#This Row],[PredictedWinner]], "Y", "N"))</f>
        <v>Y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4" s="2">
        <v>1</v>
      </c>
      <c r="S484" s="2" t="str">
        <f t="shared" si="41"/>
        <v>ANA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1</v>
      </c>
      <c r="AH484" s="2">
        <f t="shared" si="42"/>
        <v>8</v>
      </c>
      <c r="AI484" s="2">
        <f t="shared" si="43"/>
        <v>2</v>
      </c>
      <c r="AJ484" s="2">
        <v>3</v>
      </c>
      <c r="AK484" s="3">
        <v>46002</v>
      </c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1</v>
      </c>
      <c r="AN4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4" s="2" t="str">
        <f>INDEX(Sheet5!$B$2:$AG$33, MATCH(Table2[[#This Row],[AwayTeam]],Sheet5!$A$2:$A$33, 0), MATCH(Table2[[#This Row],[HomeTeam]],Sheet5!$A$2:$A$33, 0))</f>
        <v>0-1-0</v>
      </c>
      <c r="AP484" s="2" t="str">
        <f>INDEX(Sheet5!$B$2:$AG$33, MATCH(Table2[[#This Row],[HomeTeam]],Sheet5!$A$2:$A$33, 0), MATCH(Table2[[#This Row],[AwayTeam]],Sheet5!$A$2:$A$33, 0))</f>
        <v>1-0-0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0</v>
      </c>
      <c r="AU4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5" spans="1:49" x14ac:dyDescent="0.25">
      <c r="A485" s="3">
        <v>46002</v>
      </c>
      <c r="B485" s="3">
        <v>46002</v>
      </c>
      <c r="C485" s="5">
        <v>2025020483</v>
      </c>
      <c r="D485" s="2" t="s">
        <v>26</v>
      </c>
      <c r="E485" s="2" t="s">
        <v>42</v>
      </c>
      <c r="F485" s="2">
        <v>2</v>
      </c>
      <c r="G485" s="2">
        <v>4</v>
      </c>
      <c r="H485" s="2" t="str">
        <f t="shared" si="39"/>
        <v>PHI</v>
      </c>
      <c r="I485" s="2" t="s">
        <v>718</v>
      </c>
      <c r="J485" s="2">
        <v>3</v>
      </c>
      <c r="K485" s="2">
        <v>2</v>
      </c>
      <c r="L485" s="2" t="str">
        <f t="shared" si="40"/>
        <v>VGK</v>
      </c>
      <c r="M485" s="2" t="s">
        <v>720</v>
      </c>
      <c r="N485" s="2">
        <f>IF(ISBLANK(Table2[[#This Row],[ActualResult]]), 0, 1)</f>
        <v>1</v>
      </c>
      <c r="O485" s="2" t="str">
        <f>IF(ISBLANK(Table2[[#This Row],[ActualResult]]), "_", IF(Table2[[#This Row],[ActualWinner]]=Table2[[#This Row],[PredictedWinner]], "Y", "N"))</f>
        <v>N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5" s="2">
        <v>1</v>
      </c>
      <c r="S485" s="2" t="str">
        <f t="shared" si="41"/>
        <v>PHI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1</v>
      </c>
      <c r="AG485" s="2">
        <f>Table2[[#This Row],[ActualHomeScore]]-Table2[[#This Row],[PredictedHomeScore]]</f>
        <v>-2</v>
      </c>
      <c r="AH485" s="2">
        <f t="shared" si="42"/>
        <v>8</v>
      </c>
      <c r="AI485" s="2">
        <f t="shared" si="43"/>
        <v>2</v>
      </c>
      <c r="AJ485" s="2">
        <v>4</v>
      </c>
      <c r="AK485" s="3">
        <v>46002</v>
      </c>
      <c r="AL485" s="2">
        <f>IF(Table2[[#This Row],[GameIsOver]]=0,0,IF(Table2[[#This Row],[ActualWinner]]=Table2[[#This Row],[AwayTeam]], 1, 0))</f>
        <v>1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5" s="2" t="str">
        <f>INDEX(Sheet5!$B$2:$AG$33, MATCH(Table2[[#This Row],[AwayTeam]],Sheet5!$A$2:$A$33, 0), MATCH(Table2[[#This Row],[HomeTeam]],Sheet5!$A$2:$A$33, 0))</f>
        <v>1-0-0</v>
      </c>
      <c r="AP485" s="2" t="str">
        <f>INDEX(Sheet5!$B$2:$AG$33, MATCH(Table2[[#This Row],[HomeTeam]],Sheet5!$A$2:$A$33, 0), MATCH(Table2[[#This Row],[AwayTeam]],Sheet5!$A$2:$A$33, 0))</f>
        <v>0-0-1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0</v>
      </c>
      <c r="AU4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6" spans="1:49" x14ac:dyDescent="0.25">
      <c r="A486" s="3">
        <v>46002</v>
      </c>
      <c r="B486" s="3">
        <v>46002</v>
      </c>
      <c r="C486" s="5">
        <v>2025020484</v>
      </c>
      <c r="D486" s="2" t="s">
        <v>18</v>
      </c>
      <c r="E486" s="2" t="s">
        <v>20</v>
      </c>
      <c r="F486" s="2">
        <v>3</v>
      </c>
      <c r="G486" s="2">
        <v>5</v>
      </c>
      <c r="H486" s="2" t="str">
        <f t="shared" si="39"/>
        <v>PIT</v>
      </c>
      <c r="I486" s="2" t="s">
        <v>718</v>
      </c>
      <c r="J486" s="2">
        <v>4</v>
      </c>
      <c r="K486" s="2">
        <v>2</v>
      </c>
      <c r="L486" s="2" t="str">
        <f t="shared" si="40"/>
        <v>MTL</v>
      </c>
      <c r="M486" s="2" t="s">
        <v>718</v>
      </c>
      <c r="N486" s="2">
        <f>IF(ISBLANK(Table2[[#This Row],[ActualResult]]), 0, 1)</f>
        <v>1</v>
      </c>
      <c r="O486" s="2" t="str">
        <f>IF(ISBLANK(Table2[[#This Row],[ActualResult]]), "_", IF(Table2[[#This Row],[ActualWinner]]=Table2[[#This Row],[PredictedWinner]], "Y", "N"))</f>
        <v>N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6" s="2">
        <v>1</v>
      </c>
      <c r="S486" s="2" t="str">
        <f t="shared" si="41"/>
        <v>PIT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1</v>
      </c>
      <c r="AG486" s="2">
        <f>Table2[[#This Row],[ActualHomeScore]]-Table2[[#This Row],[PredictedHomeScore]]</f>
        <v>-3</v>
      </c>
      <c r="AH486" s="2">
        <f t="shared" si="42"/>
        <v>8</v>
      </c>
      <c r="AI486" s="2">
        <f t="shared" si="43"/>
        <v>2</v>
      </c>
      <c r="AJ486" s="2">
        <v>5</v>
      </c>
      <c r="AK486" s="3">
        <v>46002</v>
      </c>
      <c r="AL486" s="2">
        <f>IF(Table2[[#This Row],[GameIsOver]]=0,0,IF(Table2[[#This Row],[ActualWinner]]=Table2[[#This Row],[AwayTeam]], 1, 0))</f>
        <v>1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6" s="2" t="str">
        <f>INDEX(Sheet5!$B$2:$AG$33, MATCH(Table2[[#This Row],[AwayTeam]],Sheet5!$A$2:$A$33, 0), MATCH(Table2[[#This Row],[HomeTeam]],Sheet5!$A$2:$A$33, 0))</f>
        <v>1-0-0</v>
      </c>
      <c r="AP486" s="2" t="str">
        <f>INDEX(Sheet5!$B$2:$AG$33, MATCH(Table2[[#This Row],[HomeTeam]],Sheet5!$A$2:$A$33, 0), MATCH(Table2[[#This Row],[AwayTeam]],Sheet5!$A$2:$A$33, 0))</f>
        <v>0-1-0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0</v>
      </c>
      <c r="AU4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7" spans="1:49" x14ac:dyDescent="0.25">
      <c r="A487" s="3">
        <v>46002</v>
      </c>
      <c r="B487" s="3">
        <v>46002</v>
      </c>
      <c r="C487" s="5">
        <v>2025020485</v>
      </c>
      <c r="D487" s="2" t="s">
        <v>41</v>
      </c>
      <c r="E487" s="2" t="s">
        <v>43</v>
      </c>
      <c r="F487" s="2">
        <v>3</v>
      </c>
      <c r="G487" s="2">
        <v>2</v>
      </c>
      <c r="H487" s="2" t="str">
        <f t="shared" si="39"/>
        <v>CAR</v>
      </c>
      <c r="I487" s="2" t="s">
        <v>719</v>
      </c>
      <c r="J487" s="2">
        <v>3</v>
      </c>
      <c r="K487" s="2">
        <v>2</v>
      </c>
      <c r="L487" s="2" t="str">
        <f t="shared" si="40"/>
        <v>CAR</v>
      </c>
      <c r="M487" s="2" t="s">
        <v>719</v>
      </c>
      <c r="N487" s="2">
        <f>IF(ISBLANK(Table2[[#This Row],[ActualResult]]), 0, 1)</f>
        <v>1</v>
      </c>
      <c r="O487" s="2" t="str">
        <f>IF(ISBLANK(Table2[[#This Row],[ActualResult]]), "_", IF(Table2[[#This Row],[ActualWinner]]=Table2[[#This Row],[PredictedWinner]], "Y", "N"))</f>
        <v>Y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7" s="2">
        <v>0</v>
      </c>
      <c r="S487" s="2" t="str">
        <f t="shared" si="41"/>
        <v>WSH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8</v>
      </c>
      <c r="AI487" s="2">
        <f t="shared" si="43"/>
        <v>2</v>
      </c>
      <c r="AJ487" s="2"/>
      <c r="AK487" s="3"/>
      <c r="AL487" s="2">
        <f>IF(Table2[[#This Row],[GameIsOver]]=0,0,IF(Table2[[#This Row],[ActualWinner]]=Table2[[#This Row],[AwayTeam]], 1, 0))</f>
        <v>1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7" s="2" t="str">
        <f>INDEX(Sheet5!$B$2:$AG$33, MATCH(Table2[[#This Row],[AwayTeam]],Sheet5!$A$2:$A$33, 0), MATCH(Table2[[#This Row],[HomeTeam]],Sheet5!$A$2:$A$33, 0))</f>
        <v>1-1-0</v>
      </c>
      <c r="AP487" s="2" t="str">
        <f>INDEX(Sheet5!$B$2:$AG$33, MATCH(Table2[[#This Row],[HomeTeam]],Sheet5!$A$2:$A$33, 0), MATCH(Table2[[#This Row],[AwayTeam]],Sheet5!$A$2:$A$33, 0))</f>
        <v>1-0-1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0</v>
      </c>
      <c r="AU4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8" spans="1:49" x14ac:dyDescent="0.25">
      <c r="A488" s="3">
        <v>46002</v>
      </c>
      <c r="B488" s="3">
        <v>46002</v>
      </c>
      <c r="C488" s="5">
        <v>2025020486</v>
      </c>
      <c r="D488" s="2" t="s">
        <v>29</v>
      </c>
      <c r="E488" s="2" t="s">
        <v>35</v>
      </c>
      <c r="F488" s="2">
        <v>3</v>
      </c>
      <c r="G488" s="2">
        <v>2</v>
      </c>
      <c r="H488" s="2" t="str">
        <f t="shared" si="39"/>
        <v>OTT</v>
      </c>
      <c r="I488" s="2" t="s">
        <v>720</v>
      </c>
      <c r="J488" s="2">
        <v>6</v>
      </c>
      <c r="K488" s="2">
        <v>3</v>
      </c>
      <c r="L488" s="2" t="str">
        <f t="shared" si="40"/>
        <v>OTT</v>
      </c>
      <c r="M488" s="2" t="s">
        <v>718</v>
      </c>
      <c r="N488" s="2">
        <f>IF(ISBLANK(Table2[[#This Row],[ActualResult]]), 0, 1)</f>
        <v>1</v>
      </c>
      <c r="O488" s="2" t="str">
        <f>IF(ISBLANK(Table2[[#This Row],[ActualResult]]), "_", IF(Table2[[#This Row],[ActualWinner]]=Table2[[#This Row],[PredictedWinner]], "Y", "N"))</f>
        <v>Y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8" s="2">
        <v>0</v>
      </c>
      <c r="S488" s="2" t="str">
        <f t="shared" si="41"/>
        <v>CBJ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3</v>
      </c>
      <c r="AG488" s="2">
        <f>Table2[[#This Row],[ActualHomeScore]]-Table2[[#This Row],[PredictedHomeScore]]</f>
        <v>1</v>
      </c>
      <c r="AH488" s="2">
        <f t="shared" si="42"/>
        <v>8</v>
      </c>
      <c r="AI488" s="2">
        <f t="shared" si="43"/>
        <v>2</v>
      </c>
      <c r="AJ488" s="2"/>
      <c r="AK488" s="3"/>
      <c r="AL488" s="2">
        <f>IF(Table2[[#This Row],[GameIsOver]]=0,0,IF(Table2[[#This Row],[ActualWinner]]=Table2[[#This Row],[AwayTeam]], 1, 0))</f>
        <v>1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8" s="2" t="str">
        <f>INDEX(Sheet5!$B$2:$AG$33, MATCH(Table2[[#This Row],[AwayTeam]],Sheet5!$A$2:$A$33, 0), MATCH(Table2[[#This Row],[HomeTeam]],Sheet5!$A$2:$A$33, 0))</f>
        <v>1-0-0</v>
      </c>
      <c r="AP488" s="2" t="str">
        <f>INDEX(Sheet5!$B$2:$AG$33, MATCH(Table2[[#This Row],[HomeTeam]],Sheet5!$A$2:$A$33, 0), MATCH(Table2[[#This Row],[AwayTeam]],Sheet5!$A$2:$A$33, 0))</f>
        <v>0-1-0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0</v>
      </c>
      <c r="AU4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9" spans="1:49" x14ac:dyDescent="0.25">
      <c r="A489" s="3">
        <v>46002</v>
      </c>
      <c r="B489" s="3">
        <v>46002</v>
      </c>
      <c r="C489" s="5">
        <v>2025020487</v>
      </c>
      <c r="D489" s="2" t="s">
        <v>12</v>
      </c>
      <c r="E489" s="2" t="s">
        <v>34</v>
      </c>
      <c r="F489" s="2">
        <v>3</v>
      </c>
      <c r="G489" s="2">
        <v>5</v>
      </c>
      <c r="H489" s="2" t="str">
        <f t="shared" si="39"/>
        <v>NSH</v>
      </c>
      <c r="I489" s="2" t="s">
        <v>718</v>
      </c>
      <c r="J489" s="2">
        <v>2</v>
      </c>
      <c r="K489" s="2">
        <v>7</v>
      </c>
      <c r="L489" s="2" t="str">
        <f t="shared" si="40"/>
        <v>NSH</v>
      </c>
      <c r="M489" s="2" t="s">
        <v>718</v>
      </c>
      <c r="N489" s="2">
        <f>IF(ISBLANK(Table2[[#This Row],[ActualResult]]), 0, 1)</f>
        <v>1</v>
      </c>
      <c r="O489" s="2" t="str">
        <f>IF(ISBLANK(Table2[[#This Row],[ActualResult]]), "_", IF(Table2[[#This Row],[ActualWinner]]=Table2[[#This Row],[PredictedWinner]], "Y", "N"))</f>
        <v>Y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9" s="2">
        <v>0</v>
      </c>
      <c r="S489" s="2" t="str">
        <f t="shared" si="41"/>
        <v>STL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-1</v>
      </c>
      <c r="AG489" s="2">
        <f>Table2[[#This Row],[ActualHomeScore]]-Table2[[#This Row],[PredictedHomeScore]]</f>
        <v>2</v>
      </c>
      <c r="AH489" s="2">
        <f t="shared" si="42"/>
        <v>8</v>
      </c>
      <c r="AI489" s="2">
        <f t="shared" si="43"/>
        <v>2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1</v>
      </c>
      <c r="AN4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9" s="2" t="str">
        <f>INDEX(Sheet5!$B$2:$AG$33, MATCH(Table2[[#This Row],[AwayTeam]],Sheet5!$A$2:$A$33, 0), MATCH(Table2[[#This Row],[HomeTeam]],Sheet5!$A$2:$A$33, 0))</f>
        <v>0-2-0</v>
      </c>
      <c r="AP489" s="2" t="str">
        <f>INDEX(Sheet5!$B$2:$AG$33, MATCH(Table2[[#This Row],[HomeTeam]],Sheet5!$A$2:$A$33, 0), MATCH(Table2[[#This Row],[AwayTeam]],Sheet5!$A$2:$A$33, 0))</f>
        <v>2-0-0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1</v>
      </c>
      <c r="AT489" s="2">
        <f>IF(Table2[[#This Row],[ActualAwayScore]] + Table2[[#This Row],[ActualHomeScore]] &lt;= 3, 1, 0)</f>
        <v>0</v>
      </c>
      <c r="AU4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0" spans="1:49" x14ac:dyDescent="0.25">
      <c r="A490" s="3">
        <v>46002</v>
      </c>
      <c r="B490" s="3">
        <v>46002</v>
      </c>
      <c r="C490" s="5">
        <v>2025020488</v>
      </c>
      <c r="D490" s="2" t="s">
        <v>33</v>
      </c>
      <c r="E490" s="2" t="s">
        <v>36</v>
      </c>
      <c r="F490" s="2">
        <v>3</v>
      </c>
      <c r="G490" s="2">
        <v>2</v>
      </c>
      <c r="H490" s="2" t="str">
        <f t="shared" si="39"/>
        <v>DAL</v>
      </c>
      <c r="I490" s="2" t="s">
        <v>718</v>
      </c>
      <c r="J490" s="2">
        <v>2</v>
      </c>
      <c r="K490" s="2">
        <v>5</v>
      </c>
      <c r="L490" s="2" t="str">
        <f t="shared" si="40"/>
        <v>MIN</v>
      </c>
      <c r="M490" s="2" t="s">
        <v>718</v>
      </c>
      <c r="N490" s="2">
        <f>IF(ISBLANK(Table2[[#This Row],[ActualResult]]), 0, 1)</f>
        <v>1</v>
      </c>
      <c r="O490" s="2" t="str">
        <f>IF(ISBLANK(Table2[[#This Row],[ActualResult]]), "_", IF(Table2[[#This Row],[ActualWinner]]=Table2[[#This Row],[PredictedWinner]], "Y", "N"))</f>
        <v>N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0" s="2">
        <v>1</v>
      </c>
      <c r="S490" s="2" t="str">
        <f t="shared" si="41"/>
        <v>DAL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-1</v>
      </c>
      <c r="AG490" s="2">
        <f>Table2[[#This Row],[ActualHomeScore]]-Table2[[#This Row],[PredictedHomeScore]]</f>
        <v>3</v>
      </c>
      <c r="AH490" s="2">
        <f t="shared" si="42"/>
        <v>8</v>
      </c>
      <c r="AI490" s="2">
        <f t="shared" si="43"/>
        <v>2</v>
      </c>
      <c r="AJ490" s="2">
        <v>6</v>
      </c>
      <c r="AK490" s="3">
        <v>46002</v>
      </c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1</v>
      </c>
      <c r="AN4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0" s="2" t="str">
        <f>INDEX(Sheet5!$B$2:$AG$33, MATCH(Table2[[#This Row],[AwayTeam]],Sheet5!$A$2:$A$33, 0), MATCH(Table2[[#This Row],[HomeTeam]],Sheet5!$A$2:$A$33, 0))</f>
        <v>1-1-0</v>
      </c>
      <c r="AP490" s="2" t="str">
        <f>INDEX(Sheet5!$B$2:$AG$33, MATCH(Table2[[#This Row],[HomeTeam]],Sheet5!$A$2:$A$33, 0), MATCH(Table2[[#This Row],[AwayTeam]],Sheet5!$A$2:$A$33, 0))</f>
        <v>1-1-0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0</v>
      </c>
      <c r="AU4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1" spans="1:49" x14ac:dyDescent="0.25">
      <c r="A491" s="3">
        <v>46002</v>
      </c>
      <c r="B491" s="3">
        <v>46002</v>
      </c>
      <c r="C491" s="5">
        <v>2025020489</v>
      </c>
      <c r="D491" s="2" t="s">
        <v>15</v>
      </c>
      <c r="E491" s="2" t="s">
        <v>21</v>
      </c>
      <c r="F491" s="2">
        <v>2</v>
      </c>
      <c r="G491" s="2">
        <v>4</v>
      </c>
      <c r="H491" s="2" t="str">
        <f t="shared" si="39"/>
        <v>WPG</v>
      </c>
      <c r="I491" s="2" t="s">
        <v>718</v>
      </c>
      <c r="J491" s="2">
        <v>6</v>
      </c>
      <c r="K491" s="2">
        <v>3</v>
      </c>
      <c r="L491" s="2" t="str">
        <f t="shared" si="40"/>
        <v>BOS</v>
      </c>
      <c r="M491" s="2" t="s">
        <v>718</v>
      </c>
      <c r="N491" s="2">
        <f>IF(ISBLANK(Table2[[#This Row],[ActualResult]]), 0, 1)</f>
        <v>1</v>
      </c>
      <c r="O491" s="2" t="str">
        <f>IF(ISBLANK(Table2[[#This Row],[ActualResult]]), "_", IF(Table2[[#This Row],[ActualWinner]]=Table2[[#This Row],[PredictedWinner]], "Y", "N"))</f>
        <v>N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1" s="2">
        <v>0</v>
      </c>
      <c r="S491" s="2" t="str">
        <f t="shared" si="41"/>
        <v>WPG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4</v>
      </c>
      <c r="AG491" s="2">
        <f>Table2[[#This Row],[ActualHomeScore]]-Table2[[#This Row],[PredictedHomeScore]]</f>
        <v>-1</v>
      </c>
      <c r="AH491" s="2">
        <f t="shared" si="42"/>
        <v>8</v>
      </c>
      <c r="AI491" s="2">
        <f t="shared" si="43"/>
        <v>2</v>
      </c>
      <c r="AJ491" s="2"/>
      <c r="AK491" s="3"/>
      <c r="AL491" s="2">
        <f>IF(Table2[[#This Row],[GameIsOver]]=0,0,IF(Table2[[#This Row],[ActualWinner]]=Table2[[#This Row],[AwayTeam]], 1, 0))</f>
        <v>1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1" s="2" t="str">
        <f>INDEX(Sheet5!$B$2:$AG$33, MATCH(Table2[[#This Row],[AwayTeam]],Sheet5!$A$2:$A$33, 0), MATCH(Table2[[#This Row],[HomeTeam]],Sheet5!$A$2:$A$33, 0))</f>
        <v>1-0-0</v>
      </c>
      <c r="AP491" s="2" t="str">
        <f>INDEX(Sheet5!$B$2:$AG$33, MATCH(Table2[[#This Row],[HomeTeam]],Sheet5!$A$2:$A$33, 0), MATCH(Table2[[#This Row],[AwayTeam]],Sheet5!$A$2:$A$33, 0))</f>
        <v>0-1-0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0</v>
      </c>
      <c r="AU4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2" spans="1:49" x14ac:dyDescent="0.25">
      <c r="A492" s="3">
        <v>46002</v>
      </c>
      <c r="B492" s="3">
        <v>46002</v>
      </c>
      <c r="C492" s="5">
        <v>2025020490</v>
      </c>
      <c r="D492" s="2" t="s">
        <v>13</v>
      </c>
      <c r="E492" s="2" t="s">
        <v>25</v>
      </c>
      <c r="F492" s="2">
        <v>2</v>
      </c>
      <c r="G492" s="2">
        <v>4</v>
      </c>
      <c r="H492" s="2" t="str">
        <f t="shared" si="39"/>
        <v>COL</v>
      </c>
      <c r="I492" s="2" t="s">
        <v>718</v>
      </c>
      <c r="J492" s="2">
        <v>2</v>
      </c>
      <c r="K492" s="2">
        <v>6</v>
      </c>
      <c r="L492" s="2" t="str">
        <f t="shared" si="40"/>
        <v>COL</v>
      </c>
      <c r="M492" s="2" t="s">
        <v>718</v>
      </c>
      <c r="N492" s="2">
        <f>IF(ISBLANK(Table2[[#This Row],[ActualResult]]), 0, 1)</f>
        <v>1</v>
      </c>
      <c r="O492" s="2" t="str">
        <f>IF(ISBLANK(Table2[[#This Row],[ActualResult]]), "_", IF(Table2[[#This Row],[ActualWinner]]=Table2[[#This Row],[PredictedWinner]], "Y", "N"))</f>
        <v>Y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2" s="2">
        <v>0</v>
      </c>
      <c r="S492" s="2" t="str">
        <f t="shared" si="41"/>
        <v>FLA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2</v>
      </c>
      <c r="AH492" s="2">
        <f t="shared" si="42"/>
        <v>8</v>
      </c>
      <c r="AI492" s="2">
        <f t="shared" si="43"/>
        <v>2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1</v>
      </c>
      <c r="AN49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92" s="2" t="str">
        <f>INDEX(Sheet5!$B$2:$AG$33, MATCH(Table2[[#This Row],[AwayTeam]],Sheet5!$A$2:$A$33, 0), MATCH(Table2[[#This Row],[HomeTeam]],Sheet5!$A$2:$A$33, 0))</f>
        <v>0-1-0</v>
      </c>
      <c r="AP492" s="2" t="str">
        <f>INDEX(Sheet5!$B$2:$AG$33, MATCH(Table2[[#This Row],[HomeTeam]],Sheet5!$A$2:$A$33, 0), MATCH(Table2[[#This Row],[AwayTeam]],Sheet5!$A$2:$A$33, 0))</f>
        <v>1-0-0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0</v>
      </c>
      <c r="AU4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3" spans="1:49" x14ac:dyDescent="0.25">
      <c r="A493" s="3">
        <v>46002</v>
      </c>
      <c r="B493" s="3">
        <v>46002</v>
      </c>
      <c r="C493" s="5">
        <v>2025020491</v>
      </c>
      <c r="D493" s="2" t="s">
        <v>30</v>
      </c>
      <c r="E493" s="2" t="s">
        <v>22</v>
      </c>
      <c r="F493" s="2">
        <v>3</v>
      </c>
      <c r="G493" s="2">
        <v>4</v>
      </c>
      <c r="H493" s="2" t="str">
        <f t="shared" si="39"/>
        <v>EDM</v>
      </c>
      <c r="I493" s="2" t="s">
        <v>718</v>
      </c>
      <c r="J493" s="2">
        <v>1</v>
      </c>
      <c r="K493" s="2">
        <v>4</v>
      </c>
      <c r="L493" s="2" t="str">
        <f t="shared" si="40"/>
        <v>EDM</v>
      </c>
      <c r="M493" s="2" t="s">
        <v>718</v>
      </c>
      <c r="N493" s="2">
        <f>IF(ISBLANK(Table2[[#This Row],[ActualResult]]), 0, 1)</f>
        <v>1</v>
      </c>
      <c r="O493" s="2" t="str">
        <f>IF(ISBLANK(Table2[[#This Row],[ActualResult]]), "_", IF(Table2[[#This Row],[ActualWinner]]=Table2[[#This Row],[PredictedWinner]], "Y", "N"))</f>
        <v>Y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3" s="2">
        <v>1</v>
      </c>
      <c r="S493" s="2" t="str">
        <f t="shared" si="41"/>
        <v>DET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-2</v>
      </c>
      <c r="AG493" s="2">
        <f>Table2[[#This Row],[ActualHomeScore]]-Table2[[#This Row],[PredictedHomeScore]]</f>
        <v>0</v>
      </c>
      <c r="AH493" s="2">
        <f t="shared" si="42"/>
        <v>8</v>
      </c>
      <c r="AI493" s="2">
        <f t="shared" si="43"/>
        <v>2</v>
      </c>
      <c r="AJ493" s="2">
        <v>7</v>
      </c>
      <c r="AK493" s="3">
        <v>46002</v>
      </c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1</v>
      </c>
      <c r="AN4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3" s="2" t="str">
        <f>INDEX(Sheet5!$B$2:$AG$33, MATCH(Table2[[#This Row],[AwayTeam]],Sheet5!$A$2:$A$33, 0), MATCH(Table2[[#This Row],[HomeTeam]],Sheet5!$A$2:$A$33, 0))</f>
        <v>1-1-0</v>
      </c>
      <c r="AP493" s="2" t="str">
        <f>INDEX(Sheet5!$B$2:$AG$33, MATCH(Table2[[#This Row],[HomeTeam]],Sheet5!$A$2:$A$33, 0), MATCH(Table2[[#This Row],[AwayTeam]],Sheet5!$A$2:$A$33, 0))</f>
        <v>1-1-0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0</v>
      </c>
      <c r="AU4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4" spans="1:49" x14ac:dyDescent="0.25">
      <c r="A494" s="141">
        <v>46002</v>
      </c>
      <c r="B494" s="141">
        <v>46002</v>
      </c>
      <c r="C494" s="142">
        <v>2025020492</v>
      </c>
      <c r="D494" s="143" t="s">
        <v>28</v>
      </c>
      <c r="E494" s="143" t="s">
        <v>24</v>
      </c>
      <c r="F494" s="143">
        <v>4</v>
      </c>
      <c r="G494" s="143">
        <v>3</v>
      </c>
      <c r="H494" s="143" t="str">
        <f t="shared" si="39"/>
        <v>BUF</v>
      </c>
      <c r="I494" s="143" t="s">
        <v>720</v>
      </c>
      <c r="J494" s="143">
        <v>3</v>
      </c>
      <c r="K494" s="143">
        <v>2</v>
      </c>
      <c r="L494" s="143" t="str">
        <f t="shared" si="40"/>
        <v>BUF</v>
      </c>
      <c r="M494" s="143" t="s">
        <v>718</v>
      </c>
      <c r="N494" s="143">
        <f>IF(ISBLANK(Table2[[#This Row],[ActualResult]]), 0, 1)</f>
        <v>1</v>
      </c>
      <c r="O494" s="143" t="str">
        <f>IF(ISBLANK(Table2[[#This Row],[ActualResult]]), "_", IF(Table2[[#This Row],[ActualWinner]]=Table2[[#This Row],[PredictedWinner]], "Y", "N"))</f>
        <v>Y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4" s="143">
        <v>1</v>
      </c>
      <c r="S494" s="143" t="str">
        <f t="shared" si="41"/>
        <v>VAN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-1</v>
      </c>
      <c r="AG494" s="143">
        <f>Table2[[#This Row],[ActualHomeScore]]-Table2[[#This Row],[PredictedHomeScore]]</f>
        <v>-1</v>
      </c>
      <c r="AH494" s="143">
        <f t="shared" si="42"/>
        <v>8</v>
      </c>
      <c r="AI494" s="143">
        <f t="shared" si="43"/>
        <v>2</v>
      </c>
      <c r="AJ494" s="143">
        <v>8</v>
      </c>
      <c r="AK494" s="141">
        <v>46002</v>
      </c>
      <c r="AL494" s="143">
        <f>IF(Table2[[#This Row],[GameIsOver]]=0,0,IF(Table2[[#This Row],[ActualWinner]]=Table2[[#This Row],[AwayTeam]], 1, 0))</f>
        <v>1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4" s="143" t="str">
        <f>INDEX(Sheet5!$B$2:$AG$33, MATCH(Table2[[#This Row],[AwayTeam]],Sheet5!$A$2:$A$33, 0), MATCH(Table2[[#This Row],[HomeTeam]],Sheet5!$A$2:$A$33, 0))</f>
        <v>1-0-0</v>
      </c>
      <c r="AP494" s="143" t="str">
        <f>INDEX(Sheet5!$B$2:$AG$33, MATCH(Table2[[#This Row],[HomeTeam]],Sheet5!$A$2:$A$33, 0), MATCH(Table2[[#This Row],[AwayTeam]],Sheet5!$A$2:$A$33, 0))</f>
        <v>0-1-0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0</v>
      </c>
      <c r="AU4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5" spans="1:49" x14ac:dyDescent="0.25">
      <c r="A495" s="3">
        <v>46003</v>
      </c>
      <c r="B495" s="3">
        <v>46003</v>
      </c>
      <c r="C495" s="5">
        <v>2025020493</v>
      </c>
      <c r="D495" s="2" t="s">
        <v>16</v>
      </c>
      <c r="E495" s="2" t="s">
        <v>12</v>
      </c>
      <c r="F495" s="2">
        <v>4</v>
      </c>
      <c r="G495" s="2">
        <v>3</v>
      </c>
      <c r="H495" s="2" t="str">
        <f t="shared" si="39"/>
        <v>CHI</v>
      </c>
      <c r="I495" s="2" t="s">
        <v>718</v>
      </c>
      <c r="J495" s="2">
        <v>2</v>
      </c>
      <c r="K495" s="2">
        <v>3</v>
      </c>
      <c r="L495" s="2" t="str">
        <f t="shared" si="40"/>
        <v>STL</v>
      </c>
      <c r="M495" s="2" t="s">
        <v>718</v>
      </c>
      <c r="N495" s="2">
        <f>IF(ISBLANK(Table2[[#This Row],[ActualResult]]), 0, 1)</f>
        <v>1</v>
      </c>
      <c r="O495" s="2" t="str">
        <f>IF(ISBLANK(Table2[[#This Row],[ActualResult]]), "_", IF(Table2[[#This Row],[ActualWinner]]=Table2[[#This Row],[PredictedWinner]], "Y", "N"))</f>
        <v>N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5" s="2">
        <v>1</v>
      </c>
      <c r="S495" s="2" t="str">
        <f t="shared" si="41"/>
        <v>CHI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-2</v>
      </c>
      <c r="AG495" s="2">
        <f>Table2[[#This Row],[ActualHomeScore]]-Table2[[#This Row],[PredictedHomeScore]]</f>
        <v>0</v>
      </c>
      <c r="AH495" s="2">
        <f t="shared" si="42"/>
        <v>-1</v>
      </c>
      <c r="AI495" s="2">
        <f t="shared" si="43"/>
        <v>4</v>
      </c>
      <c r="AJ495" s="2">
        <v>1</v>
      </c>
      <c r="AK495" s="3">
        <v>46003</v>
      </c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1</v>
      </c>
      <c r="AN4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5" s="2" t="str">
        <f>INDEX(Sheet5!$B$2:$AG$33, MATCH(Table2[[#This Row],[AwayTeam]],Sheet5!$A$2:$A$33, 0), MATCH(Table2[[#This Row],[HomeTeam]],Sheet5!$A$2:$A$33, 0))</f>
        <v>1-1-0</v>
      </c>
      <c r="AP495" s="2" t="str">
        <f>INDEX(Sheet5!$B$2:$AG$33, MATCH(Table2[[#This Row],[HomeTeam]],Sheet5!$A$2:$A$33, 0), MATCH(Table2[[#This Row],[AwayTeam]],Sheet5!$A$2:$A$33, 0))</f>
        <v>1-1-0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0</v>
      </c>
      <c r="AU4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6" spans="1:49" x14ac:dyDescent="0.25">
      <c r="A496" s="141">
        <v>46003</v>
      </c>
      <c r="B496" s="141">
        <v>46003</v>
      </c>
      <c r="C496" s="142">
        <v>2025020494</v>
      </c>
      <c r="D496" s="143" t="s">
        <v>11</v>
      </c>
      <c r="E496" s="143" t="s">
        <v>14</v>
      </c>
      <c r="F496" s="143">
        <v>2</v>
      </c>
      <c r="G496" s="143">
        <v>1</v>
      </c>
      <c r="H496" s="143" t="str">
        <f t="shared" si="39"/>
        <v>SEA</v>
      </c>
      <c r="I496" s="143" t="s">
        <v>720</v>
      </c>
      <c r="J496" s="143">
        <v>3</v>
      </c>
      <c r="K496" s="143">
        <v>5</v>
      </c>
      <c r="L496" s="143" t="str">
        <f t="shared" si="40"/>
        <v>UTA</v>
      </c>
      <c r="M496" s="143" t="s">
        <v>718</v>
      </c>
      <c r="N496" s="143">
        <f>IF(ISBLANK(Table2[[#This Row],[ActualResult]]), 0, 1)</f>
        <v>1</v>
      </c>
      <c r="O496" s="143" t="str">
        <f>IF(ISBLANK(Table2[[#This Row],[ActualResult]]), "_", IF(Table2[[#This Row],[ActualWinner]]=Table2[[#This Row],[PredictedWinner]], "Y", "N"))</f>
        <v>N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6" s="143">
        <v>1</v>
      </c>
      <c r="S496" s="143" t="str">
        <f t="shared" si="41"/>
        <v>SEA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9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1</v>
      </c>
      <c r="AG496" s="143">
        <f>Table2[[#This Row],[ActualHomeScore]]-Table2[[#This Row],[PredictedHomeScore]]</f>
        <v>4</v>
      </c>
      <c r="AH496" s="143">
        <f t="shared" si="42"/>
        <v>-1</v>
      </c>
      <c r="AI496" s="143">
        <f t="shared" si="43"/>
        <v>4</v>
      </c>
      <c r="AJ496" s="143">
        <v>2</v>
      </c>
      <c r="AK496" s="141">
        <v>46003</v>
      </c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1</v>
      </c>
      <c r="AN49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6" s="143" t="str">
        <f>INDEX(Sheet5!$B$2:$AG$33, MATCH(Table2[[#This Row],[AwayTeam]],Sheet5!$A$2:$A$33, 0), MATCH(Table2[[#This Row],[HomeTeam]],Sheet5!$A$2:$A$33, 0))</f>
        <v>0-1-0</v>
      </c>
      <c r="AP496" s="143" t="str">
        <f>INDEX(Sheet5!$B$2:$AG$33, MATCH(Table2[[#This Row],[HomeTeam]],Sheet5!$A$2:$A$33, 0), MATCH(Table2[[#This Row],[AwayTeam]],Sheet5!$A$2:$A$33, 0))</f>
        <v>1-0-0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0</v>
      </c>
      <c r="AU49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7" spans="1:49" x14ac:dyDescent="0.25">
      <c r="A497" s="3">
        <v>46004</v>
      </c>
      <c r="B497" s="3">
        <v>46004</v>
      </c>
      <c r="C497" s="5">
        <v>2025020495</v>
      </c>
      <c r="D497" s="2" t="s">
        <v>44</v>
      </c>
      <c r="E497" s="2" t="s">
        <v>31</v>
      </c>
      <c r="F497" s="2">
        <v>4</v>
      </c>
      <c r="G497" s="2">
        <v>3</v>
      </c>
      <c r="H497" s="2" t="str">
        <f t="shared" si="39"/>
        <v>ANA</v>
      </c>
      <c r="I497" s="2" t="s">
        <v>720</v>
      </c>
      <c r="J497" s="2">
        <v>1</v>
      </c>
      <c r="K497" s="2">
        <v>4</v>
      </c>
      <c r="L497" s="2" t="str">
        <f t="shared" si="40"/>
        <v>NJD</v>
      </c>
      <c r="M497" s="2" t="s">
        <v>718</v>
      </c>
      <c r="N497" s="2">
        <f>IF(ISBLANK(Table2[[#This Row],[ActualResult]]), 0, 1)</f>
        <v>1</v>
      </c>
      <c r="O497" s="2" t="str">
        <f>IF(ISBLANK(Table2[[#This Row],[ActualResult]]), "_", IF(Table2[[#This Row],[ActualWinner]]=Table2[[#This Row],[PredictedWinner]], "Y", "N"))</f>
        <v>N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7" s="2">
        <v>1</v>
      </c>
      <c r="S497" s="2" t="str">
        <f t="shared" si="41"/>
        <v>ANA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-3</v>
      </c>
      <c r="AG497" s="2">
        <f>Table2[[#This Row],[ActualHomeScore]]-Table2[[#This Row],[PredictedHomeScore]]</f>
        <v>1</v>
      </c>
      <c r="AH497" s="2">
        <f t="shared" si="42"/>
        <v>-1</v>
      </c>
      <c r="AI497" s="2">
        <f t="shared" si="43"/>
        <v>1</v>
      </c>
      <c r="AJ497" s="2">
        <v>1</v>
      </c>
      <c r="AK497" s="3">
        <v>46004</v>
      </c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1</v>
      </c>
      <c r="AN4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7" s="2" t="str">
        <f>INDEX(Sheet5!$B$2:$AG$33, MATCH(Table2[[#This Row],[AwayTeam]],Sheet5!$A$2:$A$33, 0), MATCH(Table2[[#This Row],[HomeTeam]],Sheet5!$A$2:$A$33, 0))</f>
        <v>1-1-0</v>
      </c>
      <c r="AP497" s="2" t="str">
        <f>INDEX(Sheet5!$B$2:$AG$33, MATCH(Table2[[#This Row],[HomeTeam]],Sheet5!$A$2:$A$33, 0), MATCH(Table2[[#This Row],[AwayTeam]],Sheet5!$A$2:$A$33, 0))</f>
        <v>1-1-0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0</v>
      </c>
      <c r="AU4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8" spans="1:49" x14ac:dyDescent="0.25">
      <c r="A498" s="3">
        <v>46004</v>
      </c>
      <c r="B498" s="3">
        <v>46004</v>
      </c>
      <c r="C498" s="5">
        <v>2025020496</v>
      </c>
      <c r="D498" s="2" t="s">
        <v>29</v>
      </c>
      <c r="E498" s="2" t="s">
        <v>36</v>
      </c>
      <c r="F498" s="2">
        <v>3</v>
      </c>
      <c r="G498" s="2">
        <v>2</v>
      </c>
      <c r="H498" s="2" t="str">
        <f t="shared" si="39"/>
        <v>OTT</v>
      </c>
      <c r="I498" s="2" t="s">
        <v>718</v>
      </c>
      <c r="J498" s="2">
        <v>2</v>
      </c>
      <c r="K498" s="2">
        <v>3</v>
      </c>
      <c r="L498" s="2" t="str">
        <f t="shared" si="40"/>
        <v>MIN</v>
      </c>
      <c r="M498" s="2" t="s">
        <v>718</v>
      </c>
      <c r="N498" s="2">
        <f>IF(ISBLANK(Table2[[#This Row],[ActualResult]]), 0, 1)</f>
        <v>1</v>
      </c>
      <c r="O498" s="2" t="str">
        <f>IF(ISBLANK(Table2[[#This Row],[ActualResult]]), "_", IF(Table2[[#This Row],[ActualWinner]]=Table2[[#This Row],[PredictedWinner]], "Y", "N"))</f>
        <v>N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8" s="2">
        <v>1</v>
      </c>
      <c r="S498" s="2" t="str">
        <f t="shared" si="41"/>
        <v>OTT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-1</v>
      </c>
      <c r="AG498" s="2">
        <f>Table2[[#This Row],[ActualHomeScore]]-Table2[[#This Row],[PredictedHomeScore]]</f>
        <v>1</v>
      </c>
      <c r="AH498" s="2">
        <f t="shared" si="42"/>
        <v>-1</v>
      </c>
      <c r="AI498" s="2">
        <f t="shared" si="43"/>
        <v>1</v>
      </c>
      <c r="AJ498" s="2">
        <v>2</v>
      </c>
      <c r="AK498" s="3">
        <v>46004</v>
      </c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1</v>
      </c>
      <c r="AN4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8" s="2" t="str">
        <f>INDEX(Sheet5!$B$2:$AG$33, MATCH(Table2[[#This Row],[AwayTeam]],Sheet5!$A$2:$A$33, 0), MATCH(Table2[[#This Row],[HomeTeam]],Sheet5!$A$2:$A$33, 0))</f>
        <v>0-1-0</v>
      </c>
      <c r="AP498" s="2" t="str">
        <f>INDEX(Sheet5!$B$2:$AG$33, MATCH(Table2[[#This Row],[HomeTeam]],Sheet5!$A$2:$A$33, 0), MATCH(Table2[[#This Row],[AwayTeam]],Sheet5!$A$2:$A$33, 0))</f>
        <v>1-0-0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0</v>
      </c>
      <c r="AU4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9" spans="1:49" x14ac:dyDescent="0.25">
      <c r="A499" s="3">
        <v>46004</v>
      </c>
      <c r="B499" s="3">
        <v>46004</v>
      </c>
      <c r="C499" s="5">
        <v>2025020497</v>
      </c>
      <c r="D499" s="2" t="s">
        <v>37</v>
      </c>
      <c r="E499" s="2" t="s">
        <v>20</v>
      </c>
      <c r="F499" s="2">
        <v>2</v>
      </c>
      <c r="G499" s="2">
        <v>3</v>
      </c>
      <c r="H499" s="2" t="str">
        <f t="shared" si="39"/>
        <v>PIT</v>
      </c>
      <c r="I499" s="2" t="s">
        <v>718</v>
      </c>
      <c r="J499" s="2">
        <v>6</v>
      </c>
      <c r="K499" s="2">
        <v>5</v>
      </c>
      <c r="L499" s="2" t="str">
        <f t="shared" si="40"/>
        <v>SJS</v>
      </c>
      <c r="M499" s="2" t="s">
        <v>720</v>
      </c>
      <c r="N499" s="2">
        <f>IF(ISBLANK(Table2[[#This Row],[ActualResult]]), 0, 1)</f>
        <v>1</v>
      </c>
      <c r="O499" s="2" t="str">
        <f>IF(ISBLANK(Table2[[#This Row],[ActualResult]]), "_", IF(Table2[[#This Row],[ActualWinner]]=Table2[[#This Row],[PredictedWinner]], "Y", "N"))</f>
        <v>N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9" s="2">
        <v>1</v>
      </c>
      <c r="S499" s="2" t="str">
        <f t="shared" si="41"/>
        <v>PIT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4</v>
      </c>
      <c r="AG499" s="2">
        <f>Table2[[#This Row],[ActualHomeScore]]-Table2[[#This Row],[PredictedHomeScore]]</f>
        <v>2</v>
      </c>
      <c r="AH499" s="2">
        <f t="shared" si="42"/>
        <v>-1</v>
      </c>
      <c r="AI499" s="2">
        <f t="shared" si="43"/>
        <v>1</v>
      </c>
      <c r="AJ499" s="2">
        <v>3</v>
      </c>
      <c r="AK499" s="3">
        <v>46004</v>
      </c>
      <c r="AL499" s="2">
        <f>IF(Table2[[#This Row],[GameIsOver]]=0,0,IF(Table2[[#This Row],[ActualWinner]]=Table2[[#This Row],[AwayTeam]], 1, 0))</f>
        <v>1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9" s="2" t="str">
        <f>INDEX(Sheet5!$B$2:$AG$33, MATCH(Table2[[#This Row],[AwayTeam]],Sheet5!$A$2:$A$33, 0), MATCH(Table2[[#This Row],[HomeTeam]],Sheet5!$A$2:$A$33, 0))</f>
        <v>1-1-0</v>
      </c>
      <c r="AP499" s="2" t="str">
        <f>INDEX(Sheet5!$B$2:$AG$33, MATCH(Table2[[#This Row],[HomeTeam]],Sheet5!$A$2:$A$33, 0), MATCH(Table2[[#This Row],[AwayTeam]],Sheet5!$A$2:$A$33, 0))</f>
        <v>1-0-1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1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0</v>
      </c>
      <c r="AU4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0" spans="1:49" x14ac:dyDescent="0.25">
      <c r="A500" s="3">
        <v>46004</v>
      </c>
      <c r="B500" s="3">
        <v>46004</v>
      </c>
      <c r="C500" s="5">
        <v>2025020498</v>
      </c>
      <c r="D500" s="2" t="s">
        <v>40</v>
      </c>
      <c r="E500" s="2" t="s">
        <v>32</v>
      </c>
      <c r="F500" s="2">
        <v>1</v>
      </c>
      <c r="G500" s="2">
        <v>2</v>
      </c>
      <c r="H500" s="2" t="str">
        <f t="shared" si="39"/>
        <v>NYI</v>
      </c>
      <c r="I500" s="2" t="s">
        <v>720</v>
      </c>
      <c r="J500" s="2">
        <v>2</v>
      </c>
      <c r="K500" s="2">
        <v>3</v>
      </c>
      <c r="L500" s="2" t="str">
        <f t="shared" si="40"/>
        <v>NYI</v>
      </c>
      <c r="M500" s="2" t="s">
        <v>719</v>
      </c>
      <c r="N500" s="2">
        <f>IF(ISBLANK(Table2[[#This Row],[ActualResult]]), 0, 1)</f>
        <v>1</v>
      </c>
      <c r="O500" s="2" t="str">
        <f>IF(ISBLANK(Table2[[#This Row],[ActualResult]]), "_", IF(Table2[[#This Row],[ActualWinner]]=Table2[[#This Row],[PredictedWinner]], "Y", "N"))</f>
        <v>Y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0" s="2">
        <v>1</v>
      </c>
      <c r="S500" s="2" t="str">
        <f t="shared" si="41"/>
        <v>TBL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1</v>
      </c>
      <c r="AG500" s="2">
        <f>Table2[[#This Row],[ActualHomeScore]]-Table2[[#This Row],[PredictedHomeScore]]</f>
        <v>1</v>
      </c>
      <c r="AH500" s="2">
        <f t="shared" si="42"/>
        <v>-1</v>
      </c>
      <c r="AI500" s="2">
        <f t="shared" si="43"/>
        <v>1</v>
      </c>
      <c r="AJ500" s="2">
        <v>4</v>
      </c>
      <c r="AK500" s="3">
        <v>46004</v>
      </c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1</v>
      </c>
      <c r="AN5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0" s="2" t="str">
        <f>INDEX(Sheet5!$B$2:$AG$33, MATCH(Table2[[#This Row],[AwayTeam]],Sheet5!$A$2:$A$33, 0), MATCH(Table2[[#This Row],[HomeTeam]],Sheet5!$A$2:$A$33, 0))</f>
        <v>0-2-1</v>
      </c>
      <c r="AP500" s="2" t="str">
        <f>INDEX(Sheet5!$B$2:$AG$33, MATCH(Table2[[#This Row],[HomeTeam]],Sheet5!$A$2:$A$33, 0), MATCH(Table2[[#This Row],[AwayTeam]],Sheet5!$A$2:$A$33, 0))</f>
        <v>3-0-0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0</v>
      </c>
      <c r="AU5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1" spans="1:49" x14ac:dyDescent="0.25">
      <c r="A501" s="3">
        <v>46004</v>
      </c>
      <c r="B501" s="3">
        <v>46004</v>
      </c>
      <c r="C501" s="5">
        <v>2025020499</v>
      </c>
      <c r="D501" s="2" t="s">
        <v>22</v>
      </c>
      <c r="E501" s="2" t="s">
        <v>17</v>
      </c>
      <c r="F501" s="2">
        <v>4</v>
      </c>
      <c r="G501" s="2">
        <v>2</v>
      </c>
      <c r="H501" s="2" t="str">
        <f t="shared" si="39"/>
        <v>EDM</v>
      </c>
      <c r="I501" s="2" t="s">
        <v>718</v>
      </c>
      <c r="J501" s="2">
        <v>6</v>
      </c>
      <c r="K501" s="2">
        <v>3</v>
      </c>
      <c r="L501" s="2" t="str">
        <f t="shared" si="40"/>
        <v>EDM</v>
      </c>
      <c r="M501" s="2" t="s">
        <v>718</v>
      </c>
      <c r="N501" s="2">
        <f>IF(ISBLANK(Table2[[#This Row],[ActualResult]]), 0, 1)</f>
        <v>1</v>
      </c>
      <c r="O501" s="2" t="str">
        <f>IF(ISBLANK(Table2[[#This Row],[ActualResult]]), "_", IF(Table2[[#This Row],[ActualWinner]]=Table2[[#This Row],[PredictedWinner]], "Y", "N"))</f>
        <v>Y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1" s="2">
        <v>1</v>
      </c>
      <c r="S501" s="2" t="str">
        <f t="shared" si="41"/>
        <v>TOR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2</v>
      </c>
      <c r="AG501" s="2">
        <f>Table2[[#This Row],[ActualHomeScore]]-Table2[[#This Row],[PredictedHomeScore]]</f>
        <v>1</v>
      </c>
      <c r="AH501" s="2">
        <f t="shared" si="42"/>
        <v>-1</v>
      </c>
      <c r="AI501" s="2">
        <f t="shared" si="43"/>
        <v>1</v>
      </c>
      <c r="AJ501" s="2">
        <v>5</v>
      </c>
      <c r="AK501" s="3">
        <v>46004</v>
      </c>
      <c r="AL501" s="2">
        <f>IF(Table2[[#This Row],[GameIsOver]]=0,0,IF(Table2[[#This Row],[ActualWinner]]=Table2[[#This Row],[AwayTeam]], 1, 0))</f>
        <v>1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1" s="2" t="str">
        <f>INDEX(Sheet5!$B$2:$AG$33, MATCH(Table2[[#This Row],[AwayTeam]],Sheet5!$A$2:$A$33, 0), MATCH(Table2[[#This Row],[HomeTeam]],Sheet5!$A$2:$A$33, 0))</f>
        <v>1-0-0</v>
      </c>
      <c r="AP501" s="2" t="str">
        <f>INDEX(Sheet5!$B$2:$AG$33, MATCH(Table2[[#This Row],[HomeTeam]],Sheet5!$A$2:$A$33, 0), MATCH(Table2[[#This Row],[AwayTeam]],Sheet5!$A$2:$A$33, 0))</f>
        <v>0-1-0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0</v>
      </c>
      <c r="AU5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2" spans="1:49" x14ac:dyDescent="0.25">
      <c r="A502" s="3">
        <v>46004</v>
      </c>
      <c r="B502" s="3">
        <v>46004</v>
      </c>
      <c r="C502" s="5">
        <v>2025020500</v>
      </c>
      <c r="D502" s="2" t="s">
        <v>18</v>
      </c>
      <c r="E502" s="2" t="s">
        <v>19</v>
      </c>
      <c r="F502" s="2">
        <v>4</v>
      </c>
      <c r="G502" s="2">
        <v>3</v>
      </c>
      <c r="H502" s="2" t="str">
        <f t="shared" si="39"/>
        <v>MTL</v>
      </c>
      <c r="I502" s="2" t="s">
        <v>718</v>
      </c>
      <c r="J502" s="2">
        <v>4</v>
      </c>
      <c r="K502" s="2">
        <v>5</v>
      </c>
      <c r="L502" s="2" t="str">
        <f t="shared" si="40"/>
        <v>NYR</v>
      </c>
      <c r="M502" s="2" t="s">
        <v>720</v>
      </c>
      <c r="N502" s="2">
        <f>IF(ISBLANK(Table2[[#This Row],[ActualResult]]), 0, 1)</f>
        <v>1</v>
      </c>
      <c r="O502" s="2" t="str">
        <f>IF(ISBLANK(Table2[[#This Row],[ActualResult]]), "_", IF(Table2[[#This Row],[ActualWinner]]=Table2[[#This Row],[PredictedWinner]], "Y", "N"))</f>
        <v>N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2" s="2">
        <v>1</v>
      </c>
      <c r="S502" s="2" t="str">
        <f t="shared" si="41"/>
        <v>MTL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2</v>
      </c>
      <c r="AH502" s="2">
        <f t="shared" si="42"/>
        <v>-1</v>
      </c>
      <c r="AI502" s="2">
        <f t="shared" si="43"/>
        <v>1</v>
      </c>
      <c r="AJ502" s="2">
        <v>6</v>
      </c>
      <c r="AK502" s="3">
        <v>46004</v>
      </c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1</v>
      </c>
      <c r="AN5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2" s="2" t="str">
        <f>INDEX(Sheet5!$B$2:$AG$33, MATCH(Table2[[#This Row],[AwayTeam]],Sheet5!$A$2:$A$33, 0), MATCH(Table2[[#This Row],[HomeTeam]],Sheet5!$A$2:$A$33, 0))</f>
        <v>0-1-1</v>
      </c>
      <c r="AP502" s="2" t="str">
        <f>INDEX(Sheet5!$B$2:$AG$33, MATCH(Table2[[#This Row],[HomeTeam]],Sheet5!$A$2:$A$33, 0), MATCH(Table2[[#This Row],[AwayTeam]],Sheet5!$A$2:$A$33, 0))</f>
        <v>2-0-0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0</v>
      </c>
      <c r="AU5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3" spans="1:49" x14ac:dyDescent="0.25">
      <c r="A503" s="3">
        <v>46004</v>
      </c>
      <c r="B503" s="3">
        <v>46004</v>
      </c>
      <c r="C503" s="5">
        <v>2025020501</v>
      </c>
      <c r="D503" s="2" t="s">
        <v>41</v>
      </c>
      <c r="E503" s="2" t="s">
        <v>42</v>
      </c>
      <c r="F503" s="2">
        <v>3</v>
      </c>
      <c r="G503" s="2">
        <v>2</v>
      </c>
      <c r="H503" s="2" t="str">
        <f t="shared" si="39"/>
        <v>CAR</v>
      </c>
      <c r="I503" s="2" t="s">
        <v>720</v>
      </c>
      <c r="J503" s="2">
        <v>4</v>
      </c>
      <c r="K503" s="2">
        <v>3</v>
      </c>
      <c r="L503" s="2" t="str">
        <f t="shared" si="40"/>
        <v>CAR</v>
      </c>
      <c r="M503" s="2" t="s">
        <v>719</v>
      </c>
      <c r="N503" s="2">
        <f>IF(ISBLANK(Table2[[#This Row],[ActualResult]]), 0, 1)</f>
        <v>1</v>
      </c>
      <c r="O503" s="2" t="str">
        <f>IF(ISBLANK(Table2[[#This Row],[ActualResult]]), "_", IF(Table2[[#This Row],[ActualWinner]]=Table2[[#This Row],[PredictedWinner]], "Y", "N"))</f>
        <v>Y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3" s="2">
        <v>1</v>
      </c>
      <c r="S503" s="2" t="str">
        <f t="shared" si="41"/>
        <v>PHI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1</v>
      </c>
      <c r="AG503" s="2">
        <f>Table2[[#This Row],[ActualHomeScore]]-Table2[[#This Row],[PredictedHomeScore]]</f>
        <v>1</v>
      </c>
      <c r="AH503" s="2">
        <f t="shared" si="42"/>
        <v>-1</v>
      </c>
      <c r="AI503" s="2">
        <f t="shared" si="43"/>
        <v>1</v>
      </c>
      <c r="AJ503" s="2">
        <v>7</v>
      </c>
      <c r="AK503" s="3">
        <v>46004</v>
      </c>
      <c r="AL503" s="2">
        <f>IF(Table2[[#This Row],[GameIsOver]]=0,0,IF(Table2[[#This Row],[ActualWinner]]=Table2[[#This Row],[AwayTeam]], 1, 0))</f>
        <v>1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3" s="2" t="str">
        <f>INDEX(Sheet5!$B$2:$AG$33, MATCH(Table2[[#This Row],[AwayTeam]],Sheet5!$A$2:$A$33, 0), MATCH(Table2[[#This Row],[HomeTeam]],Sheet5!$A$2:$A$33, 0))</f>
        <v>3-0-0</v>
      </c>
      <c r="AP503" s="2" t="str">
        <f>INDEX(Sheet5!$B$2:$AG$33, MATCH(Table2[[#This Row],[HomeTeam]],Sheet5!$A$2:$A$33, 0), MATCH(Table2[[#This Row],[AwayTeam]],Sheet5!$A$2:$A$33, 0))</f>
        <v>0-0-3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0</v>
      </c>
      <c r="AU5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4" spans="1:49" x14ac:dyDescent="0.25">
      <c r="A504" s="3">
        <v>46004</v>
      </c>
      <c r="B504" s="3">
        <v>46004</v>
      </c>
      <c r="C504" s="5">
        <v>2025020502</v>
      </c>
      <c r="D504" s="2" t="s">
        <v>26</v>
      </c>
      <c r="E504" s="2" t="s">
        <v>35</v>
      </c>
      <c r="F504" s="2">
        <v>3</v>
      </c>
      <c r="G504" s="2">
        <v>4</v>
      </c>
      <c r="H504" s="2" t="str">
        <f t="shared" si="39"/>
        <v>CBJ</v>
      </c>
      <c r="I504" s="2" t="s">
        <v>720</v>
      </c>
      <c r="J504" s="2">
        <v>3</v>
      </c>
      <c r="K504" s="2">
        <v>2</v>
      </c>
      <c r="L504" s="2" t="str">
        <f t="shared" si="40"/>
        <v>VGK</v>
      </c>
      <c r="M504" s="2" t="s">
        <v>718</v>
      </c>
      <c r="N504" s="2">
        <f>IF(ISBLANK(Table2[[#This Row],[ActualResult]]), 0, 1)</f>
        <v>1</v>
      </c>
      <c r="O504" s="2" t="str">
        <f>IF(ISBLANK(Table2[[#This Row],[ActualResult]]), "_", IF(Table2[[#This Row],[ActualWinner]]=Table2[[#This Row],[PredictedWinner]], "Y", "N"))</f>
        <v>N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4" s="2">
        <v>1</v>
      </c>
      <c r="S504" s="2" t="str">
        <f t="shared" si="41"/>
        <v>CBJ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-2</v>
      </c>
      <c r="AH504" s="2">
        <f t="shared" si="42"/>
        <v>-1</v>
      </c>
      <c r="AI504" s="2">
        <f t="shared" si="43"/>
        <v>1</v>
      </c>
      <c r="AJ504" s="2">
        <v>8</v>
      </c>
      <c r="AK504" s="3">
        <v>46004</v>
      </c>
      <c r="AL504" s="2">
        <f>IF(Table2[[#This Row],[GameIsOver]]=0,0,IF(Table2[[#This Row],[ActualWinner]]=Table2[[#This Row],[AwayTeam]], 1, 0))</f>
        <v>1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4" s="2" t="str">
        <f>INDEX(Sheet5!$B$2:$AG$33, MATCH(Table2[[#This Row],[AwayTeam]],Sheet5!$A$2:$A$33, 0), MATCH(Table2[[#This Row],[HomeTeam]],Sheet5!$A$2:$A$33, 0))</f>
        <v>1-0-0</v>
      </c>
      <c r="AP504" s="2" t="str">
        <f>INDEX(Sheet5!$B$2:$AG$33, MATCH(Table2[[#This Row],[HomeTeam]],Sheet5!$A$2:$A$33, 0), MATCH(Table2[[#This Row],[AwayTeam]],Sheet5!$A$2:$A$33, 0))</f>
        <v>0-1-0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0</v>
      </c>
      <c r="AU5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5" spans="1:49" x14ac:dyDescent="0.25">
      <c r="A505" s="3">
        <v>46004</v>
      </c>
      <c r="B505" s="3">
        <v>46004</v>
      </c>
      <c r="C505" s="5">
        <v>2025020503</v>
      </c>
      <c r="D505" s="2" t="s">
        <v>43</v>
      </c>
      <c r="E505" s="2" t="s">
        <v>21</v>
      </c>
      <c r="F505" s="2">
        <v>4</v>
      </c>
      <c r="G505" s="2">
        <v>2</v>
      </c>
      <c r="H505" s="2" t="str">
        <f t="shared" si="39"/>
        <v>WSH</v>
      </c>
      <c r="I505" s="2" t="s">
        <v>718</v>
      </c>
      <c r="J505" s="2">
        <v>1</v>
      </c>
      <c r="K505" s="2">
        <v>5</v>
      </c>
      <c r="L505" s="2" t="str">
        <f t="shared" si="40"/>
        <v>WPG</v>
      </c>
      <c r="M505" s="2" t="s">
        <v>718</v>
      </c>
      <c r="N505" s="2">
        <f>IF(ISBLANK(Table2[[#This Row],[ActualResult]]), 0, 1)</f>
        <v>1</v>
      </c>
      <c r="O505" s="2" t="str">
        <f>IF(ISBLANK(Table2[[#This Row],[ActualResult]]), "_", IF(Table2[[#This Row],[ActualWinner]]=Table2[[#This Row],[PredictedWinner]], "Y", "N"))</f>
        <v>N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5" s="2">
        <v>1</v>
      </c>
      <c r="S505" s="2" t="str">
        <f t="shared" si="41"/>
        <v>WSH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-3</v>
      </c>
      <c r="AG505" s="2">
        <f>Table2[[#This Row],[ActualHomeScore]]-Table2[[#This Row],[PredictedHomeScore]]</f>
        <v>3</v>
      </c>
      <c r="AH505" s="2">
        <f t="shared" si="42"/>
        <v>-1</v>
      </c>
      <c r="AI505" s="2">
        <f t="shared" si="43"/>
        <v>1</v>
      </c>
      <c r="AJ505" s="2">
        <v>9</v>
      </c>
      <c r="AK505" s="3">
        <v>46004</v>
      </c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1</v>
      </c>
      <c r="AN5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5" s="2" t="str">
        <f>INDEX(Sheet5!$B$2:$AG$33, MATCH(Table2[[#This Row],[AwayTeam]],Sheet5!$A$2:$A$33, 0), MATCH(Table2[[#This Row],[HomeTeam]],Sheet5!$A$2:$A$33, 0))</f>
        <v>1-1-0</v>
      </c>
      <c r="AP505" s="2" t="str">
        <f>INDEX(Sheet5!$B$2:$AG$33, MATCH(Table2[[#This Row],[HomeTeam]],Sheet5!$A$2:$A$33, 0), MATCH(Table2[[#This Row],[AwayTeam]],Sheet5!$A$2:$A$33, 0))</f>
        <v>1-1-0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0</v>
      </c>
      <c r="AU5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6" spans="1:49" x14ac:dyDescent="0.25">
      <c r="A506" s="3">
        <v>46004</v>
      </c>
      <c r="B506" s="3">
        <v>46004</v>
      </c>
      <c r="C506" s="5">
        <v>2025020504</v>
      </c>
      <c r="D506" s="2" t="s">
        <v>30</v>
      </c>
      <c r="E506" s="2" t="s">
        <v>16</v>
      </c>
      <c r="F506" s="2">
        <v>4</v>
      </c>
      <c r="G506" s="2">
        <v>3</v>
      </c>
      <c r="H506" s="2" t="str">
        <f t="shared" si="39"/>
        <v>DET</v>
      </c>
      <c r="I506" s="2" t="s">
        <v>720</v>
      </c>
      <c r="J506" s="2">
        <v>4</v>
      </c>
      <c r="K506" s="2">
        <v>0</v>
      </c>
      <c r="L506" s="2" t="str">
        <f t="shared" si="40"/>
        <v>DET</v>
      </c>
      <c r="M506" s="2" t="s">
        <v>718</v>
      </c>
      <c r="N506" s="2">
        <f>IF(ISBLANK(Table2[[#This Row],[ActualResult]]), 0, 1)</f>
        <v>1</v>
      </c>
      <c r="O506" s="2" t="str">
        <f>IF(ISBLANK(Table2[[#This Row],[ActualResult]]), "_", IF(Table2[[#This Row],[ActualWinner]]=Table2[[#This Row],[PredictedWinner]], "Y", "N"))</f>
        <v>Y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6" s="2">
        <v>1</v>
      </c>
      <c r="S506" s="2" t="str">
        <f t="shared" si="41"/>
        <v>CHI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1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-3</v>
      </c>
      <c r="AH506" s="2">
        <f t="shared" si="42"/>
        <v>-1</v>
      </c>
      <c r="AI506" s="2">
        <f t="shared" si="43"/>
        <v>1</v>
      </c>
      <c r="AJ506" s="2">
        <v>10</v>
      </c>
      <c r="AK506" s="3">
        <v>46004</v>
      </c>
      <c r="AL506" s="2">
        <f>IF(Table2[[#This Row],[GameIsOver]]=0,0,IF(Table2[[#This Row],[ActualWinner]]=Table2[[#This Row],[AwayTeam]], 1, 0))</f>
        <v>1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6" s="2" t="str">
        <f>INDEX(Sheet5!$B$2:$AG$33, MATCH(Table2[[#This Row],[AwayTeam]],Sheet5!$A$2:$A$33, 0), MATCH(Table2[[#This Row],[HomeTeam]],Sheet5!$A$2:$A$33, 0))</f>
        <v>1-1-0</v>
      </c>
      <c r="AP506" s="2" t="str">
        <f>INDEX(Sheet5!$B$2:$AG$33, MATCH(Table2[[#This Row],[HomeTeam]],Sheet5!$A$2:$A$33, 0), MATCH(Table2[[#This Row],[AwayTeam]],Sheet5!$A$2:$A$33, 0))</f>
        <v>1-1-0</v>
      </c>
      <c r="AQ506" s="2">
        <f>IF(Table2[[#This Row],[GameHasShutOut]], 1, 0)</f>
        <v>1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0</v>
      </c>
      <c r="AU5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7" spans="1:49" x14ac:dyDescent="0.25">
      <c r="A507" s="3">
        <v>46004</v>
      </c>
      <c r="B507" s="3">
        <v>46004</v>
      </c>
      <c r="C507" s="5">
        <v>2025020505</v>
      </c>
      <c r="D507" s="2" t="s">
        <v>13</v>
      </c>
      <c r="E507" s="2" t="s">
        <v>33</v>
      </c>
      <c r="F507" s="2">
        <v>4</v>
      </c>
      <c r="G507" s="2">
        <v>3</v>
      </c>
      <c r="H507" s="2" t="str">
        <f t="shared" si="39"/>
        <v>FLA</v>
      </c>
      <c r="I507" s="2" t="s">
        <v>718</v>
      </c>
      <c r="J507" s="2">
        <v>4</v>
      </c>
      <c r="K507" s="2">
        <v>0</v>
      </c>
      <c r="L507" s="2" t="str">
        <f t="shared" si="40"/>
        <v>FLA</v>
      </c>
      <c r="M507" s="2" t="s">
        <v>718</v>
      </c>
      <c r="N507" s="2">
        <f>IF(ISBLANK(Table2[[#This Row],[ActualResult]]), 0, 1)</f>
        <v>1</v>
      </c>
      <c r="O507" s="2" t="str">
        <f>IF(ISBLANK(Table2[[#This Row],[ActualResult]]), "_", IF(Table2[[#This Row],[ActualWinner]]=Table2[[#This Row],[PredictedWinner]], "Y", "N"))</f>
        <v>Y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7" s="2">
        <v>1</v>
      </c>
      <c r="S507" s="2" t="str">
        <f t="shared" si="41"/>
        <v>DAL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1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-3</v>
      </c>
      <c r="AH507" s="2">
        <f t="shared" si="42"/>
        <v>-1</v>
      </c>
      <c r="AI507" s="2">
        <f t="shared" si="43"/>
        <v>1</v>
      </c>
      <c r="AJ507" s="2">
        <v>11</v>
      </c>
      <c r="AK507" s="3">
        <v>46004</v>
      </c>
      <c r="AL507" s="2">
        <f>IF(Table2[[#This Row],[GameIsOver]]=0,0,IF(Table2[[#This Row],[ActualWinner]]=Table2[[#This Row],[AwayTeam]], 1, 0))</f>
        <v>1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7" s="2" t="str">
        <f>INDEX(Sheet5!$B$2:$AG$33, MATCH(Table2[[#This Row],[AwayTeam]],Sheet5!$A$2:$A$33, 0), MATCH(Table2[[#This Row],[HomeTeam]],Sheet5!$A$2:$A$33, 0))</f>
        <v>2-0-0</v>
      </c>
      <c r="AP507" s="2" t="str">
        <f>INDEX(Sheet5!$B$2:$AG$33, MATCH(Table2[[#This Row],[HomeTeam]],Sheet5!$A$2:$A$33, 0), MATCH(Table2[[#This Row],[AwayTeam]],Sheet5!$A$2:$A$33, 0))</f>
        <v>0-1-1</v>
      </c>
      <c r="AQ507" s="2">
        <f>IF(Table2[[#This Row],[GameHasShutOut]], 1, 0)</f>
        <v>1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0</v>
      </c>
      <c r="AU5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8" spans="1:49" x14ac:dyDescent="0.25">
      <c r="A508" s="3">
        <v>46004</v>
      </c>
      <c r="B508" s="3">
        <v>46004</v>
      </c>
      <c r="C508" s="5">
        <v>2025020506</v>
      </c>
      <c r="D508" s="2" t="s">
        <v>34</v>
      </c>
      <c r="E508" s="2" t="s">
        <v>25</v>
      </c>
      <c r="F508" s="2">
        <v>2</v>
      </c>
      <c r="G508" s="2">
        <v>5</v>
      </c>
      <c r="H508" s="2" t="str">
        <f t="shared" si="39"/>
        <v>COL</v>
      </c>
      <c r="I508" s="2" t="s">
        <v>718</v>
      </c>
      <c r="J508" s="2">
        <v>2</v>
      </c>
      <c r="K508" s="2">
        <v>4</v>
      </c>
      <c r="L508" s="2" t="str">
        <f t="shared" si="40"/>
        <v>COL</v>
      </c>
      <c r="M508" s="2" t="s">
        <v>718</v>
      </c>
      <c r="N508" s="2">
        <f>IF(ISBLANK(Table2[[#This Row],[ActualResult]]), 0, 1)</f>
        <v>1</v>
      </c>
      <c r="O508" s="2" t="str">
        <f>IF(ISBLANK(Table2[[#This Row],[ActualResult]]), "_", IF(Table2[[#This Row],[ActualWinner]]=Table2[[#This Row],[PredictedWinner]], "Y", "N"))</f>
        <v>Y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8" s="2">
        <v>1</v>
      </c>
      <c r="S508" s="2" t="str">
        <f t="shared" si="41"/>
        <v>NSH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-1</v>
      </c>
      <c r="AH508" s="2">
        <f t="shared" si="42"/>
        <v>-1</v>
      </c>
      <c r="AI508" s="2">
        <f t="shared" si="43"/>
        <v>1</v>
      </c>
      <c r="AJ508" s="2">
        <v>12</v>
      </c>
      <c r="AK508" s="3">
        <v>46004</v>
      </c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1</v>
      </c>
      <c r="AN50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08" s="2" t="str">
        <f>INDEX(Sheet5!$B$2:$AG$33, MATCH(Table2[[#This Row],[AwayTeam]],Sheet5!$A$2:$A$33, 0), MATCH(Table2[[#This Row],[HomeTeam]],Sheet5!$A$2:$A$33, 0))</f>
        <v>1-2-0</v>
      </c>
      <c r="AP508" s="2" t="str">
        <f>INDEX(Sheet5!$B$2:$AG$33, MATCH(Table2[[#This Row],[HomeTeam]],Sheet5!$A$2:$A$33, 0), MATCH(Table2[[#This Row],[AwayTeam]],Sheet5!$A$2:$A$33, 0))</f>
        <v>2-0-1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0</v>
      </c>
      <c r="AU5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9" spans="1:49" x14ac:dyDescent="0.25">
      <c r="A509" s="141">
        <v>46004</v>
      </c>
      <c r="B509" s="141">
        <v>46004</v>
      </c>
      <c r="C509" s="142">
        <v>2025020507</v>
      </c>
      <c r="D509" s="143" t="s">
        <v>23</v>
      </c>
      <c r="E509" s="143" t="s">
        <v>27</v>
      </c>
      <c r="F509" s="143">
        <v>4</v>
      </c>
      <c r="G509" s="143">
        <v>3</v>
      </c>
      <c r="H509" s="143" t="str">
        <f t="shared" si="39"/>
        <v>CGY</v>
      </c>
      <c r="I509" s="143" t="s">
        <v>720</v>
      </c>
      <c r="J509" s="143">
        <v>2</v>
      </c>
      <c r="K509" s="143">
        <v>1</v>
      </c>
      <c r="L509" s="143" t="str">
        <f t="shared" si="40"/>
        <v>CGY</v>
      </c>
      <c r="M509" s="143" t="s">
        <v>720</v>
      </c>
      <c r="N509" s="143">
        <f>IF(ISBLANK(Table2[[#This Row],[ActualResult]]), 0, 1)</f>
        <v>1</v>
      </c>
      <c r="O509" s="143" t="str">
        <f>IF(ISBLANK(Table2[[#This Row],[ActualResult]]), "_", IF(Table2[[#This Row],[ActualWinner]]=Table2[[#This Row],[PredictedWinner]], "Y", "N"))</f>
        <v>Y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9" s="143">
        <v>1</v>
      </c>
      <c r="S509" s="143" t="str">
        <f t="shared" si="41"/>
        <v>LAK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50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-2</v>
      </c>
      <c r="AG509" s="143">
        <f>Table2[[#This Row],[ActualHomeScore]]-Table2[[#This Row],[PredictedHomeScore]]</f>
        <v>-2</v>
      </c>
      <c r="AH509" s="143">
        <f t="shared" si="42"/>
        <v>-1</v>
      </c>
      <c r="AI509" s="143">
        <f t="shared" si="43"/>
        <v>1</v>
      </c>
      <c r="AJ509" s="143">
        <v>13</v>
      </c>
      <c r="AK509" s="141">
        <v>46004</v>
      </c>
      <c r="AL509" s="143">
        <f>IF(Table2[[#This Row],[GameIsOver]]=0,0,IF(Table2[[#This Row],[ActualWinner]]=Table2[[#This Row],[AwayTeam]], 1, 0))</f>
        <v>1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9" s="143" t="str">
        <f>INDEX(Sheet5!$B$2:$AG$33, MATCH(Table2[[#This Row],[AwayTeam]],Sheet5!$A$2:$A$33, 0), MATCH(Table2[[#This Row],[HomeTeam]],Sheet5!$A$2:$A$33, 0))</f>
        <v>1-0-0</v>
      </c>
      <c r="AP509" s="143" t="str">
        <f>INDEX(Sheet5!$B$2:$AG$33, MATCH(Table2[[#This Row],[HomeTeam]],Sheet5!$A$2:$A$33, 0), MATCH(Table2[[#This Row],[AwayTeam]],Sheet5!$A$2:$A$33, 0))</f>
        <v>0-0-1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10" spans="1:49" x14ac:dyDescent="0.25">
      <c r="A510" s="3">
        <v>46005</v>
      </c>
      <c r="B510" s="3">
        <v>46005</v>
      </c>
      <c r="C510" s="5">
        <v>2025020508</v>
      </c>
      <c r="D510" s="2" t="s">
        <v>24</v>
      </c>
      <c r="E510" s="2" t="s">
        <v>31</v>
      </c>
      <c r="F510" s="2">
        <v>2</v>
      </c>
      <c r="G510" s="2">
        <v>4</v>
      </c>
      <c r="H510" s="2" t="str">
        <f t="shared" si="39"/>
        <v>NJD</v>
      </c>
      <c r="I510" s="2" t="s">
        <v>718</v>
      </c>
      <c r="J510" s="2">
        <v>2</v>
      </c>
      <c r="K510" s="2">
        <v>1</v>
      </c>
      <c r="L510" s="2" t="str">
        <f t="shared" si="40"/>
        <v>VAN</v>
      </c>
      <c r="M510" s="2" t="s">
        <v>718</v>
      </c>
      <c r="N510" s="2">
        <f>IF(ISBLANK(Table2[[#This Row],[ActualResult]]), 0, 1)</f>
        <v>1</v>
      </c>
      <c r="O510" s="2" t="str">
        <f>IF(ISBLANK(Table2[[#This Row],[ActualResult]]), "_", IF(Table2[[#This Row],[ActualWinner]]=Table2[[#This Row],[PredictedWinner]], "Y", "N"))</f>
        <v>N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0" s="2">
        <v>1</v>
      </c>
      <c r="S510" s="2" t="str">
        <f t="shared" si="41"/>
        <v>NJD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-3</v>
      </c>
      <c r="AH510" s="2">
        <f t="shared" si="42"/>
        <v>2</v>
      </c>
      <c r="AI510" s="2">
        <f t="shared" si="43"/>
        <v>0</v>
      </c>
      <c r="AJ510" s="2">
        <v>1</v>
      </c>
      <c r="AK510" s="3">
        <v>46005</v>
      </c>
      <c r="AL510" s="2">
        <f>IF(Table2[[#This Row],[GameIsOver]]=0,0,IF(Table2[[#This Row],[ActualWinner]]=Table2[[#This Row],[AwayTeam]], 1, 0))</f>
        <v>1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0" s="2" t="str">
        <f>INDEX(Sheet5!$B$2:$AG$33, MATCH(Table2[[#This Row],[AwayTeam]],Sheet5!$A$2:$A$33, 0), MATCH(Table2[[#This Row],[HomeTeam]],Sheet5!$A$2:$A$33, 0))</f>
        <v>1-0-0</v>
      </c>
      <c r="AP510" s="2" t="str">
        <f>INDEX(Sheet5!$B$2:$AG$33, MATCH(Table2[[#This Row],[HomeTeam]],Sheet5!$A$2:$A$33, 0), MATCH(Table2[[#This Row],[AwayTeam]],Sheet5!$A$2:$A$33, 0))</f>
        <v>0-1-0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1" spans="1:49" x14ac:dyDescent="0.25">
      <c r="A511" s="3">
        <v>46005</v>
      </c>
      <c r="B511" s="3">
        <v>46005</v>
      </c>
      <c r="C511" s="5">
        <v>2025020509</v>
      </c>
      <c r="D511" s="2" t="s">
        <v>14</v>
      </c>
      <c r="E511" s="2" t="s">
        <v>20</v>
      </c>
      <c r="F511" s="2">
        <v>2</v>
      </c>
      <c r="G511" s="2">
        <v>3</v>
      </c>
      <c r="H511" s="2" t="str">
        <f t="shared" si="39"/>
        <v>PIT</v>
      </c>
      <c r="I511" s="2" t="s">
        <v>719</v>
      </c>
      <c r="J511" s="2">
        <v>5</v>
      </c>
      <c r="K511" s="2">
        <v>4</v>
      </c>
      <c r="L511" s="2" t="str">
        <f t="shared" si="40"/>
        <v>UTA</v>
      </c>
      <c r="M511" s="2" t="s">
        <v>720</v>
      </c>
      <c r="N511" s="2">
        <f>IF(ISBLANK(Table2[[#This Row],[ActualResult]]), 0, 1)</f>
        <v>1</v>
      </c>
      <c r="O511" s="2" t="str">
        <f>IF(ISBLANK(Table2[[#This Row],[ActualResult]]), "_", IF(Table2[[#This Row],[ActualWinner]]=Table2[[#This Row],[PredictedWinner]], "Y", "N"))</f>
        <v>N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1" s="2">
        <v>1</v>
      </c>
      <c r="S511" s="2" t="str">
        <f t="shared" si="41"/>
        <v>PIT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3</v>
      </c>
      <c r="AG511" s="2">
        <f>Table2[[#This Row],[ActualHomeScore]]-Table2[[#This Row],[PredictedHomeScore]]</f>
        <v>1</v>
      </c>
      <c r="AH511" s="2">
        <f t="shared" si="42"/>
        <v>2</v>
      </c>
      <c r="AI511" s="2">
        <f t="shared" si="43"/>
        <v>0</v>
      </c>
      <c r="AJ511" s="2">
        <v>2</v>
      </c>
      <c r="AK511" s="3">
        <v>46005</v>
      </c>
      <c r="AL511" s="2">
        <f>IF(Table2[[#This Row],[GameIsOver]]=0,0,IF(Table2[[#This Row],[ActualWinner]]=Table2[[#This Row],[AwayTeam]], 1, 0))</f>
        <v>1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1" s="2" t="str">
        <f>INDEX(Sheet5!$B$2:$AG$33, MATCH(Table2[[#This Row],[AwayTeam]],Sheet5!$A$2:$A$33, 0), MATCH(Table2[[#This Row],[HomeTeam]],Sheet5!$A$2:$A$33, 0))</f>
        <v>1-0-0</v>
      </c>
      <c r="AP511" s="2" t="str">
        <f>INDEX(Sheet5!$B$2:$AG$33, MATCH(Table2[[#This Row],[HomeTeam]],Sheet5!$A$2:$A$33, 0), MATCH(Table2[[#This Row],[AwayTeam]],Sheet5!$A$2:$A$33, 0))</f>
        <v>0-0-1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0</v>
      </c>
      <c r="AU5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2" spans="1:49" x14ac:dyDescent="0.25">
      <c r="A512" s="3">
        <v>46005</v>
      </c>
      <c r="B512" s="3">
        <v>46005</v>
      </c>
      <c r="C512" s="5">
        <v>2025020510</v>
      </c>
      <c r="D512" s="2" t="s">
        <v>42</v>
      </c>
      <c r="E512" s="2" t="s">
        <v>41</v>
      </c>
      <c r="F512" s="2">
        <v>2</v>
      </c>
      <c r="G512" s="2">
        <v>3</v>
      </c>
      <c r="H512" s="2" t="str">
        <f t="shared" si="39"/>
        <v>CAR</v>
      </c>
      <c r="I512" s="2" t="s">
        <v>719</v>
      </c>
      <c r="J512" s="2">
        <v>2</v>
      </c>
      <c r="K512" s="2">
        <v>3</v>
      </c>
      <c r="L512" s="2" t="str">
        <f t="shared" si="40"/>
        <v>CAR</v>
      </c>
      <c r="M512" s="2" t="s">
        <v>719</v>
      </c>
      <c r="N512" s="2">
        <f>IF(ISBLANK(Table2[[#This Row],[ActualResult]]), 0, 1)</f>
        <v>1</v>
      </c>
      <c r="O512" s="2" t="str">
        <f>IF(ISBLANK(Table2[[#This Row],[ActualResult]]), "_", IF(Table2[[#This Row],[ActualWinner]]=Table2[[#This Row],[PredictedWinner]], "Y", "N"))</f>
        <v>Y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2" s="2">
        <v>1</v>
      </c>
      <c r="S512" s="2" t="str">
        <f t="shared" si="41"/>
        <v>PHI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2</v>
      </c>
      <c r="AI512" s="2">
        <f t="shared" si="43"/>
        <v>0</v>
      </c>
      <c r="AJ512" s="2">
        <v>3</v>
      </c>
      <c r="AK512" s="3">
        <v>46005</v>
      </c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1</v>
      </c>
      <c r="AN5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2" s="2" t="str">
        <f>INDEX(Sheet5!$B$2:$AG$33, MATCH(Table2[[#This Row],[AwayTeam]],Sheet5!$A$2:$A$33, 0), MATCH(Table2[[#This Row],[HomeTeam]],Sheet5!$A$2:$A$33, 0))</f>
        <v>0-0-3</v>
      </c>
      <c r="AP512" s="2" t="str">
        <f>INDEX(Sheet5!$B$2:$AG$33, MATCH(Table2[[#This Row],[HomeTeam]],Sheet5!$A$2:$A$33, 0), MATCH(Table2[[#This Row],[AwayTeam]],Sheet5!$A$2:$A$33, 0))</f>
        <v>3-0-0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0</v>
      </c>
      <c r="AU5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3" spans="1:49" x14ac:dyDescent="0.25">
      <c r="A513" s="3">
        <v>46005</v>
      </c>
      <c r="B513" s="3">
        <v>46005</v>
      </c>
      <c r="C513" s="5">
        <v>2025020511</v>
      </c>
      <c r="D513" s="2" t="s">
        <v>15</v>
      </c>
      <c r="E513" s="2" t="s">
        <v>36</v>
      </c>
      <c r="F513" s="2">
        <v>1</v>
      </c>
      <c r="G513" s="2">
        <v>3</v>
      </c>
      <c r="H513" s="2" t="str">
        <f t="shared" si="39"/>
        <v>MIN</v>
      </c>
      <c r="I513" s="2" t="s">
        <v>718</v>
      </c>
      <c r="J513" s="2">
        <v>2</v>
      </c>
      <c r="K513" s="2">
        <v>6</v>
      </c>
      <c r="L513" s="2" t="str">
        <f t="shared" si="40"/>
        <v>MIN</v>
      </c>
      <c r="M513" s="2" t="s">
        <v>718</v>
      </c>
      <c r="N513" s="2">
        <f>IF(ISBLANK(Table2[[#This Row],[ActualResult]]), 0, 1)</f>
        <v>1</v>
      </c>
      <c r="O513" s="2" t="str">
        <f>IF(ISBLANK(Table2[[#This Row],[ActualResult]]), "_", IF(Table2[[#This Row],[ActualWinner]]=Table2[[#This Row],[PredictedWinner]], "Y", "N"))</f>
        <v>Y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3" s="2">
        <v>1</v>
      </c>
      <c r="S513" s="2" t="str">
        <f t="shared" si="41"/>
        <v>BOS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1</v>
      </c>
      <c r="AG513" s="2">
        <f>Table2[[#This Row],[ActualHomeScore]]-Table2[[#This Row],[PredictedHomeScore]]</f>
        <v>3</v>
      </c>
      <c r="AH513" s="2">
        <f t="shared" si="42"/>
        <v>2</v>
      </c>
      <c r="AI513" s="2">
        <f t="shared" si="43"/>
        <v>0</v>
      </c>
      <c r="AJ513" s="2">
        <v>4</v>
      </c>
      <c r="AK513" s="3">
        <v>46005</v>
      </c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1</v>
      </c>
      <c r="AN5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3" s="2" t="str">
        <f>INDEX(Sheet5!$B$2:$AG$33, MATCH(Table2[[#This Row],[AwayTeam]],Sheet5!$A$2:$A$33, 0), MATCH(Table2[[#This Row],[HomeTeam]],Sheet5!$A$2:$A$33, 0))</f>
        <v>0-1-0</v>
      </c>
      <c r="AP513" s="2" t="str">
        <f>INDEX(Sheet5!$B$2:$AG$33, MATCH(Table2[[#This Row],[HomeTeam]],Sheet5!$A$2:$A$33, 0), MATCH(Table2[[#This Row],[AwayTeam]],Sheet5!$A$2:$A$33, 0))</f>
        <v>1-0-0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0</v>
      </c>
      <c r="AU5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4" spans="1:49" x14ac:dyDescent="0.25">
      <c r="A514" s="3">
        <v>46005</v>
      </c>
      <c r="B514" s="3">
        <v>46005</v>
      </c>
      <c r="C514" s="5">
        <v>2025020512</v>
      </c>
      <c r="D514" s="2" t="s">
        <v>22</v>
      </c>
      <c r="E514" s="2" t="s">
        <v>18</v>
      </c>
      <c r="F514" s="2">
        <v>4</v>
      </c>
      <c r="G514" s="2">
        <v>2</v>
      </c>
      <c r="H514" s="2" t="str">
        <f t="shared" si="39"/>
        <v>EDM</v>
      </c>
      <c r="I514" s="2" t="s">
        <v>718</v>
      </c>
      <c r="J514" s="2">
        <v>1</v>
      </c>
      <c r="K514" s="2">
        <v>4</v>
      </c>
      <c r="L514" s="2" t="str">
        <f t="shared" si="40"/>
        <v>MTL</v>
      </c>
      <c r="M514" s="2" t="s">
        <v>718</v>
      </c>
      <c r="N514" s="2">
        <f>IF(ISBLANK(Table2[[#This Row],[ActualResult]]), 0, 1)</f>
        <v>1</v>
      </c>
      <c r="O514" s="2" t="str">
        <f>IF(ISBLANK(Table2[[#This Row],[ActualResult]]), "_", IF(Table2[[#This Row],[ActualWinner]]=Table2[[#This Row],[PredictedWinner]], "Y", "N"))</f>
        <v>N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4" s="2">
        <v>1</v>
      </c>
      <c r="S514" s="2" t="str">
        <f t="shared" si="41"/>
        <v>EDM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4" s="2">
        <f>Table2[[#This Row],[ActualAwayScore]]-Table2[[#This Row],[PredictedAwayScore]]</f>
        <v>-3</v>
      </c>
      <c r="AG514" s="2">
        <f>Table2[[#This Row],[ActualHomeScore]]-Table2[[#This Row],[PredictedHomeScore]]</f>
        <v>2</v>
      </c>
      <c r="AH514" s="2">
        <f t="shared" si="42"/>
        <v>2</v>
      </c>
      <c r="AI514" s="2">
        <f t="shared" si="43"/>
        <v>0</v>
      </c>
      <c r="AJ514" s="2">
        <v>5</v>
      </c>
      <c r="AK514" s="3">
        <v>46005</v>
      </c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1</v>
      </c>
      <c r="AN5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4" s="2" t="str">
        <f>INDEX(Sheet5!$B$2:$AG$33, MATCH(Table2[[#This Row],[AwayTeam]],Sheet5!$A$2:$A$33, 0), MATCH(Table2[[#This Row],[HomeTeam]],Sheet5!$A$2:$A$33, 0))</f>
        <v>1-1-0</v>
      </c>
      <c r="AP514" s="2" t="str">
        <f>INDEX(Sheet5!$B$2:$AG$33, MATCH(Table2[[#This Row],[HomeTeam]],Sheet5!$A$2:$A$33, 0), MATCH(Table2[[#This Row],[AwayTeam]],Sheet5!$A$2:$A$33, 0))</f>
        <v>1-1-0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0</v>
      </c>
      <c r="AU5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5" spans="1:49" x14ac:dyDescent="0.25">
      <c r="A515" s="141">
        <v>46005</v>
      </c>
      <c r="B515" s="141">
        <v>46005</v>
      </c>
      <c r="C515" s="142">
        <v>2025020513</v>
      </c>
      <c r="D515" s="143" t="s">
        <v>28</v>
      </c>
      <c r="E515" s="143" t="s">
        <v>11</v>
      </c>
      <c r="F515" s="143">
        <v>2</v>
      </c>
      <c r="G515" s="143">
        <v>4</v>
      </c>
      <c r="H515" s="143" t="str">
        <f t="shared" ref="H515:H578" si="44">IF(AND(ISBLANK($F515),ISBLANK($G515)),"_",IF($F515&gt;$G515,$D515,$E515))</f>
        <v>SEA</v>
      </c>
      <c r="I515" s="143" t="s">
        <v>718</v>
      </c>
      <c r="J515" s="143">
        <v>3</v>
      </c>
      <c r="K515" s="143">
        <v>1</v>
      </c>
      <c r="L515" s="143" t="str">
        <f t="shared" ref="L515:L578" si="45">IF(OR($J515=$K515,AND(ISBLANK($J515),ISBLANK($K515))),"_",IF($J515&gt;$K515,$D515,$E515))</f>
        <v>BUF</v>
      </c>
      <c r="M515" s="143" t="s">
        <v>718</v>
      </c>
      <c r="N515" s="143">
        <f>IF(ISBLANK(Table2[[#This Row],[ActualResult]]), 0, 1)</f>
        <v>1</v>
      </c>
      <c r="O515" s="143" t="str">
        <f>IF(ISBLANK(Table2[[#This Row],[ActualResult]]), "_", IF(Table2[[#This Row],[ActualWinner]]=Table2[[#This Row],[PredictedWinner]], "Y", "N"))</f>
        <v>N</v>
      </c>
      <c r="P51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5" s="143">
        <v>1</v>
      </c>
      <c r="S515" s="143" t="str">
        <f t="shared" ref="S515:S578" si="46">IF($L515="_", "_", IF($L515=$D515,$E515,$D515))</f>
        <v>SEA</v>
      </c>
      <c r="T51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143">
        <f>IF(Table2[[#This Row],[InterConf]]=1,IF(Table2[[#This Row],[InterDiv]]=0, 1, 0), 0)</f>
        <v>0</v>
      </c>
      <c r="W51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143"/>
      <c r="Y515" s="143"/>
      <c r="Z515" s="149">
        <f>IF(AND(Table2[[#This Row],[GameIsOver]]=1,Table2[[#This Row],[ActualHomeScore]]*Table2[[#This Row],[ActualAwayScore]]=0), 1,0)</f>
        <v>0</v>
      </c>
      <c r="AA51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1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5" s="143">
        <f>Table2[[#This Row],[ActualAwayScore]]-Table2[[#This Row],[PredictedAwayScore]]</f>
        <v>1</v>
      </c>
      <c r="AG515" s="143">
        <f>Table2[[#This Row],[ActualHomeScore]]-Table2[[#This Row],[PredictedHomeScore]]</f>
        <v>-3</v>
      </c>
      <c r="AH515" s="143">
        <f t="shared" ref="AH515:AH578" si="47">SUMIF($B$3:$B$1315, $B515, $AF$3:$AF$1315)</f>
        <v>2</v>
      </c>
      <c r="AI515" s="143">
        <f t="shared" ref="AI515:AI578" si="48">SUMIF($B$3:$B$1315, $B515, $AG$3:$AG$1315)</f>
        <v>0</v>
      </c>
      <c r="AJ515" s="143">
        <v>6</v>
      </c>
      <c r="AK515" s="141">
        <v>46005</v>
      </c>
      <c r="AL515" s="143">
        <f>IF(Table2[[#This Row],[GameIsOver]]=0,0,IF(Table2[[#This Row],[ActualWinner]]=Table2[[#This Row],[AwayTeam]], 1, 0))</f>
        <v>1</v>
      </c>
      <c r="AM515" s="143">
        <f>IF(Table2[[#This Row],[GameIsOver]]=0,0,IF(Table2[[#This Row],[ActualWinner]]=Table2[[#This Row],[HomeTeam]], 1, 0))</f>
        <v>0</v>
      </c>
      <c r="AN51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5" s="143" t="str">
        <f>INDEX(Sheet5!$B$2:$AG$33, MATCH(Table2[[#This Row],[AwayTeam]],Sheet5!$A$2:$A$33, 0), MATCH(Table2[[#This Row],[HomeTeam]],Sheet5!$A$2:$A$33, 0))</f>
        <v>1-0-0</v>
      </c>
      <c r="AP515" s="143" t="str">
        <f>INDEX(Sheet5!$B$2:$AG$33, MATCH(Table2[[#This Row],[HomeTeam]],Sheet5!$A$2:$A$33, 0), MATCH(Table2[[#This Row],[AwayTeam]],Sheet5!$A$2:$A$33, 0))</f>
        <v>0-1-0</v>
      </c>
      <c r="AQ515" s="143">
        <f>IF(Table2[[#This Row],[GameHasShutOut]], 1, 0)</f>
        <v>0</v>
      </c>
      <c r="AR515" s="143">
        <f>IF(Table2[[#This Row],[ActualAwayScore]] + Table2[[#This Row],[ActualHomeScore]] &gt;= 10, 1, 0)</f>
        <v>0</v>
      </c>
      <c r="AS515" s="143">
        <f>IF(ABS(Table2[[#This Row],[ActualAwayScore]]-Table2[[#This Row],[ActualHomeScore]])&gt;=5, 1, 0)</f>
        <v>0</v>
      </c>
      <c r="AT515" s="143">
        <f>IF(Table2[[#This Row],[ActualAwayScore]] + Table2[[#This Row],[ActualHomeScore]] &lt;= 3, 1, 0)</f>
        <v>0</v>
      </c>
      <c r="AU51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6" spans="1:49" x14ac:dyDescent="0.25">
      <c r="A516" s="3">
        <v>46006</v>
      </c>
      <c r="B516" s="3">
        <v>46006</v>
      </c>
      <c r="C516" s="5">
        <v>2025020514</v>
      </c>
      <c r="D516" s="2" t="s">
        <v>13</v>
      </c>
      <c r="E516" s="2" t="s">
        <v>40</v>
      </c>
      <c r="F516" s="2">
        <v>3</v>
      </c>
      <c r="G516" s="2">
        <v>2</v>
      </c>
      <c r="H516" s="2" t="str">
        <f t="shared" si="44"/>
        <v>FLA</v>
      </c>
      <c r="I516" s="2" t="s">
        <v>720</v>
      </c>
      <c r="J516" s="2">
        <v>5</v>
      </c>
      <c r="K516" s="2">
        <v>2</v>
      </c>
      <c r="L516" s="2" t="str">
        <f t="shared" si="45"/>
        <v>FLA</v>
      </c>
      <c r="M516" s="2" t="s">
        <v>718</v>
      </c>
      <c r="N516" s="2">
        <f>IF(ISBLANK(Table2[[#This Row],[ActualResult]]), 0, 1)</f>
        <v>1</v>
      </c>
      <c r="O516" s="2" t="str">
        <f>IF(ISBLANK(Table2[[#This Row],[ActualResult]]), "_", IF(Table2[[#This Row],[ActualWinner]]=Table2[[#This Row],[PredictedWinner]], "Y", "N"))</f>
        <v>Y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6" s="2">
        <v>1</v>
      </c>
      <c r="S516" s="2" t="str">
        <f t="shared" si="46"/>
        <v>TBL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6" s="2">
        <f>Table2[[#This Row],[ActualAwayScore]]-Table2[[#This Row],[PredictedAwayScore]]</f>
        <v>2</v>
      </c>
      <c r="AG516" s="2">
        <f>Table2[[#This Row],[ActualHomeScore]]-Table2[[#This Row],[PredictedHomeScore]]</f>
        <v>0</v>
      </c>
      <c r="AH516" s="2">
        <f t="shared" si="47"/>
        <v>5</v>
      </c>
      <c r="AI516" s="2">
        <f t="shared" si="48"/>
        <v>-3</v>
      </c>
      <c r="AJ516" s="2">
        <v>1</v>
      </c>
      <c r="AK516" s="3">
        <v>46006</v>
      </c>
      <c r="AL516" s="2">
        <f>IF(Table2[[#This Row],[GameIsOver]]=0,0,IF(Table2[[#This Row],[ActualWinner]]=Table2[[#This Row],[AwayTeam]], 1, 0))</f>
        <v>1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6" s="2" t="str">
        <f>INDEX(Sheet5!$B$2:$AG$33, MATCH(Table2[[#This Row],[AwayTeam]],Sheet5!$A$2:$A$33, 0), MATCH(Table2[[#This Row],[HomeTeam]],Sheet5!$A$2:$A$33, 0))</f>
        <v>1-1-0</v>
      </c>
      <c r="AP516" s="2" t="str">
        <f>INDEX(Sheet5!$B$2:$AG$33, MATCH(Table2[[#This Row],[HomeTeam]],Sheet5!$A$2:$A$33, 0), MATCH(Table2[[#This Row],[AwayTeam]],Sheet5!$A$2:$A$33, 0))</f>
        <v>1-1-0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0</v>
      </c>
      <c r="AU5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7" spans="1:49" x14ac:dyDescent="0.25">
      <c r="A517" s="3">
        <v>46006</v>
      </c>
      <c r="B517" s="3">
        <v>46006</v>
      </c>
      <c r="C517" s="5">
        <v>2025020515</v>
      </c>
      <c r="D517" s="2" t="s">
        <v>44</v>
      </c>
      <c r="E517" s="2" t="s">
        <v>19</v>
      </c>
      <c r="F517" s="2">
        <v>3</v>
      </c>
      <c r="G517" s="2">
        <v>4</v>
      </c>
      <c r="H517" s="2" t="str">
        <f t="shared" si="44"/>
        <v>NYR</v>
      </c>
      <c r="I517" s="2" t="s">
        <v>719</v>
      </c>
      <c r="J517" s="2">
        <v>4</v>
      </c>
      <c r="K517" s="2">
        <v>1</v>
      </c>
      <c r="L517" s="2" t="str">
        <f t="shared" si="45"/>
        <v>ANA</v>
      </c>
      <c r="M517" s="2" t="s">
        <v>718</v>
      </c>
      <c r="N517" s="2">
        <f>IF(ISBLANK(Table2[[#This Row],[ActualResult]]), 0, 1)</f>
        <v>1</v>
      </c>
      <c r="O517" s="2" t="str">
        <f>IF(ISBLANK(Table2[[#This Row],[ActualResult]]), "_", IF(Table2[[#This Row],[ActualWinner]]=Table2[[#This Row],[PredictedWinner]], "Y", "N"))</f>
        <v>N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7" s="2">
        <v>1</v>
      </c>
      <c r="S517" s="2" t="str">
        <f t="shared" si="46"/>
        <v>NYR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7" s="2">
        <f>Table2[[#This Row],[ActualAwayScore]]-Table2[[#This Row],[PredictedAwayScore]]</f>
        <v>1</v>
      </c>
      <c r="AG517" s="2">
        <f>Table2[[#This Row],[ActualHomeScore]]-Table2[[#This Row],[PredictedHomeScore]]</f>
        <v>-3</v>
      </c>
      <c r="AH517" s="2">
        <f t="shared" si="47"/>
        <v>5</v>
      </c>
      <c r="AI517" s="2">
        <f t="shared" si="48"/>
        <v>-3</v>
      </c>
      <c r="AJ517" s="2">
        <v>2</v>
      </c>
      <c r="AK517" s="3">
        <v>46006</v>
      </c>
      <c r="AL517" s="2">
        <f>IF(Table2[[#This Row],[GameIsOver]]=0,0,IF(Table2[[#This Row],[ActualWinner]]=Table2[[#This Row],[AwayTeam]], 1, 0))</f>
        <v>1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7" s="2" t="str">
        <f>INDEX(Sheet5!$B$2:$AG$33, MATCH(Table2[[#This Row],[AwayTeam]],Sheet5!$A$2:$A$33, 0), MATCH(Table2[[#This Row],[HomeTeam]],Sheet5!$A$2:$A$33, 0))</f>
        <v>1-0-0</v>
      </c>
      <c r="AP517" s="2" t="str">
        <f>INDEX(Sheet5!$B$2:$AG$33, MATCH(Table2[[#This Row],[HomeTeam]],Sheet5!$A$2:$A$33, 0), MATCH(Table2[[#This Row],[AwayTeam]],Sheet5!$A$2:$A$33, 0))</f>
        <v>0-1-0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0</v>
      </c>
      <c r="AU5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8" spans="1:49" x14ac:dyDescent="0.25">
      <c r="A518" s="3">
        <v>46006</v>
      </c>
      <c r="B518" s="3">
        <v>46006</v>
      </c>
      <c r="C518" s="5">
        <v>2025020516</v>
      </c>
      <c r="D518" s="2" t="s">
        <v>29</v>
      </c>
      <c r="E518" s="2" t="s">
        <v>21</v>
      </c>
      <c r="F518" s="2">
        <v>1</v>
      </c>
      <c r="G518" s="2">
        <v>2</v>
      </c>
      <c r="H518" s="2" t="str">
        <f t="shared" si="44"/>
        <v>WPG</v>
      </c>
      <c r="I518" s="2" t="s">
        <v>718</v>
      </c>
      <c r="J518" s="2">
        <v>3</v>
      </c>
      <c r="K518" s="2">
        <v>2</v>
      </c>
      <c r="L518" s="2" t="str">
        <f t="shared" si="45"/>
        <v>OTT</v>
      </c>
      <c r="M518" s="2" t="s">
        <v>720</v>
      </c>
      <c r="N518" s="2">
        <f>IF(ISBLANK(Table2[[#This Row],[ActualResult]]), 0, 1)</f>
        <v>1</v>
      </c>
      <c r="O518" s="2" t="str">
        <f>IF(ISBLANK(Table2[[#This Row],[ActualResult]]), "_", IF(Table2[[#This Row],[ActualWinner]]=Table2[[#This Row],[PredictedWinner]], "Y", "N"))</f>
        <v>N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8" s="2">
        <v>1</v>
      </c>
      <c r="S518" s="2" t="str">
        <f t="shared" si="46"/>
        <v>WPG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 t="s">
        <v>750</v>
      </c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8" s="2">
        <f>Table2[[#This Row],[ActualAwayScore]]-Table2[[#This Row],[PredictedAwayScore]]</f>
        <v>2</v>
      </c>
      <c r="AG518" s="2">
        <f>Table2[[#This Row],[ActualHomeScore]]-Table2[[#This Row],[PredictedHomeScore]]</f>
        <v>0</v>
      </c>
      <c r="AH518" s="2">
        <f t="shared" si="47"/>
        <v>5</v>
      </c>
      <c r="AI518" s="2">
        <f t="shared" si="48"/>
        <v>-3</v>
      </c>
      <c r="AJ518" s="2">
        <v>5</v>
      </c>
      <c r="AK518" s="3">
        <v>46006</v>
      </c>
      <c r="AL518" s="2">
        <f>IF(Table2[[#This Row],[GameIsOver]]=0,0,IF(Table2[[#This Row],[ActualWinner]]=Table2[[#This Row],[AwayTeam]], 1, 0))</f>
        <v>1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8" s="2" t="str">
        <f>INDEX(Sheet5!$B$2:$AG$33, MATCH(Table2[[#This Row],[AwayTeam]],Sheet5!$A$2:$A$33, 0), MATCH(Table2[[#This Row],[HomeTeam]],Sheet5!$A$2:$A$33, 0))</f>
        <v>1-0-0</v>
      </c>
      <c r="AP518" s="2" t="str">
        <f>INDEX(Sheet5!$B$2:$AG$33, MATCH(Table2[[#This Row],[HomeTeam]],Sheet5!$A$2:$A$33, 0), MATCH(Table2[[#This Row],[AwayTeam]],Sheet5!$A$2:$A$33, 0))</f>
        <v>0-0-1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0</v>
      </c>
      <c r="AU5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9" spans="1:49" x14ac:dyDescent="0.25">
      <c r="A519" s="3">
        <v>46006</v>
      </c>
      <c r="B519" s="3">
        <v>46006</v>
      </c>
      <c r="C519" s="5">
        <v>2025020517</v>
      </c>
      <c r="D519" s="2" t="s">
        <v>34</v>
      </c>
      <c r="E519" s="2" t="s">
        <v>12</v>
      </c>
      <c r="F519" s="2">
        <v>4</v>
      </c>
      <c r="G519" s="2">
        <v>3</v>
      </c>
      <c r="H519" s="2" t="str">
        <f t="shared" si="44"/>
        <v>NSH</v>
      </c>
      <c r="I519" s="2" t="s">
        <v>718</v>
      </c>
      <c r="J519" s="2">
        <v>5</v>
      </c>
      <c r="K519" s="2">
        <v>2</v>
      </c>
      <c r="L519" s="2" t="str">
        <f t="shared" si="45"/>
        <v>NSH</v>
      </c>
      <c r="M519" s="2" t="s">
        <v>718</v>
      </c>
      <c r="N519" s="2">
        <f>IF(ISBLANK(Table2[[#This Row],[ActualResult]]), 0, 1)</f>
        <v>1</v>
      </c>
      <c r="O519" s="2" t="str">
        <f>IF(ISBLANK(Table2[[#This Row],[ActualResult]]), "_", IF(Table2[[#This Row],[ActualWinner]]=Table2[[#This Row],[PredictedWinner]], "Y", "N"))</f>
        <v>Y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9" s="2">
        <v>1</v>
      </c>
      <c r="S519" s="2" t="str">
        <f t="shared" si="46"/>
        <v>STL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9" s="2">
        <f>Table2[[#This Row],[ActualAwayScore]]-Table2[[#This Row],[PredictedAwayScore]]</f>
        <v>1</v>
      </c>
      <c r="AG519" s="2">
        <f>Table2[[#This Row],[ActualHomeScore]]-Table2[[#This Row],[PredictedHomeScore]]</f>
        <v>-1</v>
      </c>
      <c r="AH519" s="2">
        <f t="shared" si="47"/>
        <v>5</v>
      </c>
      <c r="AI519" s="2">
        <f t="shared" si="48"/>
        <v>-3</v>
      </c>
      <c r="AJ519" s="2">
        <v>3</v>
      </c>
      <c r="AK519" s="3">
        <v>46006</v>
      </c>
      <c r="AL519" s="2">
        <f>IF(Table2[[#This Row],[GameIsOver]]=0,0,IF(Table2[[#This Row],[ActualWinner]]=Table2[[#This Row],[AwayTeam]], 1, 0))</f>
        <v>1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9" s="2" t="str">
        <f>INDEX(Sheet5!$B$2:$AG$33, MATCH(Table2[[#This Row],[AwayTeam]],Sheet5!$A$2:$A$33, 0), MATCH(Table2[[#This Row],[HomeTeam]],Sheet5!$A$2:$A$33, 0))</f>
        <v>2-0-0</v>
      </c>
      <c r="AP519" s="2" t="str">
        <f>INDEX(Sheet5!$B$2:$AG$33, MATCH(Table2[[#This Row],[HomeTeam]],Sheet5!$A$2:$A$33, 0), MATCH(Table2[[#This Row],[AwayTeam]],Sheet5!$A$2:$A$33, 0))</f>
        <v>0-2-0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0</v>
      </c>
      <c r="AU5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0" spans="1:49" x14ac:dyDescent="0.25">
      <c r="A520" s="141">
        <v>46006</v>
      </c>
      <c r="B520" s="141">
        <v>46006</v>
      </c>
      <c r="C520" s="142">
        <v>2025020518</v>
      </c>
      <c r="D520" s="143" t="s">
        <v>27</v>
      </c>
      <c r="E520" s="143" t="s">
        <v>33</v>
      </c>
      <c r="F520" s="143">
        <v>2</v>
      </c>
      <c r="G520" s="143">
        <v>3</v>
      </c>
      <c r="H520" s="143" t="str">
        <f t="shared" si="44"/>
        <v>DAL</v>
      </c>
      <c r="I520" s="143" t="s">
        <v>718</v>
      </c>
      <c r="J520" s="143">
        <v>1</v>
      </c>
      <c r="K520" s="143">
        <v>4</v>
      </c>
      <c r="L520" s="143" t="str">
        <f t="shared" si="45"/>
        <v>DAL</v>
      </c>
      <c r="M520" s="143" t="s">
        <v>718</v>
      </c>
      <c r="N520" s="143">
        <f>IF(ISBLANK(Table2[[#This Row],[ActualResult]]), 0, 1)</f>
        <v>1</v>
      </c>
      <c r="O520" s="143" t="str">
        <f>IF(ISBLANK(Table2[[#This Row],[ActualResult]]), "_", IF(Table2[[#This Row],[ActualWinner]]=Table2[[#This Row],[PredictedWinner]], "Y", "N"))</f>
        <v>Y</v>
      </c>
      <c r="P5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0" s="143">
        <v>1</v>
      </c>
      <c r="S520" s="143" t="str">
        <f t="shared" si="46"/>
        <v>LAK</v>
      </c>
      <c r="T5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143">
        <f>IF(Table2[[#This Row],[InterConf]]=1,IF(Table2[[#This Row],[InterDiv]]=0, 1, 0), 0)</f>
        <v>1</v>
      </c>
      <c r="W5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143"/>
      <c r="Y520" s="143"/>
      <c r="Z520" s="149">
        <f>IF(AND(Table2[[#This Row],[GameIsOver]]=1,Table2[[#This Row],[ActualHomeScore]]*Table2[[#This Row],[ActualAwayScore]]=0), 1,0)</f>
        <v>0</v>
      </c>
      <c r="AA5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2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20" s="143">
        <f>Table2[[#This Row],[ActualAwayScore]]-Table2[[#This Row],[PredictedAwayScore]]</f>
        <v>-1</v>
      </c>
      <c r="AG520" s="143">
        <f>Table2[[#This Row],[ActualHomeScore]]-Table2[[#This Row],[PredictedHomeScore]]</f>
        <v>1</v>
      </c>
      <c r="AH520" s="143">
        <f t="shared" si="47"/>
        <v>5</v>
      </c>
      <c r="AI520" s="143">
        <f t="shared" si="48"/>
        <v>-3</v>
      </c>
      <c r="AJ520" s="143">
        <v>4</v>
      </c>
      <c r="AK520" s="141">
        <v>46006</v>
      </c>
      <c r="AL520" s="143">
        <f>IF(Table2[[#This Row],[GameIsOver]]=0,0,IF(Table2[[#This Row],[ActualWinner]]=Table2[[#This Row],[AwayTeam]], 1, 0))</f>
        <v>0</v>
      </c>
      <c r="AM520" s="143">
        <f>IF(Table2[[#This Row],[GameIsOver]]=0,0,IF(Table2[[#This Row],[ActualWinner]]=Table2[[#This Row],[HomeTeam]], 1, 0))</f>
        <v>1</v>
      </c>
      <c r="AN5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0" s="143" t="str">
        <f>INDEX(Sheet5!$B$2:$AG$33, MATCH(Table2[[#This Row],[AwayTeam]],Sheet5!$A$2:$A$33, 0), MATCH(Table2[[#This Row],[HomeTeam]],Sheet5!$A$2:$A$33, 0))</f>
        <v>1-1-0</v>
      </c>
      <c r="AP520" s="143" t="str">
        <f>INDEX(Sheet5!$B$2:$AG$33, MATCH(Table2[[#This Row],[HomeTeam]],Sheet5!$A$2:$A$33, 0), MATCH(Table2[[#This Row],[AwayTeam]],Sheet5!$A$2:$A$33, 0))</f>
        <v>1-0-1</v>
      </c>
      <c r="AQ520" s="143">
        <f>IF(Table2[[#This Row],[GameHasShutOut]], 1, 0)</f>
        <v>0</v>
      </c>
      <c r="AR520" s="143">
        <f>IF(Table2[[#This Row],[ActualAwayScore]] + Table2[[#This Row],[ActualHomeScore]] &gt;= 10, 1, 0)</f>
        <v>0</v>
      </c>
      <c r="AS520" s="143">
        <f>IF(ABS(Table2[[#This Row],[ActualAwayScore]]-Table2[[#This Row],[ActualHomeScore]])&gt;=5, 1, 0)</f>
        <v>0</v>
      </c>
      <c r="AT520" s="143">
        <f>IF(Table2[[#This Row],[ActualAwayScore]] + Table2[[#This Row],[ActualHomeScore]] &lt;= 3, 1, 0)</f>
        <v>0</v>
      </c>
      <c r="AU5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1" spans="1:49" x14ac:dyDescent="0.25">
      <c r="A521" s="3">
        <v>46007</v>
      </c>
      <c r="B521" s="3">
        <v>46007</v>
      </c>
      <c r="C521" s="5">
        <v>2025020519</v>
      </c>
      <c r="D521" s="2" t="s">
        <v>14</v>
      </c>
      <c r="E521" s="2" t="s">
        <v>15</v>
      </c>
      <c r="F521" s="2">
        <v>2</v>
      </c>
      <c r="G521" s="2">
        <v>4</v>
      </c>
      <c r="H521" s="2" t="str">
        <f t="shared" si="44"/>
        <v>BOS</v>
      </c>
      <c r="I521" s="2" t="s">
        <v>718</v>
      </c>
      <c r="J521" s="2">
        <v>1</v>
      </c>
      <c r="K521" s="2">
        <v>4</v>
      </c>
      <c r="L521" s="2" t="str">
        <f t="shared" si="45"/>
        <v>BOS</v>
      </c>
      <c r="M521" s="2" t="s">
        <v>718</v>
      </c>
      <c r="N521" s="2">
        <f>IF(ISBLANK(Table2[[#This Row],[ActualResult]]), 0, 1)</f>
        <v>1</v>
      </c>
      <c r="O521" s="2" t="str">
        <f>IF(ISBLANK(Table2[[#This Row],[ActualResult]]), "_", IF(Table2[[#This Row],[ActualWinner]]=Table2[[#This Row],[PredictedWinner]], "Y", "N"))</f>
        <v>Y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1" s="2">
        <v>1</v>
      </c>
      <c r="S521" s="2" t="str">
        <f t="shared" si="46"/>
        <v>UTA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1" s="2">
        <f>Table2[[#This Row],[ActualAwayScore]]-Table2[[#This Row],[PredictedAwayScore]]</f>
        <v>-1</v>
      </c>
      <c r="AG521" s="2">
        <f>Table2[[#This Row],[ActualHomeScore]]-Table2[[#This Row],[PredictedHomeScore]]</f>
        <v>0</v>
      </c>
      <c r="AH521" s="2">
        <f t="shared" si="47"/>
        <v>-6</v>
      </c>
      <c r="AI521" s="2">
        <f t="shared" si="48"/>
        <v>-1</v>
      </c>
      <c r="AJ521" s="2">
        <v>4</v>
      </c>
      <c r="AK521" s="3">
        <v>46007</v>
      </c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1</v>
      </c>
      <c r="AN5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1" s="2" t="str">
        <f>INDEX(Sheet5!$B$2:$AG$33, MATCH(Table2[[#This Row],[AwayTeam]],Sheet5!$A$2:$A$33, 0), MATCH(Table2[[#This Row],[HomeTeam]],Sheet5!$A$2:$A$33, 0))</f>
        <v>1-1-0</v>
      </c>
      <c r="AP521" s="2" t="str">
        <f>INDEX(Sheet5!$B$2:$AG$33, MATCH(Table2[[#This Row],[HomeTeam]],Sheet5!$A$2:$A$33, 0), MATCH(Table2[[#This Row],[AwayTeam]],Sheet5!$A$2:$A$33, 0))</f>
        <v>1-1-0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0</v>
      </c>
      <c r="AU5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2" spans="1:49" x14ac:dyDescent="0.25">
      <c r="A522" s="3">
        <v>46007</v>
      </c>
      <c r="B522" s="3">
        <v>46007</v>
      </c>
      <c r="C522" s="5">
        <v>2025020520</v>
      </c>
      <c r="D522" s="2" t="s">
        <v>16</v>
      </c>
      <c r="E522" s="2" t="s">
        <v>17</v>
      </c>
      <c r="F522" s="2">
        <v>3</v>
      </c>
      <c r="G522" s="2">
        <v>5</v>
      </c>
      <c r="H522" s="2" t="str">
        <f t="shared" si="44"/>
        <v>TOR</v>
      </c>
      <c r="I522" s="2" t="s">
        <v>718</v>
      </c>
      <c r="J522" s="2">
        <v>2</v>
      </c>
      <c r="K522" s="2">
        <v>3</v>
      </c>
      <c r="L522" s="2" t="str">
        <f t="shared" si="45"/>
        <v>TOR</v>
      </c>
      <c r="M522" s="2" t="s">
        <v>718</v>
      </c>
      <c r="N522" s="2">
        <f>IF(ISBLANK(Table2[[#This Row],[ActualResult]]), 0, 1)</f>
        <v>1</v>
      </c>
      <c r="O522" s="2" t="str">
        <f>IF(ISBLANK(Table2[[#This Row],[ActualResult]]), "_", IF(Table2[[#This Row],[ActualWinner]]=Table2[[#This Row],[PredictedWinner]], "Y", "N"))</f>
        <v>Y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2" s="2">
        <v>1</v>
      </c>
      <c r="S522" s="2" t="str">
        <f t="shared" si="46"/>
        <v>CHI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2" s="2">
        <f>Table2[[#This Row],[ActualAwayScore]]-Table2[[#This Row],[PredictedAwayScore]]</f>
        <v>-1</v>
      </c>
      <c r="AG522" s="2">
        <f>Table2[[#This Row],[ActualHomeScore]]-Table2[[#This Row],[PredictedHomeScore]]</f>
        <v>-2</v>
      </c>
      <c r="AH522" s="2">
        <f t="shared" si="47"/>
        <v>-6</v>
      </c>
      <c r="AI522" s="2">
        <f t="shared" si="48"/>
        <v>-1</v>
      </c>
      <c r="AJ522" s="2">
        <v>1</v>
      </c>
      <c r="AK522" s="3">
        <v>46007</v>
      </c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1</v>
      </c>
      <c r="AN5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2" s="2" t="str">
        <f>INDEX(Sheet5!$B$2:$AG$33, MATCH(Table2[[#This Row],[AwayTeam]],Sheet5!$A$2:$A$33, 0), MATCH(Table2[[#This Row],[HomeTeam]],Sheet5!$A$2:$A$33, 0))</f>
        <v>1-1-0</v>
      </c>
      <c r="AP522" s="2" t="str">
        <f>INDEX(Sheet5!$B$2:$AG$33, MATCH(Table2[[#This Row],[HomeTeam]],Sheet5!$A$2:$A$33, 0), MATCH(Table2[[#This Row],[AwayTeam]],Sheet5!$A$2:$A$33, 0))</f>
        <v>1-1-0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0</v>
      </c>
      <c r="AU5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3" spans="1:49" x14ac:dyDescent="0.25">
      <c r="A523" s="3">
        <v>46007</v>
      </c>
      <c r="B523" s="3">
        <v>46007</v>
      </c>
      <c r="C523" s="5">
        <v>2025020521</v>
      </c>
      <c r="D523" s="2" t="s">
        <v>42</v>
      </c>
      <c r="E523" s="2" t="s">
        <v>18</v>
      </c>
      <c r="F523" s="2">
        <v>4</v>
      </c>
      <c r="G523" s="2">
        <v>3</v>
      </c>
      <c r="H523" s="2" t="str">
        <f t="shared" si="44"/>
        <v>PHI</v>
      </c>
      <c r="I523" s="2" t="s">
        <v>720</v>
      </c>
      <c r="J523" s="2">
        <v>4</v>
      </c>
      <c r="K523" s="2">
        <v>1</v>
      </c>
      <c r="L523" s="2" t="str">
        <f t="shared" si="45"/>
        <v>PHI</v>
      </c>
      <c r="M523" s="2" t="s">
        <v>718</v>
      </c>
      <c r="N523" s="2">
        <f>IF(ISBLANK(Table2[[#This Row],[ActualResult]]), 0, 1)</f>
        <v>1</v>
      </c>
      <c r="O523" s="2" t="str">
        <f>IF(ISBLANK(Table2[[#This Row],[ActualResult]]), "_", IF(Table2[[#This Row],[ActualWinner]]=Table2[[#This Row],[PredictedWinner]], "Y", "N"))</f>
        <v>Y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3" s="2">
        <v>1</v>
      </c>
      <c r="S523" s="2" t="str">
        <f t="shared" si="46"/>
        <v>MTL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-2</v>
      </c>
      <c r="AH523" s="2">
        <f t="shared" si="47"/>
        <v>-6</v>
      </c>
      <c r="AI523" s="2">
        <f t="shared" si="48"/>
        <v>-1</v>
      </c>
      <c r="AJ523" s="2">
        <v>2</v>
      </c>
      <c r="AK523" s="3">
        <v>46007</v>
      </c>
      <c r="AL523" s="2">
        <f>IF(Table2[[#This Row],[GameIsOver]]=0,0,IF(Table2[[#This Row],[ActualWinner]]=Table2[[#This Row],[AwayTeam]], 1, 0))</f>
        <v>1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3" s="2" t="str">
        <f>INDEX(Sheet5!$B$2:$AG$33, MATCH(Table2[[#This Row],[AwayTeam]],Sheet5!$A$2:$A$33, 0), MATCH(Table2[[#This Row],[HomeTeam]],Sheet5!$A$2:$A$33, 0))</f>
        <v>2-0-0</v>
      </c>
      <c r="AP523" s="2" t="str">
        <f>INDEX(Sheet5!$B$2:$AG$33, MATCH(Table2[[#This Row],[HomeTeam]],Sheet5!$A$2:$A$33, 0), MATCH(Table2[[#This Row],[AwayTeam]],Sheet5!$A$2:$A$33, 0))</f>
        <v>0-1-1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0</v>
      </c>
      <c r="AU5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4" spans="1:49" x14ac:dyDescent="0.25">
      <c r="A524" s="3">
        <v>46007</v>
      </c>
      <c r="B524" s="3">
        <v>46007</v>
      </c>
      <c r="C524" s="5">
        <v>2025020522</v>
      </c>
      <c r="D524" s="2" t="s">
        <v>32</v>
      </c>
      <c r="E524" s="2" t="s">
        <v>30</v>
      </c>
      <c r="F524" s="2">
        <v>4</v>
      </c>
      <c r="G524" s="2">
        <v>3</v>
      </c>
      <c r="H524" s="2" t="str">
        <f t="shared" si="44"/>
        <v>NYI</v>
      </c>
      <c r="I524" s="2" t="s">
        <v>718</v>
      </c>
      <c r="J524" s="2">
        <v>2</v>
      </c>
      <c r="K524" s="2">
        <v>3</v>
      </c>
      <c r="L524" s="2" t="str">
        <f t="shared" si="45"/>
        <v>DET</v>
      </c>
      <c r="M524" s="2" t="s">
        <v>718</v>
      </c>
      <c r="N524" s="2">
        <f>IF(ISBLANK(Table2[[#This Row],[ActualResult]]), 0, 1)</f>
        <v>1</v>
      </c>
      <c r="O524" s="2" t="str">
        <f>IF(ISBLANK(Table2[[#This Row],[ActualResult]]), "_", IF(Table2[[#This Row],[ActualWinner]]=Table2[[#This Row],[PredictedWinner]], "Y", "N"))</f>
        <v>N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4" s="2">
        <v>1</v>
      </c>
      <c r="S524" s="2" t="str">
        <f t="shared" si="46"/>
        <v>NYI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4" s="2">
        <f>Table2[[#This Row],[ActualAwayScore]]-Table2[[#This Row],[PredictedAwayScore]]</f>
        <v>-2</v>
      </c>
      <c r="AG524" s="2">
        <f>Table2[[#This Row],[ActualHomeScore]]-Table2[[#This Row],[PredictedHomeScore]]</f>
        <v>0</v>
      </c>
      <c r="AH524" s="2">
        <f t="shared" si="47"/>
        <v>-6</v>
      </c>
      <c r="AI524" s="2">
        <f t="shared" si="48"/>
        <v>-1</v>
      </c>
      <c r="AJ524" s="2">
        <v>3</v>
      </c>
      <c r="AK524" s="3">
        <v>46007</v>
      </c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1</v>
      </c>
      <c r="AN5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4" s="2" t="str">
        <f>INDEX(Sheet5!$B$2:$AG$33, MATCH(Table2[[#This Row],[AwayTeam]],Sheet5!$A$2:$A$33, 0), MATCH(Table2[[#This Row],[HomeTeam]],Sheet5!$A$2:$A$33, 0))</f>
        <v>2-1-0</v>
      </c>
      <c r="AP524" s="2" t="str">
        <f>INDEX(Sheet5!$B$2:$AG$33, MATCH(Table2[[#This Row],[HomeTeam]],Sheet5!$A$2:$A$33, 0), MATCH(Table2[[#This Row],[AwayTeam]],Sheet5!$A$2:$A$33, 0))</f>
        <v>1-2-0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0</v>
      </c>
      <c r="AU5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5" spans="1:49" x14ac:dyDescent="0.25">
      <c r="A525" s="3">
        <v>46007</v>
      </c>
      <c r="B525" s="3">
        <v>46007</v>
      </c>
      <c r="C525" s="5">
        <v>2025020523</v>
      </c>
      <c r="D525" s="2" t="s">
        <v>24</v>
      </c>
      <c r="E525" s="2" t="s">
        <v>19</v>
      </c>
      <c r="F525" s="2">
        <v>4</v>
      </c>
      <c r="G525" s="2">
        <v>2</v>
      </c>
      <c r="H525" s="2" t="str">
        <f t="shared" si="44"/>
        <v>VAN</v>
      </c>
      <c r="I525" s="2" t="s">
        <v>718</v>
      </c>
      <c r="J525" s="2">
        <v>3</v>
      </c>
      <c r="K525" s="2">
        <v>0</v>
      </c>
      <c r="L525" s="2" t="str">
        <f t="shared" si="45"/>
        <v>VAN</v>
      </c>
      <c r="M525" s="2" t="s">
        <v>718</v>
      </c>
      <c r="N525" s="2">
        <f>IF(ISBLANK(Table2[[#This Row],[ActualResult]]), 0, 1)</f>
        <v>1</v>
      </c>
      <c r="O525" s="2" t="str">
        <f>IF(ISBLANK(Table2[[#This Row],[ActualResult]]), "_", IF(Table2[[#This Row],[ActualWinner]]=Table2[[#This Row],[PredictedWinner]], "Y", "N"))</f>
        <v>Y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5" s="2">
        <v>1</v>
      </c>
      <c r="S525" s="2" t="str">
        <f t="shared" si="46"/>
        <v>NYR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1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5" s="2">
        <f>Table2[[#This Row],[ActualAwayScore]]-Table2[[#This Row],[PredictedAwayScore]]</f>
        <v>-1</v>
      </c>
      <c r="AG525" s="2">
        <f>Table2[[#This Row],[ActualHomeScore]]-Table2[[#This Row],[PredictedHomeScore]]</f>
        <v>-2</v>
      </c>
      <c r="AH525" s="2">
        <f t="shared" si="47"/>
        <v>-6</v>
      </c>
      <c r="AI525" s="2">
        <f t="shared" si="48"/>
        <v>-1</v>
      </c>
      <c r="AJ525" s="2">
        <v>5</v>
      </c>
      <c r="AK525" s="3">
        <v>46007</v>
      </c>
      <c r="AL525" s="2">
        <f>IF(Table2[[#This Row],[GameIsOver]]=0,0,IF(Table2[[#This Row],[ActualWinner]]=Table2[[#This Row],[AwayTeam]], 1, 0))</f>
        <v>1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5" s="2" t="str">
        <f>INDEX(Sheet5!$B$2:$AG$33, MATCH(Table2[[#This Row],[AwayTeam]],Sheet5!$A$2:$A$33, 0), MATCH(Table2[[#This Row],[HomeTeam]],Sheet5!$A$2:$A$33, 0))</f>
        <v>1-1-0</v>
      </c>
      <c r="AP525" s="2" t="str">
        <f>INDEX(Sheet5!$B$2:$AG$33, MATCH(Table2[[#This Row],[HomeTeam]],Sheet5!$A$2:$A$33, 0), MATCH(Table2[[#This Row],[AwayTeam]],Sheet5!$A$2:$A$33, 0))</f>
        <v>1-1-0</v>
      </c>
      <c r="AQ525" s="2">
        <f>IF(Table2[[#This Row],[GameHasShutOut]], 1, 0)</f>
        <v>1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6" spans="1:49" x14ac:dyDescent="0.25">
      <c r="A526" s="3">
        <v>46007</v>
      </c>
      <c r="B526" s="3">
        <v>46007</v>
      </c>
      <c r="C526" s="5">
        <v>2025020524</v>
      </c>
      <c r="D526" s="2" t="s">
        <v>22</v>
      </c>
      <c r="E526" s="2" t="s">
        <v>20</v>
      </c>
      <c r="F526" s="2">
        <v>4</v>
      </c>
      <c r="G526" s="2">
        <v>3</v>
      </c>
      <c r="H526" s="2" t="str">
        <f t="shared" si="44"/>
        <v>EDM</v>
      </c>
      <c r="I526" s="2" t="s">
        <v>718</v>
      </c>
      <c r="J526" s="2">
        <v>6</v>
      </c>
      <c r="K526" s="2">
        <v>4</v>
      </c>
      <c r="L526" s="2" t="str">
        <f t="shared" si="45"/>
        <v>EDM</v>
      </c>
      <c r="M526" s="2" t="s">
        <v>718</v>
      </c>
      <c r="N526" s="2">
        <f>IF(ISBLANK(Table2[[#This Row],[ActualResult]]), 0, 1)</f>
        <v>1</v>
      </c>
      <c r="O526" s="2" t="str">
        <f>IF(ISBLANK(Table2[[#This Row],[ActualResult]]), "_", IF(Table2[[#This Row],[ActualWinner]]=Table2[[#This Row],[PredictedWinner]], "Y", "N"))</f>
        <v>Y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6" s="2">
        <v>1</v>
      </c>
      <c r="S526" s="2" t="str">
        <f t="shared" si="46"/>
        <v>PIT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6" s="2">
        <f>Table2[[#This Row],[ActualAwayScore]]-Table2[[#This Row],[PredictedAwayScore]]</f>
        <v>2</v>
      </c>
      <c r="AG526" s="2">
        <f>Table2[[#This Row],[ActualHomeScore]]-Table2[[#This Row],[PredictedHomeScore]]</f>
        <v>1</v>
      </c>
      <c r="AH526" s="2">
        <f t="shared" si="47"/>
        <v>-6</v>
      </c>
      <c r="AI526" s="2">
        <f t="shared" si="48"/>
        <v>-1</v>
      </c>
      <c r="AJ526" s="2">
        <v>7</v>
      </c>
      <c r="AK526" s="3">
        <v>46007</v>
      </c>
      <c r="AL526" s="2">
        <f>IF(Table2[[#This Row],[GameIsOver]]=0,0,IF(Table2[[#This Row],[ActualWinner]]=Table2[[#This Row],[AwayTeam]], 1, 0))</f>
        <v>1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6" s="2" t="str">
        <f>INDEX(Sheet5!$B$2:$AG$33, MATCH(Table2[[#This Row],[AwayTeam]],Sheet5!$A$2:$A$33, 0), MATCH(Table2[[#This Row],[HomeTeam]],Sheet5!$A$2:$A$33, 0))</f>
        <v>1-0-0</v>
      </c>
      <c r="AP526" s="2" t="str">
        <f>INDEX(Sheet5!$B$2:$AG$33, MATCH(Table2[[#This Row],[HomeTeam]],Sheet5!$A$2:$A$33, 0), MATCH(Table2[[#This Row],[AwayTeam]],Sheet5!$A$2:$A$33, 0))</f>
        <v>0-1-0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1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0</v>
      </c>
      <c r="AU5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7" spans="1:49" x14ac:dyDescent="0.25">
      <c r="A527" s="3">
        <v>46007</v>
      </c>
      <c r="B527" s="3">
        <v>46007</v>
      </c>
      <c r="C527" s="5">
        <v>2025020525</v>
      </c>
      <c r="D527" s="2" t="s">
        <v>44</v>
      </c>
      <c r="E527" s="2" t="s">
        <v>35</v>
      </c>
      <c r="F527" s="2">
        <v>3</v>
      </c>
      <c r="G527" s="2">
        <v>5</v>
      </c>
      <c r="H527" s="2" t="str">
        <f t="shared" si="44"/>
        <v>CBJ</v>
      </c>
      <c r="I527" s="2" t="s">
        <v>718</v>
      </c>
      <c r="J527" s="2">
        <v>3</v>
      </c>
      <c r="K527" s="2">
        <v>4</v>
      </c>
      <c r="L527" s="2" t="str">
        <f t="shared" si="45"/>
        <v>CBJ</v>
      </c>
      <c r="M527" s="2" t="s">
        <v>720</v>
      </c>
      <c r="N527" s="2">
        <f>IF(ISBLANK(Table2[[#This Row],[ActualResult]]), 0, 1)</f>
        <v>1</v>
      </c>
      <c r="O527" s="2" t="str">
        <f>IF(ISBLANK(Table2[[#This Row],[ActualResult]]), "_", IF(Table2[[#This Row],[ActualWinner]]=Table2[[#This Row],[PredictedWinner]], "Y", "N"))</f>
        <v>Y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7" s="2">
        <v>1</v>
      </c>
      <c r="S527" s="2" t="str">
        <f t="shared" si="46"/>
        <v>ANA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-1</v>
      </c>
      <c r="AH527" s="2">
        <f t="shared" si="47"/>
        <v>-6</v>
      </c>
      <c r="AI527" s="2">
        <f t="shared" si="48"/>
        <v>-1</v>
      </c>
      <c r="AJ527" s="2">
        <v>6</v>
      </c>
      <c r="AK527" s="3">
        <v>46007</v>
      </c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1</v>
      </c>
      <c r="AN5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7" s="2" t="str">
        <f>INDEX(Sheet5!$B$2:$AG$33, MATCH(Table2[[#This Row],[AwayTeam]],Sheet5!$A$2:$A$33, 0), MATCH(Table2[[#This Row],[HomeTeam]],Sheet5!$A$2:$A$33, 0))</f>
        <v>0-0-1</v>
      </c>
      <c r="AP527" s="2" t="str">
        <f>INDEX(Sheet5!$B$2:$AG$33, MATCH(Table2[[#This Row],[HomeTeam]],Sheet5!$A$2:$A$33, 0), MATCH(Table2[[#This Row],[AwayTeam]],Sheet5!$A$2:$A$33, 0))</f>
        <v>1-0-0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0</v>
      </c>
      <c r="AU5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8" spans="1:49" x14ac:dyDescent="0.25">
      <c r="A528" s="3">
        <v>46007</v>
      </c>
      <c r="B528" s="3">
        <v>46007</v>
      </c>
      <c r="C528" s="5">
        <v>2025020526</v>
      </c>
      <c r="D528" s="2" t="s">
        <v>43</v>
      </c>
      <c r="E528" s="2" t="s">
        <v>36</v>
      </c>
      <c r="F528" s="2">
        <v>2</v>
      </c>
      <c r="G528" s="2">
        <v>3</v>
      </c>
      <c r="H528" s="2" t="str">
        <f t="shared" si="44"/>
        <v>MIN</v>
      </c>
      <c r="I528" s="2" t="s">
        <v>719</v>
      </c>
      <c r="J528" s="2">
        <v>0</v>
      </c>
      <c r="K528" s="2">
        <v>5</v>
      </c>
      <c r="L528" s="2" t="str">
        <f t="shared" si="45"/>
        <v>MIN</v>
      </c>
      <c r="M528" s="2" t="s">
        <v>718</v>
      </c>
      <c r="N528" s="2">
        <f>IF(ISBLANK(Table2[[#This Row],[ActualResult]]), 0, 1)</f>
        <v>1</v>
      </c>
      <c r="O528" s="2" t="str">
        <f>IF(ISBLANK(Table2[[#This Row],[ActualResult]]), "_", IF(Table2[[#This Row],[ActualWinner]]=Table2[[#This Row],[PredictedWinner]], "Y", "N"))</f>
        <v>Y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8" s="2">
        <v>1</v>
      </c>
      <c r="S528" s="2" t="str">
        <f t="shared" si="46"/>
        <v>WSH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1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8" s="2">
        <f>Table2[[#This Row],[ActualAwayScore]]-Table2[[#This Row],[PredictedAwayScore]]</f>
        <v>-2</v>
      </c>
      <c r="AG528" s="2">
        <f>Table2[[#This Row],[ActualHomeScore]]-Table2[[#This Row],[PredictedHomeScore]]</f>
        <v>2</v>
      </c>
      <c r="AH528" s="2">
        <f t="shared" si="47"/>
        <v>-6</v>
      </c>
      <c r="AI528" s="2">
        <f t="shared" si="48"/>
        <v>-1</v>
      </c>
      <c r="AJ528" s="2">
        <v>8</v>
      </c>
      <c r="AK528" s="3">
        <v>46007</v>
      </c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1</v>
      </c>
      <c r="AN5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8" s="2" t="str">
        <f>INDEX(Sheet5!$B$2:$AG$33, MATCH(Table2[[#This Row],[AwayTeam]],Sheet5!$A$2:$A$33, 0), MATCH(Table2[[#This Row],[HomeTeam]],Sheet5!$A$2:$A$33, 0))</f>
        <v>1-1-0</v>
      </c>
      <c r="AP528" s="2" t="str">
        <f>INDEX(Sheet5!$B$2:$AG$33, MATCH(Table2[[#This Row],[HomeTeam]],Sheet5!$A$2:$A$33, 0), MATCH(Table2[[#This Row],[AwayTeam]],Sheet5!$A$2:$A$33, 0))</f>
        <v>1-1-0</v>
      </c>
      <c r="AQ528" s="2">
        <f>IF(Table2[[#This Row],[GameHasShutOut]], 1, 0)</f>
        <v>1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1</v>
      </c>
      <c r="AT528" s="2">
        <f>IF(Table2[[#This Row],[ActualAwayScore]] + Table2[[#This Row],[ActualHomeScore]] &lt;= 3, 1, 0)</f>
        <v>0</v>
      </c>
      <c r="AU5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9" spans="1:49" x14ac:dyDescent="0.25">
      <c r="A529" s="3">
        <v>46007</v>
      </c>
      <c r="B529" s="3">
        <v>46007</v>
      </c>
      <c r="C529" s="5">
        <v>2025020527</v>
      </c>
      <c r="D529" s="2" t="s">
        <v>23</v>
      </c>
      <c r="E529" s="2" t="s">
        <v>37</v>
      </c>
      <c r="F529" s="2">
        <v>4</v>
      </c>
      <c r="G529" s="2">
        <v>3</v>
      </c>
      <c r="H529" s="2" t="str">
        <f t="shared" si="44"/>
        <v>CGY</v>
      </c>
      <c r="I529" s="2" t="s">
        <v>720</v>
      </c>
      <c r="J529" s="2">
        <v>3</v>
      </c>
      <c r="K529" s="2">
        <v>6</v>
      </c>
      <c r="L529" s="2" t="str">
        <f t="shared" si="45"/>
        <v>SJS</v>
      </c>
      <c r="M529" s="2" t="s">
        <v>718</v>
      </c>
      <c r="N529" s="2">
        <f>IF(ISBLANK(Table2[[#This Row],[ActualResult]]), 0, 1)</f>
        <v>1</v>
      </c>
      <c r="O529" s="2" t="str">
        <f>IF(ISBLANK(Table2[[#This Row],[ActualResult]]), "_", IF(Table2[[#This Row],[ActualWinner]]=Table2[[#This Row],[PredictedWinner]], "Y", "N"))</f>
        <v>N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9" s="2">
        <v>1</v>
      </c>
      <c r="S529" s="2" t="str">
        <f t="shared" si="46"/>
        <v>CGY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9" s="2">
        <f>Table2[[#This Row],[ActualAwayScore]]-Table2[[#This Row],[PredictedAwayScore]]</f>
        <v>-1</v>
      </c>
      <c r="AG529" s="2">
        <f>Table2[[#This Row],[ActualHomeScore]]-Table2[[#This Row],[PredictedHomeScore]]</f>
        <v>3</v>
      </c>
      <c r="AH529" s="2">
        <f t="shared" si="47"/>
        <v>-6</v>
      </c>
      <c r="AI529" s="2">
        <f t="shared" si="48"/>
        <v>-1</v>
      </c>
      <c r="AJ529" s="2">
        <v>9</v>
      </c>
      <c r="AK529" s="3">
        <v>46007</v>
      </c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1</v>
      </c>
      <c r="AN5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9" s="2" t="str">
        <f>INDEX(Sheet5!$B$2:$AG$33, MATCH(Table2[[#This Row],[AwayTeam]],Sheet5!$A$2:$A$33, 0), MATCH(Table2[[#This Row],[HomeTeam]],Sheet5!$A$2:$A$33, 0))</f>
        <v>1-1-0</v>
      </c>
      <c r="AP529" s="2" t="str">
        <f>INDEX(Sheet5!$B$2:$AG$33, MATCH(Table2[[#This Row],[HomeTeam]],Sheet5!$A$2:$A$33, 0), MATCH(Table2[[#This Row],[AwayTeam]],Sheet5!$A$2:$A$33, 0))</f>
        <v>1-1-0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0</v>
      </c>
      <c r="AU5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30" spans="1:49" x14ac:dyDescent="0.25">
      <c r="A530" s="141">
        <v>46007</v>
      </c>
      <c r="B530" s="141">
        <v>46007</v>
      </c>
      <c r="C530" s="142">
        <v>2025020528</v>
      </c>
      <c r="D530" s="143" t="s">
        <v>25</v>
      </c>
      <c r="E530" s="143" t="s">
        <v>11</v>
      </c>
      <c r="F530" s="143">
        <v>5</v>
      </c>
      <c r="G530" s="143">
        <v>3</v>
      </c>
      <c r="H530" s="143" t="str">
        <f t="shared" si="44"/>
        <v>COL</v>
      </c>
      <c r="I530" s="143" t="s">
        <v>718</v>
      </c>
      <c r="J530" s="143">
        <v>5</v>
      </c>
      <c r="K530" s="143">
        <v>3</v>
      </c>
      <c r="L530" s="143" t="str">
        <f t="shared" si="45"/>
        <v>COL</v>
      </c>
      <c r="M530" s="143" t="s">
        <v>718</v>
      </c>
      <c r="N530" s="143">
        <f>IF(ISBLANK(Table2[[#This Row],[ActualResult]]), 0, 1)</f>
        <v>1</v>
      </c>
      <c r="O530" s="143" t="str">
        <f>IF(ISBLANK(Table2[[#This Row],[ActualResult]]), "_", IF(Table2[[#This Row],[ActualWinner]]=Table2[[#This Row],[PredictedWinner]], "Y", "N"))</f>
        <v>Y</v>
      </c>
      <c r="P5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30" s="143">
        <v>1</v>
      </c>
      <c r="S530" s="143" t="str">
        <f t="shared" si="46"/>
        <v>SEA</v>
      </c>
      <c r="T5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143">
        <f>IF(Table2[[#This Row],[InterConf]]=1,IF(Table2[[#This Row],[InterDiv]]=0, 1, 0), 0)</f>
        <v>1</v>
      </c>
      <c r="W5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143"/>
      <c r="Y530" s="143"/>
      <c r="Z530" s="149">
        <f>IF(AND(Table2[[#This Row],[GameIsOver]]=1,Table2[[#This Row],[ActualHomeScore]]*Table2[[#This Row],[ActualAwayScore]]=0), 1,0)</f>
        <v>0</v>
      </c>
      <c r="AA53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4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0" s="143">
        <f>Table2[[#This Row],[ActualAwayScore]]-Table2[[#This Row],[PredictedAwayScore]]</f>
        <v>0</v>
      </c>
      <c r="AG530" s="143">
        <f>Table2[[#This Row],[ActualHomeScore]]-Table2[[#This Row],[PredictedHomeScore]]</f>
        <v>0</v>
      </c>
      <c r="AH530" s="143">
        <f t="shared" si="47"/>
        <v>-6</v>
      </c>
      <c r="AI530" s="143">
        <f t="shared" si="48"/>
        <v>-1</v>
      </c>
      <c r="AJ530" s="143">
        <v>10</v>
      </c>
      <c r="AK530" s="141">
        <v>46007</v>
      </c>
      <c r="AL530" s="143">
        <f>IF(Table2[[#This Row],[GameIsOver]]=0,0,IF(Table2[[#This Row],[ActualWinner]]=Table2[[#This Row],[AwayTeam]], 1, 0))</f>
        <v>1</v>
      </c>
      <c r="AM530" s="143">
        <f>IF(Table2[[#This Row],[GameIsOver]]=0,0,IF(Table2[[#This Row],[ActualWinner]]=Table2[[#This Row],[HomeTeam]], 1, 0))</f>
        <v>0</v>
      </c>
      <c r="AN5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30" s="143" t="str">
        <f>INDEX(Sheet5!$B$2:$AG$33, MATCH(Table2[[#This Row],[AwayTeam]],Sheet5!$A$2:$A$33, 0), MATCH(Table2[[#This Row],[HomeTeam]],Sheet5!$A$2:$A$33, 0))</f>
        <v>1-0-0</v>
      </c>
      <c r="AP530" s="143" t="str">
        <f>INDEX(Sheet5!$B$2:$AG$33, MATCH(Table2[[#This Row],[HomeTeam]],Sheet5!$A$2:$A$33, 0), MATCH(Table2[[#This Row],[AwayTeam]],Sheet5!$A$2:$A$33, 0))</f>
        <v>0-1-0</v>
      </c>
      <c r="AQ530" s="143">
        <f>IF(Table2[[#This Row],[GameHasShutOut]], 1, 0)</f>
        <v>0</v>
      </c>
      <c r="AR530" s="143">
        <f>IF(Table2[[#This Row],[ActualAwayScore]] + Table2[[#This Row],[ActualHomeScore]] &gt;= 10, 1, 0)</f>
        <v>0</v>
      </c>
      <c r="AS530" s="143">
        <f>IF(ABS(Table2[[#This Row],[ActualAwayScore]]-Table2[[#This Row],[ActualHomeScore]])&gt;=5, 1, 0)</f>
        <v>0</v>
      </c>
      <c r="AT530" s="143">
        <f>IF(Table2[[#This Row],[ActualAwayScore]] + Table2[[#This Row],[ActualHomeScore]] &lt;= 3, 1, 0)</f>
        <v>0</v>
      </c>
      <c r="AU53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1" spans="1:49" x14ac:dyDescent="0.25">
      <c r="A531" s="3">
        <v>46008</v>
      </c>
      <c r="B531" s="3">
        <v>46008</v>
      </c>
      <c r="C531" s="5">
        <v>2025020529</v>
      </c>
      <c r="D531" s="2" t="s">
        <v>27</v>
      </c>
      <c r="E531" s="2" t="s">
        <v>13</v>
      </c>
      <c r="F531" s="2">
        <v>1</v>
      </c>
      <c r="G531" s="2">
        <v>3</v>
      </c>
      <c r="H531" s="2" t="str">
        <f t="shared" si="44"/>
        <v>FLA</v>
      </c>
      <c r="I531" s="2" t="s">
        <v>718</v>
      </c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1" s="2">
        <f>Table2[[#This Row],[ActualAwayScore]]-Table2[[#This Row],[PredictedAwayScore]]</f>
        <v>-1</v>
      </c>
      <c r="AG531" s="2">
        <f>Table2[[#This Row],[ActualHomeScore]]-Table2[[#This Row],[PredictedHomeScore]]</f>
        <v>-3</v>
      </c>
      <c r="AH531" s="2">
        <f t="shared" si="47"/>
        <v>-13</v>
      </c>
      <c r="AI531" s="2">
        <f t="shared" si="48"/>
        <v>-13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2" spans="1:49" x14ac:dyDescent="0.25">
      <c r="A532" s="3">
        <v>46008</v>
      </c>
      <c r="B532" s="3">
        <v>46008</v>
      </c>
      <c r="C532" s="5">
        <v>2025020530</v>
      </c>
      <c r="D532" s="2" t="s">
        <v>14</v>
      </c>
      <c r="E532" s="2" t="s">
        <v>30</v>
      </c>
      <c r="F532" s="2">
        <v>2</v>
      </c>
      <c r="G532" s="2">
        <v>4</v>
      </c>
      <c r="H532" s="2" t="str">
        <f t="shared" si="44"/>
        <v>DET</v>
      </c>
      <c r="I532" s="2" t="s">
        <v>718</v>
      </c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2" s="2">
        <f>Table2[[#This Row],[ActualAwayScore]]-Table2[[#This Row],[PredictedAwayScore]]</f>
        <v>-2</v>
      </c>
      <c r="AG532" s="2">
        <f>Table2[[#This Row],[ActualHomeScore]]-Table2[[#This Row],[PredictedHomeScore]]</f>
        <v>-4</v>
      </c>
      <c r="AH532" s="2">
        <f t="shared" si="47"/>
        <v>-13</v>
      </c>
      <c r="AI532" s="2">
        <f t="shared" si="48"/>
        <v>-13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3" spans="1:49" x14ac:dyDescent="0.25">
      <c r="A533" s="3">
        <v>46008</v>
      </c>
      <c r="B533" s="3">
        <v>46008</v>
      </c>
      <c r="C533" s="5">
        <v>2025020531</v>
      </c>
      <c r="D533" s="2" t="s">
        <v>21</v>
      </c>
      <c r="E533" s="2" t="s">
        <v>12</v>
      </c>
      <c r="F533" s="2">
        <v>3</v>
      </c>
      <c r="G533" s="2">
        <v>2</v>
      </c>
      <c r="H533" s="2" t="str">
        <f t="shared" si="44"/>
        <v>WPG</v>
      </c>
      <c r="I533" s="2" t="s">
        <v>719</v>
      </c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3" s="2">
        <f>Table2[[#This Row],[ActualAwayScore]]-Table2[[#This Row],[PredictedAwayScore]]</f>
        <v>-3</v>
      </c>
      <c r="AG533" s="2">
        <f>Table2[[#This Row],[ActualHomeScore]]-Table2[[#This Row],[PredictedHomeScore]]</f>
        <v>-2</v>
      </c>
      <c r="AH533" s="2">
        <f t="shared" si="47"/>
        <v>-13</v>
      </c>
      <c r="AI533" s="2">
        <f t="shared" si="48"/>
        <v>-13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4" spans="1:49" x14ac:dyDescent="0.25">
      <c r="A534" s="3">
        <v>46008</v>
      </c>
      <c r="B534" s="3">
        <v>46008</v>
      </c>
      <c r="C534" s="5">
        <v>2025020532</v>
      </c>
      <c r="D534" s="2" t="s">
        <v>41</v>
      </c>
      <c r="E534" s="2" t="s">
        <v>34</v>
      </c>
      <c r="F534" s="2">
        <v>4</v>
      </c>
      <c r="G534" s="2">
        <v>2</v>
      </c>
      <c r="H534" s="2" t="str">
        <f t="shared" si="44"/>
        <v>CAR</v>
      </c>
      <c r="I534" s="2" t="s">
        <v>718</v>
      </c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4" s="2">
        <f>Table2[[#This Row],[ActualAwayScore]]-Table2[[#This Row],[PredictedAwayScore]]</f>
        <v>-4</v>
      </c>
      <c r="AG534" s="2">
        <f>Table2[[#This Row],[ActualHomeScore]]-Table2[[#This Row],[PredictedHomeScore]]</f>
        <v>-2</v>
      </c>
      <c r="AH534" s="2">
        <f t="shared" si="47"/>
        <v>-13</v>
      </c>
      <c r="AI534" s="2">
        <f t="shared" si="48"/>
        <v>-13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5" spans="1:49" x14ac:dyDescent="0.25">
      <c r="A535" s="141">
        <v>46008</v>
      </c>
      <c r="B535" s="141">
        <v>46008</v>
      </c>
      <c r="C535" s="142">
        <v>2025020533</v>
      </c>
      <c r="D535" s="143" t="s">
        <v>31</v>
      </c>
      <c r="E535" s="143" t="s">
        <v>26</v>
      </c>
      <c r="F535" s="143">
        <v>3</v>
      </c>
      <c r="G535" s="143">
        <v>2</v>
      </c>
      <c r="H535" s="143" t="str">
        <f t="shared" si="44"/>
        <v>NJD</v>
      </c>
      <c r="I535" s="143" t="s">
        <v>720</v>
      </c>
      <c r="J535" s="143"/>
      <c r="K535" s="143"/>
      <c r="L535" s="143" t="str">
        <f t="shared" si="45"/>
        <v>_</v>
      </c>
      <c r="M535" s="143"/>
      <c r="N535" s="143">
        <f>IF(ISBLANK(Table2[[#This Row],[ActualResult]]), 0, 1)</f>
        <v>0</v>
      </c>
      <c r="O535" s="143" t="str">
        <f>IF(ISBLANK(Table2[[#This Row],[ActualResult]]), "_", IF(Table2[[#This Row],[ActualWinner]]=Table2[[#This Row],[PredictedWinner]], "Y", "N"))</f>
        <v>_</v>
      </c>
      <c r="P5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143"/>
      <c r="S535" s="143" t="str">
        <f t="shared" si="46"/>
        <v>_</v>
      </c>
      <c r="T5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143">
        <f>IF(Table2[[#This Row],[InterConf]]=1,IF(Table2[[#This Row],[InterDiv]]=0, 1, 0), 0)</f>
        <v>0</v>
      </c>
      <c r="W5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143"/>
      <c r="Y535" s="143"/>
      <c r="Z535" s="149">
        <f>IF(AND(Table2[[#This Row],[GameIsOver]]=1,Table2[[#This Row],[ActualHomeScore]]*Table2[[#This Row],[ActualAwayScore]]=0), 1,0)</f>
        <v>0</v>
      </c>
      <c r="AA5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5" s="143">
        <f>Table2[[#This Row],[ActualAwayScore]]-Table2[[#This Row],[PredictedAwayScore]]</f>
        <v>-3</v>
      </c>
      <c r="AG535" s="143">
        <f>Table2[[#This Row],[ActualHomeScore]]-Table2[[#This Row],[PredictedHomeScore]]</f>
        <v>-2</v>
      </c>
      <c r="AH535" s="143">
        <f t="shared" si="47"/>
        <v>-13</v>
      </c>
      <c r="AI535" s="143">
        <f t="shared" si="48"/>
        <v>-13</v>
      </c>
      <c r="AJ535" s="143"/>
      <c r="AK535" s="141"/>
      <c r="AL535" s="143">
        <f>IF(Table2[[#This Row],[GameIsOver]]=0,0,IF(Table2[[#This Row],[ActualWinner]]=Table2[[#This Row],[AwayTeam]], 1, 0))</f>
        <v>0</v>
      </c>
      <c r="AM535" s="143">
        <f>IF(Table2[[#This Row],[GameIsOver]]=0,0,IF(Table2[[#This Row],[ActualWinner]]=Table2[[#This Row],[HomeTeam]], 1, 0))</f>
        <v>0</v>
      </c>
      <c r="AN5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5" s="143" t="str">
        <f>INDEX(Sheet5!$B$2:$AG$33, MATCH(Table2[[#This Row],[AwayTeam]],Sheet5!$A$2:$A$33, 0), MATCH(Table2[[#This Row],[HomeTeam]],Sheet5!$A$2:$A$33, 0))</f>
        <v>0-1-0</v>
      </c>
      <c r="AP535" s="143" t="str">
        <f>INDEX(Sheet5!$B$2:$AG$33, MATCH(Table2[[#This Row],[HomeTeam]],Sheet5!$A$2:$A$33, 0), MATCH(Table2[[#This Row],[AwayTeam]],Sheet5!$A$2:$A$33, 0))</f>
        <v>1-0-0</v>
      </c>
      <c r="AQ535" s="143">
        <f>IF(Table2[[#This Row],[GameHasShutOut]], 1, 0)</f>
        <v>0</v>
      </c>
      <c r="AR535" s="143">
        <f>IF(Table2[[#This Row],[ActualAwayScore]] + Table2[[#This Row],[ActualHomeScore]] &gt;= 10, 1, 0)</f>
        <v>0</v>
      </c>
      <c r="AS535" s="143">
        <f>IF(ABS(Table2[[#This Row],[ActualAwayScore]]-Table2[[#This Row],[ActualHomeScore]])&gt;=5, 1, 0)</f>
        <v>0</v>
      </c>
      <c r="AT535" s="143">
        <f>IF(Table2[[#This Row],[ActualAwayScore]] + Table2[[#This Row],[ActualHomeScore]] &lt;= 3, 1, 0)</f>
        <v>1</v>
      </c>
      <c r="AU5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6" spans="1:49" x14ac:dyDescent="0.25">
      <c r="A536" s="3"/>
      <c r="B536" s="3">
        <v>46009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7" spans="1:49" x14ac:dyDescent="0.25">
      <c r="A537" s="3"/>
      <c r="B537" s="3">
        <v>46009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8" spans="1:49" x14ac:dyDescent="0.25">
      <c r="A538" s="3"/>
      <c r="B538" s="3">
        <v>46009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9" spans="1:49" x14ac:dyDescent="0.25">
      <c r="A539" s="3"/>
      <c r="B539" s="3">
        <v>46009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0" spans="1:49" x14ac:dyDescent="0.25">
      <c r="A540" s="3"/>
      <c r="B540" s="3">
        <v>46009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1" spans="1:49" x14ac:dyDescent="0.25">
      <c r="A541" s="3"/>
      <c r="B541" s="3">
        <v>46009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2" spans="1:49" x14ac:dyDescent="0.25">
      <c r="A542" s="3"/>
      <c r="B542" s="3">
        <v>46009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3" spans="1:49" x14ac:dyDescent="0.25">
      <c r="A543" s="3"/>
      <c r="B543" s="3">
        <v>46009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4" spans="1:49" x14ac:dyDescent="0.25">
      <c r="A544" s="3"/>
      <c r="B544" s="3">
        <v>46009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45" spans="1:49" x14ac:dyDescent="0.25">
      <c r="A545" s="141"/>
      <c r="B545" s="141">
        <v>46009</v>
      </c>
      <c r="C545" s="142">
        <v>2025020543</v>
      </c>
      <c r="D545" s="143" t="s">
        <v>33</v>
      </c>
      <c r="E545" s="143" t="s">
        <v>37</v>
      </c>
      <c r="F545" s="143"/>
      <c r="G545" s="143"/>
      <c r="H545" s="143" t="str">
        <f t="shared" si="44"/>
        <v>_</v>
      </c>
      <c r="I545" s="143"/>
      <c r="J545" s="143"/>
      <c r="K545" s="143"/>
      <c r="L545" s="143" t="str">
        <f t="shared" si="45"/>
        <v>_</v>
      </c>
      <c r="M545" s="143"/>
      <c r="N545" s="143">
        <f>IF(ISBLANK(Table2[[#This Row],[ActualResult]]), 0, 1)</f>
        <v>0</v>
      </c>
      <c r="O545" s="143" t="str">
        <f>IF(ISBLANK(Table2[[#This Row],[ActualResult]]), "_", IF(Table2[[#This Row],[ActualWinner]]=Table2[[#This Row],[PredictedWinner]], "Y", "N"))</f>
        <v>_</v>
      </c>
      <c r="P5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143"/>
      <c r="S545" s="143" t="str">
        <f t="shared" si="46"/>
        <v>_</v>
      </c>
      <c r="T5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143">
        <f>IF(Table2[[#This Row],[InterConf]]=1,IF(Table2[[#This Row],[InterDiv]]=0, 1, 0), 0)</f>
        <v>1</v>
      </c>
      <c r="W5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143"/>
      <c r="Y545" s="143"/>
      <c r="Z545" s="149">
        <f>IF(AND(Table2[[#This Row],[GameIsOver]]=1,Table2[[#This Row],[ActualHomeScore]]*Table2[[#This Row],[ActualAwayScore]]=0), 1,0)</f>
        <v>0</v>
      </c>
      <c r="AA5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5" s="143">
        <f>Table2[[#This Row],[ActualAwayScore]]-Table2[[#This Row],[PredictedAwayScore]]</f>
        <v>0</v>
      </c>
      <c r="AG545" s="143">
        <f>Table2[[#This Row],[ActualHomeScore]]-Table2[[#This Row],[PredictedHomeScore]]</f>
        <v>0</v>
      </c>
      <c r="AH545" s="143">
        <f t="shared" si="47"/>
        <v>0</v>
      </c>
      <c r="AI545" s="143">
        <f t="shared" si="48"/>
        <v>0</v>
      </c>
      <c r="AJ545" s="143"/>
      <c r="AK545" s="141"/>
      <c r="AL545" s="143">
        <f>IF(Table2[[#This Row],[GameIsOver]]=0,0,IF(Table2[[#This Row],[ActualWinner]]=Table2[[#This Row],[AwayTeam]], 1, 0))</f>
        <v>0</v>
      </c>
      <c r="AM545" s="143">
        <f>IF(Table2[[#This Row],[GameIsOver]]=0,0,IF(Table2[[#This Row],[ActualWinner]]=Table2[[#This Row],[HomeTeam]], 1, 0))</f>
        <v>0</v>
      </c>
      <c r="AN5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5" s="143" t="str">
        <f>INDEX(Sheet5!$B$2:$AG$33, MATCH(Table2[[#This Row],[AwayTeam]],Sheet5!$A$2:$A$33, 0), MATCH(Table2[[#This Row],[HomeTeam]],Sheet5!$A$2:$A$33, 0))</f>
        <v>1-0-0</v>
      </c>
      <c r="AP545" s="143" t="str">
        <f>INDEX(Sheet5!$B$2:$AG$33, MATCH(Table2[[#This Row],[HomeTeam]],Sheet5!$A$2:$A$33, 0), MATCH(Table2[[#This Row],[AwayTeam]],Sheet5!$A$2:$A$33, 0))</f>
        <v>0-1-0</v>
      </c>
      <c r="AQ545" s="143">
        <f>IF(Table2[[#This Row],[GameHasShutOut]], 1, 0)</f>
        <v>0</v>
      </c>
      <c r="AR545" s="143">
        <f>IF(Table2[[#This Row],[ActualAwayScore]] + Table2[[#This Row],[ActualHomeScore]] &gt;= 10, 1, 0)</f>
        <v>0</v>
      </c>
      <c r="AS545" s="143">
        <f>IF(ABS(Table2[[#This Row],[ActualAwayScore]]-Table2[[#This Row],[ActualHomeScore]])&gt;=5, 1, 0)</f>
        <v>0</v>
      </c>
      <c r="AT545" s="143">
        <f>IF(Table2[[#This Row],[ActualAwayScore]] + Table2[[#This Row],[ActualHomeScore]] &lt;= 3, 1, 0)</f>
        <v>1</v>
      </c>
      <c r="AU5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6" spans="1:49" x14ac:dyDescent="0.25">
      <c r="A546" s="3"/>
      <c r="B546" s="3">
        <v>46010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7" spans="1:49" x14ac:dyDescent="0.25">
      <c r="A547" s="3"/>
      <c r="B547" s="3">
        <v>46010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8" spans="1:49" x14ac:dyDescent="0.25">
      <c r="A548" s="3"/>
      <c r="B548" s="3">
        <v>46010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5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9" spans="1:49" x14ac:dyDescent="0.25">
      <c r="A549" s="3"/>
      <c r="B549" s="3">
        <v>46010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0" spans="1:49" x14ac:dyDescent="0.25">
      <c r="A550" s="141"/>
      <c r="B550" s="141">
        <v>46010</v>
      </c>
      <c r="C550" s="142">
        <v>2025020548</v>
      </c>
      <c r="D550" s="143" t="s">
        <v>33</v>
      </c>
      <c r="E550" s="143" t="s">
        <v>44</v>
      </c>
      <c r="F550" s="143"/>
      <c r="G550" s="143"/>
      <c r="H550" s="143" t="str">
        <f t="shared" si="44"/>
        <v>_</v>
      </c>
      <c r="I550" s="143"/>
      <c r="J550" s="143"/>
      <c r="K550" s="143"/>
      <c r="L550" s="143" t="str">
        <f t="shared" si="45"/>
        <v>_</v>
      </c>
      <c r="M550" s="143"/>
      <c r="N550" s="143">
        <f>IF(ISBLANK(Table2[[#This Row],[ActualResult]]), 0, 1)</f>
        <v>0</v>
      </c>
      <c r="O550" s="143" t="str">
        <f>IF(ISBLANK(Table2[[#This Row],[ActualResult]]), "_", IF(Table2[[#This Row],[ActualWinner]]=Table2[[#This Row],[PredictedWinner]], "Y", "N"))</f>
        <v>_</v>
      </c>
      <c r="P5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143"/>
      <c r="S550" s="143" t="str">
        <f t="shared" si="46"/>
        <v>_</v>
      </c>
      <c r="T5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143">
        <f>IF(Table2[[#This Row],[InterConf]]=1,IF(Table2[[#This Row],[InterDiv]]=0, 1, 0), 0)</f>
        <v>1</v>
      </c>
      <c r="W5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143"/>
      <c r="Y550" s="143"/>
      <c r="Z550" s="149">
        <f>IF(AND(Table2[[#This Row],[GameIsOver]]=1,Table2[[#This Row],[ActualHomeScore]]*Table2[[#This Row],[ActualAwayScore]]=0), 1,0)</f>
        <v>0</v>
      </c>
      <c r="AA5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50" s="143">
        <f>Table2[[#This Row],[ActualAwayScore]]-Table2[[#This Row],[PredictedAwayScore]]</f>
        <v>0</v>
      </c>
      <c r="AG550" s="143">
        <f>Table2[[#This Row],[ActualHomeScore]]-Table2[[#This Row],[PredictedHomeScore]]</f>
        <v>0</v>
      </c>
      <c r="AH550" s="143">
        <f t="shared" si="47"/>
        <v>0</v>
      </c>
      <c r="AI550" s="143">
        <f t="shared" si="48"/>
        <v>0</v>
      </c>
      <c r="AJ550" s="143"/>
      <c r="AK550" s="141"/>
      <c r="AL550" s="143">
        <f>IF(Table2[[#This Row],[GameIsOver]]=0,0,IF(Table2[[#This Row],[ActualWinner]]=Table2[[#This Row],[AwayTeam]], 1, 0))</f>
        <v>0</v>
      </c>
      <c r="AM550" s="143">
        <f>IF(Table2[[#This Row],[GameIsOver]]=0,0,IF(Table2[[#This Row],[ActualWinner]]=Table2[[#This Row],[HomeTeam]], 1, 0))</f>
        <v>0</v>
      </c>
      <c r="AN5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0" s="143" t="str">
        <f>INDEX(Sheet5!$B$2:$AG$33, MATCH(Table2[[#This Row],[AwayTeam]],Sheet5!$A$2:$A$33, 0), MATCH(Table2[[#This Row],[HomeTeam]],Sheet5!$A$2:$A$33, 0))</f>
        <v>0-1-0</v>
      </c>
      <c r="AP550" s="143" t="str">
        <f>INDEX(Sheet5!$B$2:$AG$33, MATCH(Table2[[#This Row],[HomeTeam]],Sheet5!$A$2:$A$33, 0), MATCH(Table2[[#This Row],[AwayTeam]],Sheet5!$A$2:$A$33, 0))</f>
        <v>1-0-0</v>
      </c>
      <c r="AQ550" s="143">
        <f>IF(Table2[[#This Row],[GameHasShutOut]], 1, 0)</f>
        <v>0</v>
      </c>
      <c r="AR550" s="143">
        <f>IF(Table2[[#This Row],[ActualAwayScore]] + Table2[[#This Row],[ActualHomeScore]] &gt;= 10, 1, 0)</f>
        <v>0</v>
      </c>
      <c r="AS550" s="143">
        <f>IF(ABS(Table2[[#This Row],[ActualAwayScore]]-Table2[[#This Row],[ActualHomeScore]])&gt;=5, 1, 0)</f>
        <v>0</v>
      </c>
      <c r="AT550" s="143">
        <f>IF(Table2[[#This Row],[ActualAwayScore]] + Table2[[#This Row],[ActualHomeScore]] &lt;= 3, 1, 0)</f>
        <v>1</v>
      </c>
      <c r="AU5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1" spans="1:49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2" spans="1:49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3" spans="1:49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4" spans="1:49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5" spans="1:49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6" spans="1:49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7" spans="1:49" x14ac:dyDescent="0.25">
      <c r="A557" s="3"/>
      <c r="B557" s="3">
        <v>46011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8" spans="1:49" x14ac:dyDescent="0.25">
      <c r="A558" s="3"/>
      <c r="B558" s="3">
        <v>46011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8" s="2" t="str">
        <f>INDEX(Sheet5!$B$2:$AG$33, MATCH(Table2[[#This Row],[AwayTeam]],Sheet5!$A$2:$A$33, 0), MATCH(Table2[[#This Row],[HomeTeam]],Sheet5!$A$2:$A$33, 0))</f>
        <v>0-1-0</v>
      </c>
      <c r="AP558" s="2" t="str">
        <f>INDEX(Sheet5!$B$2:$AG$33, MATCH(Table2[[#This Row],[HomeTeam]],Sheet5!$A$2:$A$33, 0), MATCH(Table2[[#This Row],[AwayTeam]],Sheet5!$A$2:$A$33, 0))</f>
        <v>1-0-0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9" spans="1:49" x14ac:dyDescent="0.25">
      <c r="A559" s="3"/>
      <c r="B559" s="3">
        <v>46011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0" spans="1:49" x14ac:dyDescent="0.25">
      <c r="A560" s="3"/>
      <c r="B560" s="3">
        <v>46011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1" spans="1:49" x14ac:dyDescent="0.25">
      <c r="A561" s="3"/>
      <c r="B561" s="3">
        <v>46011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62" spans="1:49" x14ac:dyDescent="0.25">
      <c r="A562" s="3"/>
      <c r="B562" s="3">
        <v>46011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2" s="2" t="str">
        <f>INDEX(Sheet5!$B$2:$AG$33, MATCH(Table2[[#This Row],[AwayTeam]],Sheet5!$A$2:$A$33, 0), MATCH(Table2[[#This Row],[HomeTeam]],Sheet5!$A$2:$A$33, 0))</f>
        <v>1-0-0</v>
      </c>
      <c r="AP562" s="2" t="str">
        <f>INDEX(Sheet5!$B$2:$AG$33, MATCH(Table2[[#This Row],[HomeTeam]],Sheet5!$A$2:$A$33, 0), MATCH(Table2[[#This Row],[AwayTeam]],Sheet5!$A$2:$A$33, 0))</f>
        <v>0-0-1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3" spans="1:49" x14ac:dyDescent="0.25">
      <c r="A563" s="141"/>
      <c r="B563" s="141">
        <v>46011</v>
      </c>
      <c r="C563" s="142">
        <v>2025020561</v>
      </c>
      <c r="D563" s="143" t="s">
        <v>11</v>
      </c>
      <c r="E563" s="143" t="s">
        <v>37</v>
      </c>
      <c r="F563" s="143"/>
      <c r="G563" s="143"/>
      <c r="H563" s="143" t="str">
        <f t="shared" si="44"/>
        <v>_</v>
      </c>
      <c r="I563" s="143"/>
      <c r="J563" s="143"/>
      <c r="K563" s="143"/>
      <c r="L563" s="143" t="str">
        <f t="shared" si="45"/>
        <v>_</v>
      </c>
      <c r="M563" s="143"/>
      <c r="N563" s="143">
        <f>IF(ISBLANK(Table2[[#This Row],[ActualResult]]), 0, 1)</f>
        <v>0</v>
      </c>
      <c r="O563" s="143" t="str">
        <f>IF(ISBLANK(Table2[[#This Row],[ActualResult]]), "_", IF(Table2[[#This Row],[ActualWinner]]=Table2[[#This Row],[PredictedWinner]], "Y", "N"))</f>
        <v>_</v>
      </c>
      <c r="P5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143"/>
      <c r="S563" s="143" t="str">
        <f t="shared" si="46"/>
        <v>_</v>
      </c>
      <c r="T5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143">
        <f>IF(Table2[[#This Row],[InterConf]]=1,IF(Table2[[#This Row],[InterDiv]]=0, 1, 0), 0)</f>
        <v>0</v>
      </c>
      <c r="W5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143"/>
      <c r="Y563" s="143"/>
      <c r="Z563" s="149">
        <f>IF(AND(Table2[[#This Row],[GameIsOver]]=1,Table2[[#This Row],[ActualHomeScore]]*Table2[[#This Row],[ActualAwayScore]]=0), 1,0)</f>
        <v>0</v>
      </c>
      <c r="AA5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3" s="143">
        <f>Table2[[#This Row],[ActualAwayScore]]-Table2[[#This Row],[PredictedAwayScore]]</f>
        <v>0</v>
      </c>
      <c r="AG563" s="143">
        <f>Table2[[#This Row],[ActualHomeScore]]-Table2[[#This Row],[PredictedHomeScore]]</f>
        <v>0</v>
      </c>
      <c r="AH563" s="143">
        <f t="shared" si="47"/>
        <v>0</v>
      </c>
      <c r="AI563" s="143">
        <f t="shared" si="48"/>
        <v>0</v>
      </c>
      <c r="AJ563" s="143"/>
      <c r="AK563" s="141"/>
      <c r="AL563" s="143">
        <f>IF(Table2[[#This Row],[GameIsOver]]=0,0,IF(Table2[[#This Row],[ActualWinner]]=Table2[[#This Row],[AwayTeam]], 1, 0))</f>
        <v>0</v>
      </c>
      <c r="AM563" s="143">
        <f>IF(Table2[[#This Row],[GameIsOver]]=0,0,IF(Table2[[#This Row],[ActualWinner]]=Table2[[#This Row],[HomeTeam]], 1, 0))</f>
        <v>0</v>
      </c>
      <c r="AN5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3" s="143" t="str">
        <f>INDEX(Sheet5!$B$2:$AG$33, MATCH(Table2[[#This Row],[AwayTeam]],Sheet5!$A$2:$A$33, 0), MATCH(Table2[[#This Row],[HomeTeam]],Sheet5!$A$2:$A$33, 0))</f>
        <v>1-1-0</v>
      </c>
      <c r="AP563" s="143" t="str">
        <f>INDEX(Sheet5!$B$2:$AG$33, MATCH(Table2[[#This Row],[HomeTeam]],Sheet5!$A$2:$A$33, 0), MATCH(Table2[[#This Row],[AwayTeam]],Sheet5!$A$2:$A$33, 0))</f>
        <v>1-1-0</v>
      </c>
      <c r="AQ563" s="143">
        <f>IF(Table2[[#This Row],[GameHasShutOut]], 1, 0)</f>
        <v>0</v>
      </c>
      <c r="AR563" s="143">
        <f>IF(Table2[[#This Row],[ActualAwayScore]] + Table2[[#This Row],[ActualHomeScore]] &gt;= 10, 1, 0)</f>
        <v>0</v>
      </c>
      <c r="AS563" s="143">
        <f>IF(ABS(Table2[[#This Row],[ActualAwayScore]]-Table2[[#This Row],[ActualHomeScore]])&gt;=5, 1, 0)</f>
        <v>0</v>
      </c>
      <c r="AT563" s="143">
        <f>IF(Table2[[#This Row],[ActualAwayScore]] + Table2[[#This Row],[ActualHomeScore]] &lt;= 3, 1, 0)</f>
        <v>1</v>
      </c>
      <c r="AU5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4" spans="1:49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5" spans="1:49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6" spans="1:49" x14ac:dyDescent="0.25">
      <c r="A566" s="3"/>
      <c r="B566" s="3">
        <v>46012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7" spans="1:49" x14ac:dyDescent="0.25">
      <c r="A567" s="3"/>
      <c r="B567" s="3">
        <v>46012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8" spans="1:49" x14ac:dyDescent="0.25">
      <c r="A568" s="3"/>
      <c r="B568" s="3">
        <v>46012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8" s="2" t="str">
        <f>INDEX(Sheet5!$B$2:$AG$33, MATCH(Table2[[#This Row],[AwayTeam]],Sheet5!$A$2:$A$33, 0), MATCH(Table2[[#This Row],[HomeTeam]],Sheet5!$A$2:$A$33, 0))</f>
        <v>1-0-0</v>
      </c>
      <c r="AP568" s="2" t="str">
        <f>INDEX(Sheet5!$B$2:$AG$33, MATCH(Table2[[#This Row],[HomeTeam]],Sheet5!$A$2:$A$33, 0), MATCH(Table2[[#This Row],[AwayTeam]],Sheet5!$A$2:$A$33, 0))</f>
        <v>0-1-0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9" spans="1:49" x14ac:dyDescent="0.25">
      <c r="A569" s="3"/>
      <c r="B569" s="3">
        <v>46012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0" spans="1:49" x14ac:dyDescent="0.25">
      <c r="A570" s="3"/>
      <c r="B570" s="3">
        <v>46012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1" spans="1:49" x14ac:dyDescent="0.25">
      <c r="A571" s="3"/>
      <c r="B571" s="3">
        <v>46012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2" spans="1:49" x14ac:dyDescent="0.25">
      <c r="A572" s="141"/>
      <c r="B572" s="141">
        <v>46012</v>
      </c>
      <c r="C572" s="142">
        <v>2025020570</v>
      </c>
      <c r="D572" s="143" t="s">
        <v>26</v>
      </c>
      <c r="E572" s="143" t="s">
        <v>22</v>
      </c>
      <c r="F572" s="143"/>
      <c r="G572" s="143"/>
      <c r="H572" s="143" t="str">
        <f t="shared" si="44"/>
        <v>_</v>
      </c>
      <c r="I572" s="143"/>
      <c r="J572" s="143"/>
      <c r="K572" s="143"/>
      <c r="L572" s="143" t="str">
        <f t="shared" si="45"/>
        <v>_</v>
      </c>
      <c r="M572" s="143"/>
      <c r="N572" s="143">
        <f>IF(ISBLANK(Table2[[#This Row],[ActualResult]]), 0, 1)</f>
        <v>0</v>
      </c>
      <c r="O572" s="143" t="str">
        <f>IF(ISBLANK(Table2[[#This Row],[ActualResult]]), "_", IF(Table2[[#This Row],[ActualWinner]]=Table2[[#This Row],[PredictedWinner]], "Y", "N"))</f>
        <v>_</v>
      </c>
      <c r="P57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143"/>
      <c r="S572" s="143" t="str">
        <f t="shared" si="46"/>
        <v>_</v>
      </c>
      <c r="T57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143">
        <f>IF(Table2[[#This Row],[InterConf]]=1,IF(Table2[[#This Row],[InterDiv]]=0, 1, 0), 0)</f>
        <v>0</v>
      </c>
      <c r="W57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143"/>
      <c r="Y572" s="143"/>
      <c r="Z572" s="149">
        <f>IF(AND(Table2[[#This Row],[GameIsOver]]=1,Table2[[#This Row],[ActualHomeScore]]*Table2[[#This Row],[ActualAwayScore]]=0), 1,0)</f>
        <v>0</v>
      </c>
      <c r="AA57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2" s="143">
        <f>Table2[[#This Row],[ActualAwayScore]]-Table2[[#This Row],[PredictedAwayScore]]</f>
        <v>0</v>
      </c>
      <c r="AG572" s="143">
        <f>Table2[[#This Row],[ActualHomeScore]]-Table2[[#This Row],[PredictedHomeScore]]</f>
        <v>0</v>
      </c>
      <c r="AH572" s="143">
        <f t="shared" si="47"/>
        <v>0</v>
      </c>
      <c r="AI572" s="143">
        <f t="shared" si="48"/>
        <v>0</v>
      </c>
      <c r="AJ572" s="143"/>
      <c r="AK572" s="141"/>
      <c r="AL572" s="143">
        <f>IF(Table2[[#This Row],[GameIsOver]]=0,0,IF(Table2[[#This Row],[ActualWinner]]=Table2[[#This Row],[AwayTeam]], 1, 0))</f>
        <v>0</v>
      </c>
      <c r="AM572" s="143">
        <f>IF(Table2[[#This Row],[GameIsOver]]=0,0,IF(Table2[[#This Row],[ActualWinner]]=Table2[[#This Row],[HomeTeam]], 1, 0))</f>
        <v>0</v>
      </c>
      <c r="AN57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2" s="143" t="str">
        <f>INDEX(Sheet5!$B$2:$AG$33, MATCH(Table2[[#This Row],[AwayTeam]],Sheet5!$A$2:$A$33, 0), MATCH(Table2[[#This Row],[HomeTeam]],Sheet5!$A$2:$A$33, 0))</f>
        <v>0-0-0</v>
      </c>
      <c r="AP572" s="143" t="str">
        <f>INDEX(Sheet5!$B$2:$AG$33, MATCH(Table2[[#This Row],[HomeTeam]],Sheet5!$A$2:$A$33, 0), MATCH(Table2[[#This Row],[AwayTeam]],Sheet5!$A$2:$A$33, 0))</f>
        <v>0-0-0</v>
      </c>
      <c r="AQ572" s="143">
        <f>IF(Table2[[#This Row],[GameHasShutOut]], 1, 0)</f>
        <v>0</v>
      </c>
      <c r="AR572" s="143">
        <f>IF(Table2[[#This Row],[ActualAwayScore]] + Table2[[#This Row],[ActualHomeScore]] &gt;= 10, 1, 0)</f>
        <v>0</v>
      </c>
      <c r="AS572" s="143">
        <f>IF(ABS(Table2[[#This Row],[ActualAwayScore]]-Table2[[#This Row],[ActualHomeScore]])&gt;=5, 1, 0)</f>
        <v>0</v>
      </c>
      <c r="AT572" s="143">
        <f>IF(Table2[[#This Row],[ActualAwayScore]] + Table2[[#This Row],[ActualHomeScore]] &lt;= 3, 1, 0)</f>
        <v>1</v>
      </c>
      <c r="AU57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3" spans="1:49" x14ac:dyDescent="0.25">
      <c r="A573" s="3"/>
      <c r="B573" s="3">
        <v>46013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4" spans="1:49" x14ac:dyDescent="0.25">
      <c r="A574" s="3"/>
      <c r="B574" s="3">
        <v>46013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5" spans="1:49" x14ac:dyDescent="0.25">
      <c r="A575" s="3"/>
      <c r="B575" s="3">
        <v>46013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6" spans="1:49" x14ac:dyDescent="0.25">
      <c r="A576" s="141"/>
      <c r="B576" s="141">
        <v>46013</v>
      </c>
      <c r="C576" s="142">
        <v>2025020574</v>
      </c>
      <c r="D576" s="143" t="s">
        <v>35</v>
      </c>
      <c r="E576" s="143" t="s">
        <v>27</v>
      </c>
      <c r="F576" s="143"/>
      <c r="G576" s="143"/>
      <c r="H576" s="143" t="str">
        <f t="shared" si="44"/>
        <v>_</v>
      </c>
      <c r="I576" s="143"/>
      <c r="J576" s="143"/>
      <c r="K576" s="143"/>
      <c r="L576" s="143" t="str">
        <f t="shared" si="45"/>
        <v>_</v>
      </c>
      <c r="M576" s="143"/>
      <c r="N576" s="143">
        <f>IF(ISBLANK(Table2[[#This Row],[ActualResult]]), 0, 1)</f>
        <v>0</v>
      </c>
      <c r="O576" s="143" t="str">
        <f>IF(ISBLANK(Table2[[#This Row],[ActualResult]]), "_", IF(Table2[[#This Row],[ActualWinner]]=Table2[[#This Row],[PredictedWinner]], "Y", "N"))</f>
        <v>_</v>
      </c>
      <c r="P5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143"/>
      <c r="S576" s="143" t="str">
        <f t="shared" si="46"/>
        <v>_</v>
      </c>
      <c r="T5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143">
        <f>IF(Table2[[#This Row],[InterConf]]=1,IF(Table2[[#This Row],[InterDiv]]=0, 1, 0), 0)</f>
        <v>0</v>
      </c>
      <c r="W5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143"/>
      <c r="Y576" s="143"/>
      <c r="Z576" s="149">
        <f>IF(AND(Table2[[#This Row],[GameIsOver]]=1,Table2[[#This Row],[ActualHomeScore]]*Table2[[#This Row],[ActualAwayScore]]=0), 1,0)</f>
        <v>0</v>
      </c>
      <c r="AA5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6" s="143">
        <f>Table2[[#This Row],[ActualAwayScore]]-Table2[[#This Row],[PredictedAwayScore]]</f>
        <v>0</v>
      </c>
      <c r="AG576" s="143">
        <f>Table2[[#This Row],[ActualHomeScore]]-Table2[[#This Row],[PredictedHomeScore]]</f>
        <v>0</v>
      </c>
      <c r="AH576" s="143">
        <f t="shared" si="47"/>
        <v>0</v>
      </c>
      <c r="AI576" s="143">
        <f t="shared" si="48"/>
        <v>0</v>
      </c>
      <c r="AJ576" s="143"/>
      <c r="AK576" s="141"/>
      <c r="AL576" s="143">
        <f>IF(Table2[[#This Row],[GameIsOver]]=0,0,IF(Table2[[#This Row],[ActualWinner]]=Table2[[#This Row],[AwayTeam]], 1, 0))</f>
        <v>0</v>
      </c>
      <c r="AM576" s="143">
        <f>IF(Table2[[#This Row],[GameIsOver]]=0,0,IF(Table2[[#This Row],[ActualWinner]]=Table2[[#This Row],[HomeTeam]], 1, 0))</f>
        <v>0</v>
      </c>
      <c r="AN5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6" s="143" t="str">
        <f>INDEX(Sheet5!$B$2:$AG$33, MATCH(Table2[[#This Row],[AwayTeam]],Sheet5!$A$2:$A$33, 0), MATCH(Table2[[#This Row],[HomeTeam]],Sheet5!$A$2:$A$33, 0))</f>
        <v>0-0-0</v>
      </c>
      <c r="AP576" s="143" t="str">
        <f>INDEX(Sheet5!$B$2:$AG$33, MATCH(Table2[[#This Row],[HomeTeam]],Sheet5!$A$2:$A$33, 0), MATCH(Table2[[#This Row],[AwayTeam]],Sheet5!$A$2:$A$33, 0))</f>
        <v>0-0-0</v>
      </c>
      <c r="AQ576" s="143">
        <f>IF(Table2[[#This Row],[GameHasShutOut]], 1, 0)</f>
        <v>0</v>
      </c>
      <c r="AR576" s="143">
        <f>IF(Table2[[#This Row],[ActualAwayScore]] + Table2[[#This Row],[ActualHomeScore]] &gt;= 10, 1, 0)</f>
        <v>0</v>
      </c>
      <c r="AS576" s="143">
        <f>IF(ABS(Table2[[#This Row],[ActualAwayScore]]-Table2[[#This Row],[ActualHomeScore]])&gt;=5, 1, 0)</f>
        <v>0</v>
      </c>
      <c r="AT576" s="143">
        <f>IF(Table2[[#This Row],[ActualAwayScore]] + Table2[[#This Row],[ActualHomeScore]] &lt;= 3, 1, 0)</f>
        <v>1</v>
      </c>
      <c r="AU5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7" spans="1:49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8" spans="1:49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9" spans="1:49" x14ac:dyDescent="0.25">
      <c r="A579" s="3"/>
      <c r="B579" s="3">
        <v>46014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0" spans="1:49" x14ac:dyDescent="0.25">
      <c r="A580" s="3"/>
      <c r="B580" s="3">
        <v>46014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1" spans="1:49" x14ac:dyDescent="0.25">
      <c r="A581" s="3"/>
      <c r="B581" s="3">
        <v>46014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2" spans="1:49" x14ac:dyDescent="0.25">
      <c r="A582" s="3"/>
      <c r="B582" s="3">
        <v>46014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3" spans="1:49" x14ac:dyDescent="0.25">
      <c r="A583" s="3"/>
      <c r="B583" s="3">
        <v>46014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4" spans="1:49" x14ac:dyDescent="0.25">
      <c r="A584" s="3"/>
      <c r="B584" s="3">
        <v>46014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5" spans="1:49" x14ac:dyDescent="0.25">
      <c r="A585" s="3"/>
      <c r="B585" s="3">
        <v>46014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6" spans="1:49" x14ac:dyDescent="0.25">
      <c r="A586" s="3"/>
      <c r="B586" s="3">
        <v>46014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7" spans="1:49" x14ac:dyDescent="0.25">
      <c r="A587" s="3"/>
      <c r="B587" s="3">
        <v>46014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88" spans="1:49" x14ac:dyDescent="0.25">
      <c r="A588" s="3"/>
      <c r="B588" s="3">
        <v>46014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9" spans="1:49" x14ac:dyDescent="0.25">
      <c r="A589" s="141"/>
      <c r="B589" s="141">
        <v>46014</v>
      </c>
      <c r="C589" s="142">
        <v>2025020587</v>
      </c>
      <c r="D589" s="143" t="s">
        <v>11</v>
      </c>
      <c r="E589" s="143" t="s">
        <v>27</v>
      </c>
      <c r="F589" s="143"/>
      <c r="G589" s="143"/>
      <c r="H589" s="143" t="str">
        <f t="shared" si="49"/>
        <v>_</v>
      </c>
      <c r="I589" s="143"/>
      <c r="J589" s="143"/>
      <c r="K589" s="143"/>
      <c r="L589" s="143" t="str">
        <f t="shared" si="50"/>
        <v>_</v>
      </c>
      <c r="M589" s="143"/>
      <c r="N589" s="143">
        <f>IF(ISBLANK(Table2[[#This Row],[ActualResult]]), 0, 1)</f>
        <v>0</v>
      </c>
      <c r="O589" s="143" t="str">
        <f>IF(ISBLANK(Table2[[#This Row],[ActualResult]]), "_", IF(Table2[[#This Row],[ActualWinner]]=Table2[[#This Row],[PredictedWinner]], "Y", "N"))</f>
        <v>_</v>
      </c>
      <c r="P5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143"/>
      <c r="S589" s="143" t="str">
        <f t="shared" si="51"/>
        <v>_</v>
      </c>
      <c r="T5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143">
        <f>IF(Table2[[#This Row],[InterConf]]=1,IF(Table2[[#This Row],[InterDiv]]=0, 1, 0), 0)</f>
        <v>0</v>
      </c>
      <c r="W5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143"/>
      <c r="Y589" s="143"/>
      <c r="Z589" s="149">
        <f>IF(AND(Table2[[#This Row],[GameIsOver]]=1,Table2[[#This Row],[ActualHomeScore]]*Table2[[#This Row],[ActualAwayScore]]=0), 1,0)</f>
        <v>0</v>
      </c>
      <c r="AA5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9" s="143">
        <f>Table2[[#This Row],[ActualAwayScore]]-Table2[[#This Row],[PredictedAwayScore]]</f>
        <v>0</v>
      </c>
      <c r="AG589" s="143">
        <f>Table2[[#This Row],[ActualHomeScore]]-Table2[[#This Row],[PredictedHomeScore]]</f>
        <v>0</v>
      </c>
      <c r="AH589" s="143">
        <f t="shared" si="52"/>
        <v>0</v>
      </c>
      <c r="AI589" s="143">
        <f t="shared" si="53"/>
        <v>0</v>
      </c>
      <c r="AJ589" s="143"/>
      <c r="AK589" s="141"/>
      <c r="AL589" s="143">
        <f>IF(Table2[[#This Row],[GameIsOver]]=0,0,IF(Table2[[#This Row],[ActualWinner]]=Table2[[#This Row],[AwayTeam]], 1, 0))</f>
        <v>0</v>
      </c>
      <c r="AM589" s="143">
        <f>IF(Table2[[#This Row],[GameIsOver]]=0,0,IF(Table2[[#This Row],[ActualWinner]]=Table2[[#This Row],[HomeTeam]], 1, 0))</f>
        <v>0</v>
      </c>
      <c r="AN5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9" s="143" t="str">
        <f>INDEX(Sheet5!$B$2:$AG$33, MATCH(Table2[[#This Row],[AwayTeam]],Sheet5!$A$2:$A$33, 0), MATCH(Table2[[#This Row],[HomeTeam]],Sheet5!$A$2:$A$33, 0))</f>
        <v>1-0-0</v>
      </c>
      <c r="AP589" s="143" t="str">
        <f>INDEX(Sheet5!$B$2:$AG$33, MATCH(Table2[[#This Row],[HomeTeam]],Sheet5!$A$2:$A$33, 0), MATCH(Table2[[#This Row],[AwayTeam]],Sheet5!$A$2:$A$33, 0))</f>
        <v>0-0-1</v>
      </c>
      <c r="AQ589" s="143">
        <f>IF(Table2[[#This Row],[GameHasShutOut]], 1, 0)</f>
        <v>0</v>
      </c>
      <c r="AR589" s="143">
        <f>IF(Table2[[#This Row],[ActualAwayScore]] + Table2[[#This Row],[ActualHomeScore]] &gt;= 10, 1, 0)</f>
        <v>0</v>
      </c>
      <c r="AS589" s="143">
        <f>IF(ABS(Table2[[#This Row],[ActualAwayScore]]-Table2[[#This Row],[ActualHomeScore]])&gt;=5, 1, 0)</f>
        <v>0</v>
      </c>
      <c r="AT589" s="143">
        <f>IF(Table2[[#This Row],[ActualAwayScore]] + Table2[[#This Row],[ActualHomeScore]] &lt;= 3, 1, 0)</f>
        <v>1</v>
      </c>
      <c r="AU5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0" spans="1:49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1" spans="1:49" x14ac:dyDescent="0.25">
      <c r="A591" s="3"/>
      <c r="B591" s="3">
        <v>46018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2" spans="1:49" x14ac:dyDescent="0.25">
      <c r="A592" s="3"/>
      <c r="B592" s="3">
        <v>46018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3" spans="1:49" x14ac:dyDescent="0.25">
      <c r="A593" s="3"/>
      <c r="B593" s="3">
        <v>46018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3" s="2" t="str">
        <f>INDEX(Sheet5!$B$2:$AG$33, MATCH(Table2[[#This Row],[AwayTeam]],Sheet5!$A$2:$A$33, 0), MATCH(Table2[[#This Row],[HomeTeam]],Sheet5!$A$2:$A$33, 0))</f>
        <v>1-1-0</v>
      </c>
      <c r="AP593" s="2" t="str">
        <f>INDEX(Sheet5!$B$2:$AG$33, MATCH(Table2[[#This Row],[HomeTeam]],Sheet5!$A$2:$A$33, 0), MATCH(Table2[[#This Row],[AwayTeam]],Sheet5!$A$2:$A$33, 0))</f>
        <v>1-1-0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4" spans="1:49" x14ac:dyDescent="0.25">
      <c r="A594" s="3"/>
      <c r="B594" s="3">
        <v>46018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5" spans="1:49" x14ac:dyDescent="0.25">
      <c r="A595" s="3"/>
      <c r="B595" s="3">
        <v>46018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6" spans="1:49" x14ac:dyDescent="0.25">
      <c r="A596" s="3"/>
      <c r="B596" s="3">
        <v>46018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7" spans="1:49" x14ac:dyDescent="0.25">
      <c r="A597" s="3"/>
      <c r="B597" s="3">
        <v>46018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7" s="2" t="str">
        <f>INDEX(Sheet5!$B$2:$AG$33, MATCH(Table2[[#This Row],[AwayTeam]],Sheet5!$A$2:$A$33, 0), MATCH(Table2[[#This Row],[HomeTeam]],Sheet5!$A$2:$A$33, 0))</f>
        <v>2-0-0</v>
      </c>
      <c r="AP597" s="2" t="str">
        <f>INDEX(Sheet5!$B$2:$AG$33, MATCH(Table2[[#This Row],[HomeTeam]],Sheet5!$A$2:$A$33, 0), MATCH(Table2[[#This Row],[AwayTeam]],Sheet5!$A$2:$A$33, 0))</f>
        <v>0-2-0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8" spans="1:49" x14ac:dyDescent="0.25">
      <c r="A598" s="3"/>
      <c r="B598" s="3">
        <v>46018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9" spans="1:49" x14ac:dyDescent="0.25">
      <c r="A599" s="3"/>
      <c r="B599" s="3">
        <v>46018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0" spans="1:49" x14ac:dyDescent="0.25">
      <c r="A600" s="3"/>
      <c r="B600" s="3">
        <v>46018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01" spans="1:49" x14ac:dyDescent="0.25">
      <c r="A601" s="3"/>
      <c r="B601" s="3">
        <v>46018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2" spans="1:49" x14ac:dyDescent="0.25">
      <c r="A602" s="141"/>
      <c r="B602" s="141">
        <v>46018</v>
      </c>
      <c r="C602" s="142">
        <v>2025020600</v>
      </c>
      <c r="D602" s="143" t="s">
        <v>25</v>
      </c>
      <c r="E602" s="143" t="s">
        <v>26</v>
      </c>
      <c r="F602" s="143"/>
      <c r="G602" s="143"/>
      <c r="H602" s="143" t="str">
        <f t="shared" si="49"/>
        <v>_</v>
      </c>
      <c r="I602" s="143"/>
      <c r="J602" s="143"/>
      <c r="K602" s="143"/>
      <c r="L602" s="143" t="str">
        <f t="shared" si="50"/>
        <v>_</v>
      </c>
      <c r="M602" s="143"/>
      <c r="N602" s="143">
        <f>IF(ISBLANK(Table2[[#This Row],[ActualResult]]), 0, 1)</f>
        <v>0</v>
      </c>
      <c r="O602" s="143" t="str">
        <f>IF(ISBLANK(Table2[[#This Row],[ActualResult]]), "_", IF(Table2[[#This Row],[ActualWinner]]=Table2[[#This Row],[PredictedWinner]], "Y", "N"))</f>
        <v>_</v>
      </c>
      <c r="P6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143"/>
      <c r="S602" s="143" t="str">
        <f t="shared" si="51"/>
        <v>_</v>
      </c>
      <c r="T6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143">
        <f>IF(Table2[[#This Row],[InterConf]]=1,IF(Table2[[#This Row],[InterDiv]]=0, 1, 0), 0)</f>
        <v>1</v>
      </c>
      <c r="W6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143"/>
      <c r="Y602" s="143"/>
      <c r="Z602" s="149">
        <f>IF(AND(Table2[[#This Row],[GameIsOver]]=1,Table2[[#This Row],[ActualHomeScore]]*Table2[[#This Row],[ActualAwayScore]]=0), 1,0)</f>
        <v>0</v>
      </c>
      <c r="AA6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2" s="143">
        <f>Table2[[#This Row],[ActualAwayScore]]-Table2[[#This Row],[PredictedAwayScore]]</f>
        <v>0</v>
      </c>
      <c r="AG602" s="143">
        <f>Table2[[#This Row],[ActualHomeScore]]-Table2[[#This Row],[PredictedHomeScore]]</f>
        <v>0</v>
      </c>
      <c r="AH602" s="143">
        <f t="shared" si="52"/>
        <v>0</v>
      </c>
      <c r="AI602" s="143">
        <f t="shared" si="53"/>
        <v>0</v>
      </c>
      <c r="AJ602" s="143"/>
      <c r="AK602" s="141"/>
      <c r="AL602" s="143">
        <f>IF(Table2[[#This Row],[GameIsOver]]=0,0,IF(Table2[[#This Row],[ActualWinner]]=Table2[[#This Row],[AwayTeam]], 1, 0))</f>
        <v>0</v>
      </c>
      <c r="AM602" s="143">
        <f>IF(Table2[[#This Row],[GameIsOver]]=0,0,IF(Table2[[#This Row],[ActualWinner]]=Table2[[#This Row],[HomeTeam]], 1, 0))</f>
        <v>0</v>
      </c>
      <c r="AN6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02" s="143" t="str">
        <f>INDEX(Sheet5!$B$2:$AG$33, MATCH(Table2[[#This Row],[AwayTeam]],Sheet5!$A$2:$A$33, 0), MATCH(Table2[[#This Row],[HomeTeam]],Sheet5!$A$2:$A$33, 0))</f>
        <v>1-0-0</v>
      </c>
      <c r="AP602" s="143" t="str">
        <f>INDEX(Sheet5!$B$2:$AG$33, MATCH(Table2[[#This Row],[HomeTeam]],Sheet5!$A$2:$A$33, 0), MATCH(Table2[[#This Row],[AwayTeam]],Sheet5!$A$2:$A$33, 0))</f>
        <v>0-1-0</v>
      </c>
      <c r="AQ602" s="143">
        <f>IF(Table2[[#This Row],[GameHasShutOut]], 1, 0)</f>
        <v>0</v>
      </c>
      <c r="AR602" s="143">
        <f>IF(Table2[[#This Row],[ActualAwayScore]] + Table2[[#This Row],[ActualHomeScore]] &gt;= 10, 1, 0)</f>
        <v>0</v>
      </c>
      <c r="AS602" s="143">
        <f>IF(ABS(Table2[[#This Row],[ActualAwayScore]]-Table2[[#This Row],[ActualHomeScore]])&gt;=5, 1, 0)</f>
        <v>0</v>
      </c>
      <c r="AT602" s="143">
        <f>IF(Table2[[#This Row],[ActualAwayScore]] + Table2[[#This Row],[ActualHomeScore]] &lt;= 3, 1, 0)</f>
        <v>1</v>
      </c>
      <c r="AU6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3" spans="1:49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4" spans="1:49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5" spans="1:49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6" spans="1:49" x14ac:dyDescent="0.25">
      <c r="A606" s="3"/>
      <c r="B606" s="3">
        <v>46019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7" spans="1:49" x14ac:dyDescent="0.25">
      <c r="A607" s="141"/>
      <c r="B607" s="141">
        <v>46019</v>
      </c>
      <c r="C607" s="142">
        <v>2025020605</v>
      </c>
      <c r="D607" s="143" t="s">
        <v>42</v>
      </c>
      <c r="E607" s="143" t="s">
        <v>11</v>
      </c>
      <c r="F607" s="143"/>
      <c r="G607" s="143"/>
      <c r="H607" s="143" t="str">
        <f t="shared" si="49"/>
        <v>_</v>
      </c>
      <c r="I607" s="143"/>
      <c r="J607" s="143"/>
      <c r="K607" s="143"/>
      <c r="L607" s="143" t="str">
        <f t="shared" si="50"/>
        <v>_</v>
      </c>
      <c r="M607" s="143"/>
      <c r="N607" s="143">
        <f>IF(ISBLANK(Table2[[#This Row],[ActualResult]]), 0, 1)</f>
        <v>0</v>
      </c>
      <c r="O607" s="143" t="str">
        <f>IF(ISBLANK(Table2[[#This Row],[ActualResult]]), "_", IF(Table2[[#This Row],[ActualWinner]]=Table2[[#This Row],[PredictedWinner]], "Y", "N"))</f>
        <v>_</v>
      </c>
      <c r="P6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143"/>
      <c r="S607" s="143" t="str">
        <f t="shared" si="51"/>
        <v>_</v>
      </c>
      <c r="T6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143">
        <f>IF(Table2[[#This Row],[InterConf]]=1,IF(Table2[[#This Row],[InterDiv]]=0, 1, 0), 0)</f>
        <v>0</v>
      </c>
      <c r="W6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143"/>
      <c r="Y607" s="143"/>
      <c r="Z607" s="149">
        <f>IF(AND(Table2[[#This Row],[GameIsOver]]=1,Table2[[#This Row],[ActualHomeScore]]*Table2[[#This Row],[ActualAwayScore]]=0), 1,0)</f>
        <v>0</v>
      </c>
      <c r="AA6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7" s="143">
        <f>Table2[[#This Row],[ActualAwayScore]]-Table2[[#This Row],[PredictedAwayScore]]</f>
        <v>0</v>
      </c>
      <c r="AG607" s="143">
        <f>Table2[[#This Row],[ActualHomeScore]]-Table2[[#This Row],[PredictedHomeScore]]</f>
        <v>0</v>
      </c>
      <c r="AH607" s="143">
        <f t="shared" si="52"/>
        <v>0</v>
      </c>
      <c r="AI607" s="143">
        <f t="shared" si="53"/>
        <v>0</v>
      </c>
      <c r="AJ607" s="143"/>
      <c r="AK607" s="141"/>
      <c r="AL607" s="143">
        <f>IF(Table2[[#This Row],[GameIsOver]]=0,0,IF(Table2[[#This Row],[ActualWinner]]=Table2[[#This Row],[AwayTeam]], 1, 0))</f>
        <v>0</v>
      </c>
      <c r="AM607" s="143">
        <f>IF(Table2[[#This Row],[GameIsOver]]=0,0,IF(Table2[[#This Row],[ActualWinner]]=Table2[[#This Row],[HomeTeam]], 1, 0))</f>
        <v>0</v>
      </c>
      <c r="AN6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7" s="143" t="str">
        <f>INDEX(Sheet5!$B$2:$AG$33, MATCH(Table2[[#This Row],[AwayTeam]],Sheet5!$A$2:$A$33, 0), MATCH(Table2[[#This Row],[HomeTeam]],Sheet5!$A$2:$A$33, 0))</f>
        <v>1-0-0</v>
      </c>
      <c r="AP607" s="143" t="str">
        <f>INDEX(Sheet5!$B$2:$AG$33, MATCH(Table2[[#This Row],[HomeTeam]],Sheet5!$A$2:$A$33, 0), MATCH(Table2[[#This Row],[AwayTeam]],Sheet5!$A$2:$A$33, 0))</f>
        <v>0-1-0</v>
      </c>
      <c r="AQ607" s="143">
        <f>IF(Table2[[#This Row],[GameHasShutOut]], 1, 0)</f>
        <v>0</v>
      </c>
      <c r="AR607" s="143">
        <f>IF(Table2[[#This Row],[ActualAwayScore]] + Table2[[#This Row],[ActualHomeScore]] &gt;= 10, 1, 0)</f>
        <v>0</v>
      </c>
      <c r="AS607" s="143">
        <f>IF(ABS(Table2[[#This Row],[ActualAwayScore]]-Table2[[#This Row],[ActualHomeScore]])&gt;=5, 1, 0)</f>
        <v>0</v>
      </c>
      <c r="AT607" s="143">
        <f>IF(Table2[[#This Row],[ActualAwayScore]] + Table2[[#This Row],[ActualHomeScore]] &lt;= 3, 1, 0)</f>
        <v>1</v>
      </c>
      <c r="AU6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8" spans="1:49" x14ac:dyDescent="0.25">
      <c r="A608" s="3"/>
      <c r="B608" s="3">
        <v>46020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8" s="2" t="str">
        <f>INDEX(Sheet5!$B$2:$AG$33, MATCH(Table2[[#This Row],[AwayTeam]],Sheet5!$A$2:$A$33, 0), MATCH(Table2[[#This Row],[HomeTeam]],Sheet5!$A$2:$A$33, 0))</f>
        <v>0-1-0</v>
      </c>
      <c r="AP608" s="2" t="str">
        <f>INDEX(Sheet5!$B$2:$AG$33, MATCH(Table2[[#This Row],[HomeTeam]],Sheet5!$A$2:$A$33, 0), MATCH(Table2[[#This Row],[AwayTeam]],Sheet5!$A$2:$A$33, 0))</f>
        <v>1-0-0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9" spans="1:49" x14ac:dyDescent="0.25">
      <c r="A609" s="3"/>
      <c r="B609" s="3">
        <v>46020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0" spans="1:49" x14ac:dyDescent="0.25">
      <c r="A610" s="3"/>
      <c r="B610" s="3">
        <v>46020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1" spans="1:49" x14ac:dyDescent="0.25">
      <c r="A611" s="3"/>
      <c r="B611" s="3">
        <v>46020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2" spans="1:49" x14ac:dyDescent="0.25">
      <c r="A612" s="3"/>
      <c r="B612" s="3">
        <v>46020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3" spans="1:49" x14ac:dyDescent="0.25">
      <c r="A613" s="3"/>
      <c r="B613" s="3">
        <v>46020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4" spans="1:49" x14ac:dyDescent="0.25">
      <c r="A614" s="3"/>
      <c r="B614" s="3">
        <v>46020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5" spans="1:49" x14ac:dyDescent="0.25">
      <c r="A615" s="3"/>
      <c r="B615" s="3">
        <v>46020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16" spans="1:49" x14ac:dyDescent="0.25">
      <c r="A616" s="3"/>
      <c r="B616" s="3">
        <v>46020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7" spans="1:49" x14ac:dyDescent="0.25">
      <c r="A617" s="3"/>
      <c r="B617" s="3">
        <v>46020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8" spans="1:49" x14ac:dyDescent="0.25">
      <c r="A618" s="141"/>
      <c r="B618" s="141">
        <v>46020</v>
      </c>
      <c r="C618" s="142">
        <v>2025020616</v>
      </c>
      <c r="D618" s="143" t="s">
        <v>24</v>
      </c>
      <c r="E618" s="143" t="s">
        <v>11</v>
      </c>
      <c r="F618" s="143"/>
      <c r="G618" s="143"/>
      <c r="H618" s="143" t="str">
        <f t="shared" si="49"/>
        <v>_</v>
      </c>
      <c r="I618" s="143"/>
      <c r="J618" s="143"/>
      <c r="K618" s="143"/>
      <c r="L618" s="143" t="str">
        <f t="shared" si="50"/>
        <v>_</v>
      </c>
      <c r="M618" s="143"/>
      <c r="N618" s="143">
        <f>IF(ISBLANK(Table2[[#This Row],[ActualResult]]), 0, 1)</f>
        <v>0</v>
      </c>
      <c r="O618" s="143" t="str">
        <f>IF(ISBLANK(Table2[[#This Row],[ActualResult]]), "_", IF(Table2[[#This Row],[ActualWinner]]=Table2[[#This Row],[PredictedWinner]], "Y", "N"))</f>
        <v>_</v>
      </c>
      <c r="P61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143"/>
      <c r="S618" s="143" t="str">
        <f t="shared" si="51"/>
        <v>_</v>
      </c>
      <c r="T61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143">
        <f>IF(Table2[[#This Row],[InterConf]]=1,IF(Table2[[#This Row],[InterDiv]]=0, 1, 0), 0)</f>
        <v>0</v>
      </c>
      <c r="W61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143"/>
      <c r="Y618" s="143"/>
      <c r="Z618" s="149">
        <f>IF(AND(Table2[[#This Row],[GameIsOver]]=1,Table2[[#This Row],[ActualHomeScore]]*Table2[[#This Row],[ActualAwayScore]]=0), 1,0)</f>
        <v>0</v>
      </c>
      <c r="AA61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8" s="143">
        <f>Table2[[#This Row],[ActualAwayScore]]-Table2[[#This Row],[PredictedAwayScore]]</f>
        <v>0</v>
      </c>
      <c r="AG618" s="143">
        <f>Table2[[#This Row],[ActualHomeScore]]-Table2[[#This Row],[PredictedHomeScore]]</f>
        <v>0</v>
      </c>
      <c r="AH618" s="143">
        <f t="shared" si="52"/>
        <v>0</v>
      </c>
      <c r="AI618" s="143">
        <f t="shared" si="53"/>
        <v>0</v>
      </c>
      <c r="AJ618" s="143"/>
      <c r="AK618" s="141"/>
      <c r="AL618" s="143">
        <f>IF(Table2[[#This Row],[GameIsOver]]=0,0,IF(Table2[[#This Row],[ActualWinner]]=Table2[[#This Row],[AwayTeam]], 1, 0))</f>
        <v>0</v>
      </c>
      <c r="AM618" s="143">
        <f>IF(Table2[[#This Row],[GameIsOver]]=0,0,IF(Table2[[#This Row],[ActualWinner]]=Table2[[#This Row],[HomeTeam]], 1, 0))</f>
        <v>0</v>
      </c>
      <c r="AN61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8" s="143" t="str">
        <f>INDEX(Sheet5!$B$2:$AG$33, MATCH(Table2[[#This Row],[AwayTeam]],Sheet5!$A$2:$A$33, 0), MATCH(Table2[[#This Row],[HomeTeam]],Sheet5!$A$2:$A$33, 0))</f>
        <v>0-0-0</v>
      </c>
      <c r="AP618" s="143" t="str">
        <f>INDEX(Sheet5!$B$2:$AG$33, MATCH(Table2[[#This Row],[HomeTeam]],Sheet5!$A$2:$A$33, 0), MATCH(Table2[[#This Row],[AwayTeam]],Sheet5!$A$2:$A$33, 0))</f>
        <v>0-0-0</v>
      </c>
      <c r="AQ618" s="143">
        <f>IF(Table2[[#This Row],[GameHasShutOut]], 1, 0)</f>
        <v>0</v>
      </c>
      <c r="AR618" s="143">
        <f>IF(Table2[[#This Row],[ActualAwayScore]] + Table2[[#This Row],[ActualHomeScore]] &gt;= 10, 1, 0)</f>
        <v>0</v>
      </c>
      <c r="AS618" s="143">
        <f>IF(ABS(Table2[[#This Row],[ActualAwayScore]]-Table2[[#This Row],[ActualHomeScore]])&gt;=5, 1, 0)</f>
        <v>0</v>
      </c>
      <c r="AT618" s="143">
        <f>IF(Table2[[#This Row],[ActualAwayScore]] + Table2[[#This Row],[ActualHomeScore]] &lt;= 3, 1, 0)</f>
        <v>1</v>
      </c>
      <c r="AU61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9" spans="1:49" x14ac:dyDescent="0.25">
      <c r="A619" s="3"/>
      <c r="B619" s="3">
        <v>46021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0" spans="1:49" x14ac:dyDescent="0.25">
      <c r="A620" s="3"/>
      <c r="B620" s="3">
        <v>46021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1" spans="1:49" x14ac:dyDescent="0.25">
      <c r="A621" s="3"/>
      <c r="B621" s="3">
        <v>46021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2" spans="1:49" x14ac:dyDescent="0.25">
      <c r="A622" s="3"/>
      <c r="B622" s="3">
        <v>46021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3" spans="1:49" x14ac:dyDescent="0.25">
      <c r="A623" s="141"/>
      <c r="B623" s="141">
        <v>46021</v>
      </c>
      <c r="C623" s="142">
        <v>2025020621</v>
      </c>
      <c r="D623" s="143" t="s">
        <v>42</v>
      </c>
      <c r="E623" s="143" t="s">
        <v>24</v>
      </c>
      <c r="F623" s="143"/>
      <c r="G623" s="143"/>
      <c r="H623" s="143" t="str">
        <f t="shared" si="49"/>
        <v>_</v>
      </c>
      <c r="I623" s="143"/>
      <c r="J623" s="143"/>
      <c r="K623" s="143"/>
      <c r="L623" s="143" t="str">
        <f t="shared" si="50"/>
        <v>_</v>
      </c>
      <c r="M623" s="143"/>
      <c r="N623" s="143">
        <f>IF(ISBLANK(Table2[[#This Row],[ActualResult]]), 0, 1)</f>
        <v>0</v>
      </c>
      <c r="O623" s="143" t="str">
        <f>IF(ISBLANK(Table2[[#This Row],[ActualResult]]), "_", IF(Table2[[#This Row],[ActualWinner]]=Table2[[#This Row],[PredictedWinner]], "Y", "N"))</f>
        <v>_</v>
      </c>
      <c r="P6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143"/>
      <c r="S623" s="143" t="str">
        <f t="shared" si="51"/>
        <v>_</v>
      </c>
      <c r="T6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143">
        <f>IF(Table2[[#This Row],[InterConf]]=1,IF(Table2[[#This Row],[InterDiv]]=0, 1, 0), 0)</f>
        <v>0</v>
      </c>
      <c r="W6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143"/>
      <c r="Y623" s="143"/>
      <c r="Z623" s="149">
        <f>IF(AND(Table2[[#This Row],[GameIsOver]]=1,Table2[[#This Row],[ActualHomeScore]]*Table2[[#This Row],[ActualAwayScore]]=0), 1,0)</f>
        <v>0</v>
      </c>
      <c r="AA6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3" s="143">
        <f>Table2[[#This Row],[ActualAwayScore]]-Table2[[#This Row],[PredictedAwayScore]]</f>
        <v>0</v>
      </c>
      <c r="AG623" s="143">
        <f>Table2[[#This Row],[ActualHomeScore]]-Table2[[#This Row],[PredictedHomeScore]]</f>
        <v>0</v>
      </c>
      <c r="AH623" s="143">
        <f t="shared" si="52"/>
        <v>0</v>
      </c>
      <c r="AI623" s="143">
        <f t="shared" si="53"/>
        <v>0</v>
      </c>
      <c r="AJ623" s="143"/>
      <c r="AK623" s="141"/>
      <c r="AL623" s="143">
        <f>IF(Table2[[#This Row],[GameIsOver]]=0,0,IF(Table2[[#This Row],[ActualWinner]]=Table2[[#This Row],[AwayTeam]], 1, 0))</f>
        <v>0</v>
      </c>
      <c r="AM623" s="143">
        <f>IF(Table2[[#This Row],[GameIsOver]]=0,0,IF(Table2[[#This Row],[ActualWinner]]=Table2[[#This Row],[HomeTeam]], 1, 0))</f>
        <v>0</v>
      </c>
      <c r="AN6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3" s="143" t="str">
        <f>INDEX(Sheet5!$B$2:$AG$33, MATCH(Table2[[#This Row],[AwayTeam]],Sheet5!$A$2:$A$33, 0), MATCH(Table2[[#This Row],[HomeTeam]],Sheet5!$A$2:$A$33, 0))</f>
        <v>0-0-0</v>
      </c>
      <c r="AP623" s="143" t="str">
        <f>INDEX(Sheet5!$B$2:$AG$33, MATCH(Table2[[#This Row],[HomeTeam]],Sheet5!$A$2:$A$33, 0), MATCH(Table2[[#This Row],[AwayTeam]],Sheet5!$A$2:$A$33, 0))</f>
        <v>0-0-0</v>
      </c>
      <c r="AQ623" s="143">
        <f>IF(Table2[[#This Row],[GameHasShutOut]], 1, 0)</f>
        <v>0</v>
      </c>
      <c r="AR623" s="143">
        <f>IF(Table2[[#This Row],[ActualAwayScore]] + Table2[[#This Row],[ActualHomeScore]] &gt;= 10, 1, 0)</f>
        <v>0</v>
      </c>
      <c r="AS623" s="143">
        <f>IF(ABS(Table2[[#This Row],[ActualAwayScore]]-Table2[[#This Row],[ActualHomeScore]])&gt;=5, 1, 0)</f>
        <v>0</v>
      </c>
      <c r="AT623" s="143">
        <f>IF(Table2[[#This Row],[ActualAwayScore]] + Table2[[#This Row],[ActualHomeScore]] &lt;= 3, 1, 0)</f>
        <v>1</v>
      </c>
      <c r="AU62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4" spans="1:49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5" spans="1:49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6" spans="1:49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7" spans="1:49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8" spans="1:49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9" spans="1:49" x14ac:dyDescent="0.25">
      <c r="A629" s="3"/>
      <c r="B629" s="3">
        <v>46022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0" spans="1:49" x14ac:dyDescent="0.25">
      <c r="A630" s="3"/>
      <c r="B630" s="3">
        <v>46022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1" spans="1:49" x14ac:dyDescent="0.25">
      <c r="A631" s="3"/>
      <c r="B631" s="3">
        <v>46022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2" spans="1:49" x14ac:dyDescent="0.25">
      <c r="A632" s="3"/>
      <c r="B632" s="3">
        <v>46022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3" spans="1:49" x14ac:dyDescent="0.25">
      <c r="A633" s="141"/>
      <c r="B633" s="141">
        <v>46022</v>
      </c>
      <c r="C633" s="142">
        <v>2025020631</v>
      </c>
      <c r="D633" s="143" t="s">
        <v>15</v>
      </c>
      <c r="E633" s="143" t="s">
        <v>22</v>
      </c>
      <c r="F633" s="143"/>
      <c r="G633" s="143"/>
      <c r="H633" s="143" t="str">
        <f t="shared" si="49"/>
        <v>_</v>
      </c>
      <c r="I633" s="143"/>
      <c r="J633" s="143"/>
      <c r="K633" s="143"/>
      <c r="L633" s="143" t="str">
        <f t="shared" si="50"/>
        <v>_</v>
      </c>
      <c r="M633" s="143"/>
      <c r="N633" s="143">
        <f>IF(ISBLANK(Table2[[#This Row],[ActualResult]]), 0, 1)</f>
        <v>0</v>
      </c>
      <c r="O633" s="143" t="str">
        <f>IF(ISBLANK(Table2[[#This Row],[ActualResult]]), "_", IF(Table2[[#This Row],[ActualWinner]]=Table2[[#This Row],[PredictedWinner]], "Y", "N"))</f>
        <v>_</v>
      </c>
      <c r="P63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143"/>
      <c r="S633" s="143" t="str">
        <f t="shared" si="51"/>
        <v>_</v>
      </c>
      <c r="T63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143">
        <f>IF(Table2[[#This Row],[InterConf]]=1,IF(Table2[[#This Row],[InterDiv]]=0, 1, 0), 0)</f>
        <v>0</v>
      </c>
      <c r="W63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143"/>
      <c r="Y633" s="143"/>
      <c r="Z633" s="149">
        <f>IF(AND(Table2[[#This Row],[GameIsOver]]=1,Table2[[#This Row],[ActualHomeScore]]*Table2[[#This Row],[ActualAwayScore]]=0), 1,0)</f>
        <v>0</v>
      </c>
      <c r="AA63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3" s="143">
        <f>Table2[[#This Row],[ActualAwayScore]]-Table2[[#This Row],[PredictedAwayScore]]</f>
        <v>0</v>
      </c>
      <c r="AG633" s="143">
        <f>Table2[[#This Row],[ActualHomeScore]]-Table2[[#This Row],[PredictedHomeScore]]</f>
        <v>0</v>
      </c>
      <c r="AH633" s="143">
        <f t="shared" si="52"/>
        <v>0</v>
      </c>
      <c r="AI633" s="143">
        <f t="shared" si="53"/>
        <v>0</v>
      </c>
      <c r="AJ633" s="143"/>
      <c r="AK633" s="141"/>
      <c r="AL633" s="143">
        <f>IF(Table2[[#This Row],[GameIsOver]]=0,0,IF(Table2[[#This Row],[ActualWinner]]=Table2[[#This Row],[AwayTeam]], 1, 0))</f>
        <v>0</v>
      </c>
      <c r="AM633" s="143">
        <f>IF(Table2[[#This Row],[GameIsOver]]=0,0,IF(Table2[[#This Row],[ActualWinner]]=Table2[[#This Row],[HomeTeam]], 1, 0))</f>
        <v>0</v>
      </c>
      <c r="AN63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3" s="143" t="str">
        <f>INDEX(Sheet5!$B$2:$AG$33, MATCH(Table2[[#This Row],[AwayTeam]],Sheet5!$A$2:$A$33, 0), MATCH(Table2[[#This Row],[HomeTeam]],Sheet5!$A$2:$A$33, 0))</f>
        <v>0-0-0</v>
      </c>
      <c r="AP633" s="143" t="str">
        <f>INDEX(Sheet5!$B$2:$AG$33, MATCH(Table2[[#This Row],[HomeTeam]],Sheet5!$A$2:$A$33, 0), MATCH(Table2[[#This Row],[AwayTeam]],Sheet5!$A$2:$A$33, 0))</f>
        <v>0-0-0</v>
      </c>
      <c r="AQ633" s="143">
        <f>IF(Table2[[#This Row],[GameHasShutOut]], 1, 0)</f>
        <v>0</v>
      </c>
      <c r="AR633" s="143">
        <f>IF(Table2[[#This Row],[ActualAwayScore]] + Table2[[#This Row],[ActualHomeScore]] &gt;= 10, 1, 0)</f>
        <v>0</v>
      </c>
      <c r="AS633" s="143">
        <f>IF(ABS(Table2[[#This Row],[ActualAwayScore]]-Table2[[#This Row],[ActualHomeScore]])&gt;=5, 1, 0)</f>
        <v>0</v>
      </c>
      <c r="AT633" s="143">
        <f>IF(Table2[[#This Row],[ActualAwayScore]] + Table2[[#This Row],[ActualHomeScore]] &lt;= 3, 1, 0)</f>
        <v>1</v>
      </c>
      <c r="AU63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4" spans="1:49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5" spans="1:49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6" spans="1:49" x14ac:dyDescent="0.25">
      <c r="A636" s="3"/>
      <c r="B636" s="3">
        <v>46023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7" spans="1:49" x14ac:dyDescent="0.25">
      <c r="A637" s="3"/>
      <c r="B637" s="3">
        <v>46023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8" spans="1:49" x14ac:dyDescent="0.25">
      <c r="A638" s="3"/>
      <c r="B638" s="3">
        <v>46023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9" spans="1:49" x14ac:dyDescent="0.25">
      <c r="A639" s="3"/>
      <c r="B639" s="3">
        <v>46023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0" spans="1:49" x14ac:dyDescent="0.25">
      <c r="A640" s="3"/>
      <c r="B640" s="3">
        <v>46023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1" spans="1:49" x14ac:dyDescent="0.25">
      <c r="A641" s="141"/>
      <c r="B641" s="141">
        <v>46023</v>
      </c>
      <c r="C641" s="142">
        <v>2025020639</v>
      </c>
      <c r="D641" s="143" t="s">
        <v>40</v>
      </c>
      <c r="E641" s="143" t="s">
        <v>27</v>
      </c>
      <c r="F641" s="143"/>
      <c r="G641" s="143"/>
      <c r="H641" s="143" t="str">
        <f t="shared" si="49"/>
        <v>_</v>
      </c>
      <c r="I641" s="143"/>
      <c r="J641" s="143"/>
      <c r="K641" s="143"/>
      <c r="L641" s="143" t="str">
        <f t="shared" si="50"/>
        <v>_</v>
      </c>
      <c r="M641" s="143"/>
      <c r="N641" s="143">
        <f>IF(ISBLANK(Table2[[#This Row],[ActualResult]]), 0, 1)</f>
        <v>0</v>
      </c>
      <c r="O641" s="143" t="str">
        <f>IF(ISBLANK(Table2[[#This Row],[ActualResult]]), "_", IF(Table2[[#This Row],[ActualWinner]]=Table2[[#This Row],[PredictedWinner]], "Y", "N"))</f>
        <v>_</v>
      </c>
      <c r="P6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143"/>
      <c r="S641" s="143" t="str">
        <f t="shared" si="51"/>
        <v>_</v>
      </c>
      <c r="T6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143">
        <f>IF(Table2[[#This Row],[InterConf]]=1,IF(Table2[[#This Row],[InterDiv]]=0, 1, 0), 0)</f>
        <v>0</v>
      </c>
      <c r="W6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143"/>
      <c r="Y641" s="143"/>
      <c r="Z641" s="149">
        <f>IF(AND(Table2[[#This Row],[GameIsOver]]=1,Table2[[#This Row],[ActualHomeScore]]*Table2[[#This Row],[ActualAwayScore]]=0), 1,0)</f>
        <v>0</v>
      </c>
      <c r="AA6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1" s="143">
        <f>Table2[[#This Row],[ActualAwayScore]]-Table2[[#This Row],[PredictedAwayScore]]</f>
        <v>0</v>
      </c>
      <c r="AG641" s="143">
        <f>Table2[[#This Row],[ActualHomeScore]]-Table2[[#This Row],[PredictedHomeScore]]</f>
        <v>0</v>
      </c>
      <c r="AH641" s="143">
        <f t="shared" si="52"/>
        <v>0</v>
      </c>
      <c r="AI641" s="143">
        <f t="shared" si="53"/>
        <v>0</v>
      </c>
      <c r="AJ641" s="143"/>
      <c r="AK641" s="141"/>
      <c r="AL641" s="143">
        <f>IF(Table2[[#This Row],[GameIsOver]]=0,0,IF(Table2[[#This Row],[ActualWinner]]=Table2[[#This Row],[AwayTeam]], 1, 0))</f>
        <v>0</v>
      </c>
      <c r="AM641" s="143">
        <f>IF(Table2[[#This Row],[GameIsOver]]=0,0,IF(Table2[[#This Row],[ActualWinner]]=Table2[[#This Row],[HomeTeam]], 1, 0))</f>
        <v>0</v>
      </c>
      <c r="AN6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1" s="143" t="str">
        <f>INDEX(Sheet5!$B$2:$AG$33, MATCH(Table2[[#This Row],[AwayTeam]],Sheet5!$A$2:$A$33, 0), MATCH(Table2[[#This Row],[HomeTeam]],Sheet5!$A$2:$A$33, 0))</f>
        <v>0-0-0</v>
      </c>
      <c r="AP641" s="143" t="str">
        <f>INDEX(Sheet5!$B$2:$AG$33, MATCH(Table2[[#This Row],[HomeTeam]],Sheet5!$A$2:$A$33, 0), MATCH(Table2[[#This Row],[AwayTeam]],Sheet5!$A$2:$A$33, 0))</f>
        <v>0-0-0</v>
      </c>
      <c r="AQ641" s="143">
        <f>IF(Table2[[#This Row],[GameHasShutOut]], 1, 0)</f>
        <v>0</v>
      </c>
      <c r="AR641" s="143">
        <f>IF(Table2[[#This Row],[ActualAwayScore]] + Table2[[#This Row],[ActualHomeScore]] &gt;= 10, 1, 0)</f>
        <v>0</v>
      </c>
      <c r="AS641" s="143">
        <f>IF(ABS(Table2[[#This Row],[ActualAwayScore]]-Table2[[#This Row],[ActualHomeScore]])&gt;=5, 1, 0)</f>
        <v>0</v>
      </c>
      <c r="AT641" s="143">
        <f>IF(Table2[[#This Row],[ActualAwayScore]] + Table2[[#This Row],[ActualHomeScore]] &lt;= 3, 1, 0)</f>
        <v>1</v>
      </c>
      <c r="AU6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2" spans="1:49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3" spans="1:49" x14ac:dyDescent="0.25">
      <c r="A643" s="3"/>
      <c r="B643" s="3">
        <v>46024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4" spans="1:49" x14ac:dyDescent="0.25">
      <c r="A644" s="3"/>
      <c r="B644" s="3">
        <v>46024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5" spans="1:49" x14ac:dyDescent="0.25">
      <c r="A645" s="141"/>
      <c r="B645" s="141">
        <v>46024</v>
      </c>
      <c r="C645" s="142">
        <v>2025020643</v>
      </c>
      <c r="D645" s="143" t="s">
        <v>36</v>
      </c>
      <c r="E645" s="143" t="s">
        <v>44</v>
      </c>
      <c r="F645" s="143"/>
      <c r="G645" s="143"/>
      <c r="H645" s="143" t="str">
        <f t="shared" si="54"/>
        <v>_</v>
      </c>
      <c r="I645" s="143"/>
      <c r="J645" s="143"/>
      <c r="K645" s="143"/>
      <c r="L645" s="143" t="str">
        <f t="shared" si="55"/>
        <v>_</v>
      </c>
      <c r="M645" s="143"/>
      <c r="N645" s="143">
        <f>IF(ISBLANK(Table2[[#This Row],[ActualResult]]), 0, 1)</f>
        <v>0</v>
      </c>
      <c r="O645" s="143" t="str">
        <f>IF(ISBLANK(Table2[[#This Row],[ActualResult]]), "_", IF(Table2[[#This Row],[ActualWinner]]=Table2[[#This Row],[PredictedWinner]], "Y", "N"))</f>
        <v>_</v>
      </c>
      <c r="P6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143"/>
      <c r="S645" s="143" t="str">
        <f t="shared" si="56"/>
        <v>_</v>
      </c>
      <c r="T6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143">
        <f>IF(Table2[[#This Row],[InterConf]]=1,IF(Table2[[#This Row],[InterDiv]]=0, 1, 0), 0)</f>
        <v>1</v>
      </c>
      <c r="W6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143"/>
      <c r="Y645" s="143"/>
      <c r="Z645" s="149">
        <f>IF(AND(Table2[[#This Row],[GameIsOver]]=1,Table2[[#This Row],[ActualHomeScore]]*Table2[[#This Row],[ActualAwayScore]]=0), 1,0)</f>
        <v>0</v>
      </c>
      <c r="AA6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5" s="143">
        <f>Table2[[#This Row],[ActualAwayScore]]-Table2[[#This Row],[PredictedAwayScore]]</f>
        <v>0</v>
      </c>
      <c r="AG645" s="143">
        <f>Table2[[#This Row],[ActualHomeScore]]-Table2[[#This Row],[PredictedHomeScore]]</f>
        <v>0</v>
      </c>
      <c r="AH645" s="143">
        <f t="shared" si="57"/>
        <v>0</v>
      </c>
      <c r="AI645" s="143">
        <f t="shared" si="58"/>
        <v>0</v>
      </c>
      <c r="AJ645" s="143"/>
      <c r="AK645" s="141"/>
      <c r="AL645" s="143">
        <f>IF(Table2[[#This Row],[GameIsOver]]=0,0,IF(Table2[[#This Row],[ActualWinner]]=Table2[[#This Row],[AwayTeam]], 1, 0))</f>
        <v>0</v>
      </c>
      <c r="AM645" s="143">
        <f>IF(Table2[[#This Row],[GameIsOver]]=0,0,IF(Table2[[#This Row],[ActualWinner]]=Table2[[#This Row],[HomeTeam]], 1, 0))</f>
        <v>0</v>
      </c>
      <c r="AN6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5" s="143" t="str">
        <f>INDEX(Sheet5!$B$2:$AG$33, MATCH(Table2[[#This Row],[AwayTeam]],Sheet5!$A$2:$A$33, 0), MATCH(Table2[[#This Row],[HomeTeam]],Sheet5!$A$2:$A$33, 0))</f>
        <v>1-0-0</v>
      </c>
      <c r="AP645" s="143" t="str">
        <f>INDEX(Sheet5!$B$2:$AG$33, MATCH(Table2[[#This Row],[HomeTeam]],Sheet5!$A$2:$A$33, 0), MATCH(Table2[[#This Row],[AwayTeam]],Sheet5!$A$2:$A$33, 0))</f>
        <v>0-1-0</v>
      </c>
      <c r="AQ645" s="143">
        <f>IF(Table2[[#This Row],[GameHasShutOut]], 1, 0)</f>
        <v>0</v>
      </c>
      <c r="AR645" s="143">
        <f>IF(Table2[[#This Row],[ActualAwayScore]] + Table2[[#This Row],[ActualHomeScore]] &gt;= 10, 1, 0)</f>
        <v>0</v>
      </c>
      <c r="AS645" s="143">
        <f>IF(ABS(Table2[[#This Row],[ActualAwayScore]]-Table2[[#This Row],[ActualHomeScore]])&gt;=5, 1, 0)</f>
        <v>0</v>
      </c>
      <c r="AT645" s="143">
        <f>IF(Table2[[#This Row],[ActualAwayScore]] + Table2[[#This Row],[ActualHomeScore]] &lt;= 3, 1, 0)</f>
        <v>1</v>
      </c>
      <c r="AU6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6" spans="1:49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7" spans="1:49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8" spans="1:49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9" spans="1:49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0" spans="1:49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1" spans="1:49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2" spans="1:49" x14ac:dyDescent="0.25">
      <c r="A652" s="3"/>
      <c r="B652" s="3">
        <v>46025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2" s="2" t="str">
        <f>INDEX(Sheet5!$B$2:$AG$33, MATCH(Table2[[#This Row],[AwayTeam]],Sheet5!$A$2:$A$33, 0), MATCH(Table2[[#This Row],[HomeTeam]],Sheet5!$A$2:$A$33, 0))</f>
        <v>0-0-1</v>
      </c>
      <c r="AP652" s="2" t="str">
        <f>INDEX(Sheet5!$B$2:$AG$33, MATCH(Table2[[#This Row],[HomeTeam]],Sheet5!$A$2:$A$33, 0), MATCH(Table2[[#This Row],[AwayTeam]],Sheet5!$A$2:$A$33, 0))</f>
        <v>1-0-0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3" spans="1:49" x14ac:dyDescent="0.25">
      <c r="A653" s="3"/>
      <c r="B653" s="3">
        <v>46025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4" spans="1:49" x14ac:dyDescent="0.25">
      <c r="A654" s="3"/>
      <c r="B654" s="3">
        <v>46025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5" spans="1:49" x14ac:dyDescent="0.25">
      <c r="A655" s="3"/>
      <c r="B655" s="3">
        <v>46025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6" spans="1:49" x14ac:dyDescent="0.25">
      <c r="A656" s="3"/>
      <c r="B656" s="3">
        <v>46025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57" spans="1:49" x14ac:dyDescent="0.25">
      <c r="A657" s="3"/>
      <c r="B657" s="3">
        <v>46025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8" spans="1:49" x14ac:dyDescent="0.25">
      <c r="A658" s="141"/>
      <c r="B658" s="141">
        <v>46025</v>
      </c>
      <c r="C658" s="142">
        <v>2025020656</v>
      </c>
      <c r="D658" s="143" t="s">
        <v>15</v>
      </c>
      <c r="E658" s="143" t="s">
        <v>24</v>
      </c>
      <c r="F658" s="143"/>
      <c r="G658" s="143"/>
      <c r="H658" s="143" t="str">
        <f t="shared" si="54"/>
        <v>_</v>
      </c>
      <c r="I658" s="143"/>
      <c r="J658" s="143"/>
      <c r="K658" s="143"/>
      <c r="L658" s="143" t="str">
        <f t="shared" si="55"/>
        <v>_</v>
      </c>
      <c r="M658" s="143"/>
      <c r="N658" s="143">
        <f>IF(ISBLANK(Table2[[#This Row],[ActualResult]]), 0, 1)</f>
        <v>0</v>
      </c>
      <c r="O658" s="143" t="str">
        <f>IF(ISBLANK(Table2[[#This Row],[ActualResult]]), "_", IF(Table2[[#This Row],[ActualWinner]]=Table2[[#This Row],[PredictedWinner]], "Y", "N"))</f>
        <v>_</v>
      </c>
      <c r="P6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143"/>
      <c r="S658" s="143" t="str">
        <f t="shared" si="56"/>
        <v>_</v>
      </c>
      <c r="T6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143">
        <f>IF(Table2[[#This Row],[InterConf]]=1,IF(Table2[[#This Row],[InterDiv]]=0, 1, 0), 0)</f>
        <v>0</v>
      </c>
      <c r="W6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143"/>
      <c r="Y658" s="143"/>
      <c r="Z658" s="149">
        <f>IF(AND(Table2[[#This Row],[GameIsOver]]=1,Table2[[#This Row],[ActualHomeScore]]*Table2[[#This Row],[ActualAwayScore]]=0), 1,0)</f>
        <v>0</v>
      </c>
      <c r="AA6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8" s="143">
        <f>Table2[[#This Row],[ActualAwayScore]]-Table2[[#This Row],[PredictedAwayScore]]</f>
        <v>0</v>
      </c>
      <c r="AG658" s="143">
        <f>Table2[[#This Row],[ActualHomeScore]]-Table2[[#This Row],[PredictedHomeScore]]</f>
        <v>0</v>
      </c>
      <c r="AH658" s="143">
        <f t="shared" si="57"/>
        <v>0</v>
      </c>
      <c r="AI658" s="143">
        <f t="shared" si="58"/>
        <v>0</v>
      </c>
      <c r="AJ658" s="143"/>
      <c r="AK658" s="141"/>
      <c r="AL658" s="143">
        <f>IF(Table2[[#This Row],[GameIsOver]]=0,0,IF(Table2[[#This Row],[ActualWinner]]=Table2[[#This Row],[AwayTeam]], 1, 0))</f>
        <v>0</v>
      </c>
      <c r="AM658" s="143">
        <f>IF(Table2[[#This Row],[GameIsOver]]=0,0,IF(Table2[[#This Row],[ActualWinner]]=Table2[[#This Row],[HomeTeam]], 1, 0))</f>
        <v>0</v>
      </c>
      <c r="AN6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8" s="143" t="str">
        <f>INDEX(Sheet5!$B$2:$AG$33, MATCH(Table2[[#This Row],[AwayTeam]],Sheet5!$A$2:$A$33, 0), MATCH(Table2[[#This Row],[HomeTeam]],Sheet5!$A$2:$A$33, 0))</f>
        <v>0-0-0</v>
      </c>
      <c r="AP658" s="143" t="str">
        <f>INDEX(Sheet5!$B$2:$AG$33, MATCH(Table2[[#This Row],[HomeTeam]],Sheet5!$A$2:$A$33, 0), MATCH(Table2[[#This Row],[AwayTeam]],Sheet5!$A$2:$A$33, 0))</f>
        <v>0-0-0</v>
      </c>
      <c r="AQ658" s="143">
        <f>IF(Table2[[#This Row],[GameHasShutOut]], 1, 0)</f>
        <v>0</v>
      </c>
      <c r="AR658" s="143">
        <f>IF(Table2[[#This Row],[ActualAwayScore]] + Table2[[#This Row],[ActualHomeScore]] &gt;= 10, 1, 0)</f>
        <v>0</v>
      </c>
      <c r="AS658" s="143">
        <f>IF(ABS(Table2[[#This Row],[ActualAwayScore]]-Table2[[#This Row],[ActualHomeScore]])&gt;=5, 1, 0)</f>
        <v>0</v>
      </c>
      <c r="AT658" s="143">
        <f>IF(Table2[[#This Row],[ActualAwayScore]] + Table2[[#This Row],[ActualHomeScore]] &lt;= 3, 1, 0)</f>
        <v>1</v>
      </c>
      <c r="AU6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9" spans="1:49" x14ac:dyDescent="0.25">
      <c r="A659" s="3"/>
      <c r="B659" s="3">
        <v>45661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0" spans="1:49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1" spans="1:49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61" s="2" t="str">
        <f>INDEX(Sheet5!$B$2:$AG$33, MATCH(Table2[[#This Row],[AwayTeam]],Sheet5!$A$2:$A$33, 0), MATCH(Table2[[#This Row],[HomeTeam]],Sheet5!$A$2:$A$33, 0))</f>
        <v>1-0-0</v>
      </c>
      <c r="AP661" s="2" t="str">
        <f>INDEX(Sheet5!$B$2:$AG$33, MATCH(Table2[[#This Row],[HomeTeam]],Sheet5!$A$2:$A$33, 0), MATCH(Table2[[#This Row],[AwayTeam]],Sheet5!$A$2:$A$33, 0))</f>
        <v>0-1-0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2" spans="1:49" x14ac:dyDescent="0.25">
      <c r="A662" s="3"/>
      <c r="B662" s="3">
        <v>46026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3" spans="1:49" x14ac:dyDescent="0.25">
      <c r="A663" s="141"/>
      <c r="B663" s="141">
        <v>46026</v>
      </c>
      <c r="C663" s="142">
        <v>2025020661</v>
      </c>
      <c r="D663" s="143" t="s">
        <v>26</v>
      </c>
      <c r="E663" s="143" t="s">
        <v>16</v>
      </c>
      <c r="F663" s="143"/>
      <c r="G663" s="143"/>
      <c r="H663" s="143" t="str">
        <f t="shared" si="54"/>
        <v>_</v>
      </c>
      <c r="I663" s="143"/>
      <c r="J663" s="143"/>
      <c r="K663" s="143"/>
      <c r="L663" s="143" t="str">
        <f t="shared" si="55"/>
        <v>_</v>
      </c>
      <c r="M663" s="143"/>
      <c r="N663" s="143">
        <f>IF(ISBLANK(Table2[[#This Row],[ActualResult]]), 0, 1)</f>
        <v>0</v>
      </c>
      <c r="O663" s="143" t="str">
        <f>IF(ISBLANK(Table2[[#This Row],[ActualResult]]), "_", IF(Table2[[#This Row],[ActualWinner]]=Table2[[#This Row],[PredictedWinner]], "Y", "N"))</f>
        <v>_</v>
      </c>
      <c r="P6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143"/>
      <c r="S663" s="143" t="str">
        <f t="shared" si="56"/>
        <v>_</v>
      </c>
      <c r="T6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143">
        <f>IF(Table2[[#This Row],[InterConf]]=1,IF(Table2[[#This Row],[InterDiv]]=0, 1, 0), 0)</f>
        <v>1</v>
      </c>
      <c r="W6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143"/>
      <c r="Y663" s="143"/>
      <c r="Z663" s="149">
        <f>IF(AND(Table2[[#This Row],[GameIsOver]]=1,Table2[[#This Row],[ActualHomeScore]]*Table2[[#This Row],[ActualAwayScore]]=0), 1,0)</f>
        <v>0</v>
      </c>
      <c r="AA6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3" s="143">
        <f>Table2[[#This Row],[ActualAwayScore]]-Table2[[#This Row],[PredictedAwayScore]]</f>
        <v>0</v>
      </c>
      <c r="AG663" s="143">
        <f>Table2[[#This Row],[ActualHomeScore]]-Table2[[#This Row],[PredictedHomeScore]]</f>
        <v>0</v>
      </c>
      <c r="AH663" s="143">
        <f t="shared" si="57"/>
        <v>0</v>
      </c>
      <c r="AI663" s="143">
        <f t="shared" si="58"/>
        <v>0</v>
      </c>
      <c r="AJ663" s="143"/>
      <c r="AK663" s="141"/>
      <c r="AL663" s="143">
        <f>IF(Table2[[#This Row],[GameIsOver]]=0,0,IF(Table2[[#This Row],[ActualWinner]]=Table2[[#This Row],[AwayTeam]], 1, 0))</f>
        <v>0</v>
      </c>
      <c r="AM663" s="143">
        <f>IF(Table2[[#This Row],[GameIsOver]]=0,0,IF(Table2[[#This Row],[ActualWinner]]=Table2[[#This Row],[HomeTeam]], 1, 0))</f>
        <v>0</v>
      </c>
      <c r="AN6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3" s="143" t="str">
        <f>INDEX(Sheet5!$B$2:$AG$33, MATCH(Table2[[#This Row],[AwayTeam]],Sheet5!$A$2:$A$33, 0), MATCH(Table2[[#This Row],[HomeTeam]],Sheet5!$A$2:$A$33, 0))</f>
        <v>1-0-0</v>
      </c>
      <c r="AP663" s="143" t="str">
        <f>INDEX(Sheet5!$B$2:$AG$33, MATCH(Table2[[#This Row],[HomeTeam]],Sheet5!$A$2:$A$33, 0), MATCH(Table2[[#This Row],[AwayTeam]],Sheet5!$A$2:$A$33, 0))</f>
        <v>0-0-1</v>
      </c>
      <c r="AQ663" s="143">
        <f>IF(Table2[[#This Row],[GameHasShutOut]], 1, 0)</f>
        <v>0</v>
      </c>
      <c r="AR663" s="143">
        <f>IF(Table2[[#This Row],[ActualAwayScore]] + Table2[[#This Row],[ActualHomeScore]] &gt;= 10, 1, 0)</f>
        <v>0</v>
      </c>
      <c r="AS663" s="143">
        <f>IF(ABS(Table2[[#This Row],[ActualAwayScore]]-Table2[[#This Row],[ActualHomeScore]])&gt;=5, 1, 0)</f>
        <v>0</v>
      </c>
      <c r="AT663" s="143">
        <f>IF(Table2[[#This Row],[ActualAwayScore]] + Table2[[#This Row],[ActualHomeScore]] &lt;= 3, 1, 0)</f>
        <v>1</v>
      </c>
      <c r="AU6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4" spans="1:49" x14ac:dyDescent="0.25">
      <c r="A664" s="3"/>
      <c r="B664" s="3">
        <v>46027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5" spans="1:49" x14ac:dyDescent="0.25">
      <c r="A665" s="3"/>
      <c r="B665" s="3">
        <v>46027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6" spans="1:49" x14ac:dyDescent="0.25">
      <c r="A666" s="3"/>
      <c r="B666" s="3">
        <v>46027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7" spans="1:49" x14ac:dyDescent="0.25">
      <c r="A667" s="3"/>
      <c r="B667" s="3">
        <v>46027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68" spans="1:49" x14ac:dyDescent="0.25">
      <c r="A668" s="141"/>
      <c r="B668" s="141">
        <v>46027</v>
      </c>
      <c r="C668" s="142">
        <v>2025020666</v>
      </c>
      <c r="D668" s="143" t="s">
        <v>36</v>
      </c>
      <c r="E668" s="143" t="s">
        <v>27</v>
      </c>
      <c r="F668" s="143"/>
      <c r="G668" s="143"/>
      <c r="H668" s="143" t="str">
        <f t="shared" si="54"/>
        <v>_</v>
      </c>
      <c r="I668" s="143"/>
      <c r="J668" s="143"/>
      <c r="K668" s="143"/>
      <c r="L668" s="143" t="str">
        <f t="shared" si="55"/>
        <v>_</v>
      </c>
      <c r="M668" s="143"/>
      <c r="N668" s="143">
        <f>IF(ISBLANK(Table2[[#This Row],[ActualResult]]), 0, 1)</f>
        <v>0</v>
      </c>
      <c r="O668" s="143" t="str">
        <f>IF(ISBLANK(Table2[[#This Row],[ActualResult]]), "_", IF(Table2[[#This Row],[ActualWinner]]=Table2[[#This Row],[PredictedWinner]], "Y", "N"))</f>
        <v>_</v>
      </c>
      <c r="P6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143"/>
      <c r="S668" s="143" t="str">
        <f t="shared" si="56"/>
        <v>_</v>
      </c>
      <c r="T6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143">
        <f>IF(Table2[[#This Row],[InterConf]]=1,IF(Table2[[#This Row],[InterDiv]]=0, 1, 0), 0)</f>
        <v>1</v>
      </c>
      <c r="W6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143"/>
      <c r="Y668" s="143"/>
      <c r="Z668" s="149">
        <f>IF(AND(Table2[[#This Row],[GameIsOver]]=1,Table2[[#This Row],[ActualHomeScore]]*Table2[[#This Row],[ActualAwayScore]]=0), 1,0)</f>
        <v>0</v>
      </c>
      <c r="AA6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8" s="143">
        <f>Table2[[#This Row],[ActualAwayScore]]-Table2[[#This Row],[PredictedAwayScore]]</f>
        <v>0</v>
      </c>
      <c r="AG668" s="143">
        <f>Table2[[#This Row],[ActualHomeScore]]-Table2[[#This Row],[PredictedHomeScore]]</f>
        <v>0</v>
      </c>
      <c r="AH668" s="143">
        <f t="shared" si="57"/>
        <v>0</v>
      </c>
      <c r="AI668" s="143">
        <f t="shared" si="58"/>
        <v>0</v>
      </c>
      <c r="AJ668" s="143"/>
      <c r="AK668" s="141"/>
      <c r="AL668" s="143">
        <f>IF(Table2[[#This Row],[GameIsOver]]=0,0,IF(Table2[[#This Row],[ActualWinner]]=Table2[[#This Row],[AwayTeam]], 1, 0))</f>
        <v>0</v>
      </c>
      <c r="AM668" s="143">
        <f>IF(Table2[[#This Row],[GameIsOver]]=0,0,IF(Table2[[#This Row],[ActualWinner]]=Table2[[#This Row],[HomeTeam]], 1, 0))</f>
        <v>0</v>
      </c>
      <c r="AN6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8" s="143" t="str">
        <f>INDEX(Sheet5!$B$2:$AG$33, MATCH(Table2[[#This Row],[AwayTeam]],Sheet5!$A$2:$A$33, 0), MATCH(Table2[[#This Row],[HomeTeam]],Sheet5!$A$2:$A$33, 0))</f>
        <v>1-0-0</v>
      </c>
      <c r="AP668" s="143" t="str">
        <f>INDEX(Sheet5!$B$2:$AG$33, MATCH(Table2[[#This Row],[HomeTeam]],Sheet5!$A$2:$A$33, 0), MATCH(Table2[[#This Row],[AwayTeam]],Sheet5!$A$2:$A$33, 0))</f>
        <v>0-0-1</v>
      </c>
      <c r="AQ668" s="143">
        <f>IF(Table2[[#This Row],[GameHasShutOut]], 1, 0)</f>
        <v>0</v>
      </c>
      <c r="AR668" s="143">
        <f>IF(Table2[[#This Row],[ActualAwayScore]] + Table2[[#This Row],[ActualHomeScore]] &gt;= 10, 1, 0)</f>
        <v>0</v>
      </c>
      <c r="AS668" s="143">
        <f>IF(ABS(Table2[[#This Row],[ActualAwayScore]]-Table2[[#This Row],[ActualHomeScore]])&gt;=5, 1, 0)</f>
        <v>0</v>
      </c>
      <c r="AT668" s="143">
        <f>IF(Table2[[#This Row],[ActualAwayScore]] + Table2[[#This Row],[ActualHomeScore]] &lt;= 3, 1, 0)</f>
        <v>1</v>
      </c>
      <c r="AU6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9" spans="1:49" x14ac:dyDescent="0.25">
      <c r="A669" s="3"/>
      <c r="B669" s="3">
        <v>46028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9" s="2" t="str">
        <f>INDEX(Sheet5!$B$2:$AG$33, MATCH(Table2[[#This Row],[AwayTeam]],Sheet5!$A$2:$A$33, 0), MATCH(Table2[[#This Row],[HomeTeam]],Sheet5!$A$2:$A$33, 0))</f>
        <v>0-1-0</v>
      </c>
      <c r="AP669" s="2" t="str">
        <f>INDEX(Sheet5!$B$2:$AG$33, MATCH(Table2[[#This Row],[HomeTeam]],Sheet5!$A$2:$A$33, 0), MATCH(Table2[[#This Row],[AwayTeam]],Sheet5!$A$2:$A$33, 0))</f>
        <v>1-0-0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0" spans="1:49" x14ac:dyDescent="0.25">
      <c r="A670" s="3"/>
      <c r="B670" s="3">
        <v>46028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1" spans="1:49" x14ac:dyDescent="0.25">
      <c r="A671" s="3"/>
      <c r="B671" s="3">
        <v>46028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2" spans="1:49" x14ac:dyDescent="0.25">
      <c r="A672" s="3"/>
      <c r="B672" s="3">
        <v>46028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3" spans="1:49" x14ac:dyDescent="0.25">
      <c r="A673" s="3"/>
      <c r="B673" s="3">
        <v>46028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4" spans="1:49" x14ac:dyDescent="0.25">
      <c r="A674" s="3"/>
      <c r="B674" s="3">
        <v>46028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5" spans="1:49" x14ac:dyDescent="0.25">
      <c r="A675" s="3"/>
      <c r="B675" s="3">
        <v>46028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6" spans="1:49" x14ac:dyDescent="0.25">
      <c r="A676" s="3"/>
      <c r="B676" s="3">
        <v>46028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7" spans="1:49" x14ac:dyDescent="0.25">
      <c r="A677" s="3"/>
      <c r="B677" s="3">
        <v>46028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8" spans="1:49" x14ac:dyDescent="0.25">
      <c r="A678" s="141"/>
      <c r="B678" s="141">
        <v>46028</v>
      </c>
      <c r="C678" s="142">
        <v>2025020676</v>
      </c>
      <c r="D678" s="143" t="s">
        <v>15</v>
      </c>
      <c r="E678" s="143" t="s">
        <v>11</v>
      </c>
      <c r="F678" s="143"/>
      <c r="G678" s="143"/>
      <c r="H678" s="143" t="str">
        <f t="shared" si="54"/>
        <v>_</v>
      </c>
      <c r="I678" s="143"/>
      <c r="J678" s="143"/>
      <c r="K678" s="143"/>
      <c r="L678" s="143" t="str">
        <f t="shared" si="55"/>
        <v>_</v>
      </c>
      <c r="M678" s="143"/>
      <c r="N678" s="143">
        <f>IF(ISBLANK(Table2[[#This Row],[ActualResult]]), 0, 1)</f>
        <v>0</v>
      </c>
      <c r="O678" s="143" t="str">
        <f>IF(ISBLANK(Table2[[#This Row],[ActualResult]]), "_", IF(Table2[[#This Row],[ActualWinner]]=Table2[[#This Row],[PredictedWinner]], "Y", "N"))</f>
        <v>_</v>
      </c>
      <c r="P6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143"/>
      <c r="S678" s="143" t="str">
        <f t="shared" si="56"/>
        <v>_</v>
      </c>
      <c r="T6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143">
        <f>IF(Table2[[#This Row],[InterConf]]=1,IF(Table2[[#This Row],[InterDiv]]=0, 1, 0), 0)</f>
        <v>0</v>
      </c>
      <c r="W6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143"/>
      <c r="Y678" s="143"/>
      <c r="Z678" s="149">
        <f>IF(AND(Table2[[#This Row],[GameIsOver]]=1,Table2[[#This Row],[ActualHomeScore]]*Table2[[#This Row],[ActualAwayScore]]=0), 1,0)</f>
        <v>0</v>
      </c>
      <c r="AA6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8" s="143">
        <f>Table2[[#This Row],[ActualAwayScore]]-Table2[[#This Row],[PredictedAwayScore]]</f>
        <v>0</v>
      </c>
      <c r="AG678" s="143">
        <f>Table2[[#This Row],[ActualHomeScore]]-Table2[[#This Row],[PredictedHomeScore]]</f>
        <v>0</v>
      </c>
      <c r="AH678" s="143">
        <f t="shared" si="57"/>
        <v>0</v>
      </c>
      <c r="AI678" s="143">
        <f t="shared" si="58"/>
        <v>0</v>
      </c>
      <c r="AJ678" s="143"/>
      <c r="AK678" s="141"/>
      <c r="AL678" s="143">
        <f>IF(Table2[[#This Row],[GameIsOver]]=0,0,IF(Table2[[#This Row],[ActualWinner]]=Table2[[#This Row],[AwayTeam]], 1, 0))</f>
        <v>0</v>
      </c>
      <c r="AM678" s="143">
        <f>IF(Table2[[#This Row],[GameIsOver]]=0,0,IF(Table2[[#This Row],[ActualWinner]]=Table2[[#This Row],[HomeTeam]], 1, 0))</f>
        <v>0</v>
      </c>
      <c r="AN6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8" s="143" t="str">
        <f>INDEX(Sheet5!$B$2:$AG$33, MATCH(Table2[[#This Row],[AwayTeam]],Sheet5!$A$2:$A$33, 0), MATCH(Table2[[#This Row],[HomeTeam]],Sheet5!$A$2:$A$33, 0))</f>
        <v>0-0-0</v>
      </c>
      <c r="AP678" s="143" t="str">
        <f>INDEX(Sheet5!$B$2:$AG$33, MATCH(Table2[[#This Row],[HomeTeam]],Sheet5!$A$2:$A$33, 0), MATCH(Table2[[#This Row],[AwayTeam]],Sheet5!$A$2:$A$33, 0))</f>
        <v>0-0-0</v>
      </c>
      <c r="AQ678" s="143">
        <f>IF(Table2[[#This Row],[GameHasShutOut]], 1, 0)</f>
        <v>0</v>
      </c>
      <c r="AR678" s="143">
        <f>IF(Table2[[#This Row],[ActualAwayScore]] + Table2[[#This Row],[ActualHomeScore]] &gt;= 10, 1, 0)</f>
        <v>0</v>
      </c>
      <c r="AS678" s="143">
        <f>IF(ABS(Table2[[#This Row],[ActualAwayScore]]-Table2[[#This Row],[ActualHomeScore]])&gt;=5, 1, 0)</f>
        <v>0</v>
      </c>
      <c r="AT678" s="143">
        <f>IF(Table2[[#This Row],[ActualAwayScore]] + Table2[[#This Row],[ActualHomeScore]] &lt;= 3, 1, 0)</f>
        <v>1</v>
      </c>
      <c r="AU67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9" spans="1:49" x14ac:dyDescent="0.25">
      <c r="A679" s="3"/>
      <c r="B679" s="3">
        <v>46029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0" spans="1:49" x14ac:dyDescent="0.25">
      <c r="A680" s="3"/>
      <c r="B680" s="3">
        <v>46029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1" spans="1:49" x14ac:dyDescent="0.25">
      <c r="A681" s="3"/>
      <c r="B681" s="3">
        <v>46029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1" s="2" t="str">
        <f>INDEX(Sheet5!$B$2:$AG$33, MATCH(Table2[[#This Row],[AwayTeam]],Sheet5!$A$2:$A$33, 0), MATCH(Table2[[#This Row],[HomeTeam]],Sheet5!$A$2:$A$33, 0))</f>
        <v>1-1-0</v>
      </c>
      <c r="AP681" s="2" t="str">
        <f>INDEX(Sheet5!$B$2:$AG$33, MATCH(Table2[[#This Row],[HomeTeam]],Sheet5!$A$2:$A$33, 0), MATCH(Table2[[#This Row],[AwayTeam]],Sheet5!$A$2:$A$33, 0))</f>
        <v>1-1-0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2" spans="1:49" x14ac:dyDescent="0.25">
      <c r="A682" s="3"/>
      <c r="B682" s="3">
        <v>46029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3" spans="1:49" x14ac:dyDescent="0.25">
      <c r="A683" s="141"/>
      <c r="B683" s="141">
        <v>46029</v>
      </c>
      <c r="C683" s="142">
        <v>2025020681</v>
      </c>
      <c r="D683" s="143" t="s">
        <v>37</v>
      </c>
      <c r="E683" s="143" t="s">
        <v>27</v>
      </c>
      <c r="F683" s="143"/>
      <c r="G683" s="143"/>
      <c r="H683" s="143" t="str">
        <f t="shared" si="54"/>
        <v>_</v>
      </c>
      <c r="I683" s="143"/>
      <c r="J683" s="143"/>
      <c r="K683" s="143"/>
      <c r="L683" s="143" t="str">
        <f t="shared" si="55"/>
        <v>_</v>
      </c>
      <c r="M683" s="143"/>
      <c r="N683" s="143">
        <f>IF(ISBLANK(Table2[[#This Row],[ActualResult]]), 0, 1)</f>
        <v>0</v>
      </c>
      <c r="O683" s="143" t="str">
        <f>IF(ISBLANK(Table2[[#This Row],[ActualResult]]), "_", IF(Table2[[#This Row],[ActualWinner]]=Table2[[#This Row],[PredictedWinner]], "Y", "N"))</f>
        <v>_</v>
      </c>
      <c r="P6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143"/>
      <c r="S683" s="143" t="str">
        <f t="shared" si="56"/>
        <v>_</v>
      </c>
      <c r="T6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143">
        <f>IF(Table2[[#This Row],[InterConf]]=1,IF(Table2[[#This Row],[InterDiv]]=0, 1, 0), 0)</f>
        <v>0</v>
      </c>
      <c r="W6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143"/>
      <c r="Y683" s="143"/>
      <c r="Z683" s="149">
        <f>IF(AND(Table2[[#This Row],[GameIsOver]]=1,Table2[[#This Row],[ActualHomeScore]]*Table2[[#This Row],[ActualAwayScore]]=0), 1,0)</f>
        <v>0</v>
      </c>
      <c r="AA6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3" s="143">
        <f>Table2[[#This Row],[ActualAwayScore]]-Table2[[#This Row],[PredictedAwayScore]]</f>
        <v>0</v>
      </c>
      <c r="AG683" s="143">
        <f>Table2[[#This Row],[ActualHomeScore]]-Table2[[#This Row],[PredictedHomeScore]]</f>
        <v>0</v>
      </c>
      <c r="AH683" s="143">
        <f t="shared" si="57"/>
        <v>0</v>
      </c>
      <c r="AI683" s="143">
        <f t="shared" si="58"/>
        <v>0</v>
      </c>
      <c r="AJ683" s="143"/>
      <c r="AK683" s="141"/>
      <c r="AL683" s="143">
        <f>IF(Table2[[#This Row],[GameIsOver]]=0,0,IF(Table2[[#This Row],[ActualWinner]]=Table2[[#This Row],[AwayTeam]], 1, 0))</f>
        <v>0</v>
      </c>
      <c r="AM683" s="143">
        <f>IF(Table2[[#This Row],[GameIsOver]]=0,0,IF(Table2[[#This Row],[ActualWinner]]=Table2[[#This Row],[HomeTeam]], 1, 0))</f>
        <v>0</v>
      </c>
      <c r="AN6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3" s="143" t="str">
        <f>INDEX(Sheet5!$B$2:$AG$33, MATCH(Table2[[#This Row],[AwayTeam]],Sheet5!$A$2:$A$33, 0), MATCH(Table2[[#This Row],[HomeTeam]],Sheet5!$A$2:$A$33, 0))</f>
        <v>1-1-0</v>
      </c>
      <c r="AP683" s="143" t="str">
        <f>INDEX(Sheet5!$B$2:$AG$33, MATCH(Table2[[#This Row],[HomeTeam]],Sheet5!$A$2:$A$33, 0), MATCH(Table2[[#This Row],[AwayTeam]],Sheet5!$A$2:$A$33, 0))</f>
        <v>1-0-1</v>
      </c>
      <c r="AQ683" s="143">
        <f>IF(Table2[[#This Row],[GameHasShutOut]], 1, 0)</f>
        <v>0</v>
      </c>
      <c r="AR683" s="143">
        <f>IF(Table2[[#This Row],[ActualAwayScore]] + Table2[[#This Row],[ActualHomeScore]] &gt;= 10, 1, 0)</f>
        <v>0</v>
      </c>
      <c r="AS683" s="143">
        <f>IF(ABS(Table2[[#This Row],[ActualAwayScore]]-Table2[[#This Row],[ActualHomeScore]])&gt;=5, 1, 0)</f>
        <v>0</v>
      </c>
      <c r="AT683" s="143">
        <f>IF(Table2[[#This Row],[ActualAwayScore]] + Table2[[#This Row],[ActualHomeScore]] &lt;= 3, 1, 0)</f>
        <v>1</v>
      </c>
      <c r="AU6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4" spans="1:49" x14ac:dyDescent="0.25">
      <c r="A684" s="3"/>
      <c r="B684" s="3">
        <v>46030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5" spans="1:49" x14ac:dyDescent="0.25">
      <c r="A685" s="3"/>
      <c r="B685" s="3">
        <v>46030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6" spans="1:49" x14ac:dyDescent="0.25">
      <c r="A686" s="3"/>
      <c r="B686" s="3">
        <v>46030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7" spans="1:49" x14ac:dyDescent="0.25">
      <c r="A687" s="3"/>
      <c r="B687" s="3">
        <v>46030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8" spans="1:49" x14ac:dyDescent="0.25">
      <c r="A688" s="3"/>
      <c r="B688" s="3">
        <v>46030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9" spans="1:49" x14ac:dyDescent="0.25">
      <c r="A689" s="3"/>
      <c r="B689" s="3">
        <v>46030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0" spans="1:49" x14ac:dyDescent="0.25">
      <c r="A690" s="3"/>
      <c r="B690" s="3">
        <v>46030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1" spans="1:49" x14ac:dyDescent="0.25">
      <c r="A691" s="3"/>
      <c r="B691" s="3">
        <v>46030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2" spans="1:49" x14ac:dyDescent="0.25">
      <c r="A692" s="3"/>
      <c r="B692" s="3">
        <v>46030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3" spans="1:49" x14ac:dyDescent="0.25">
      <c r="A693" s="3"/>
      <c r="B693" s="3">
        <v>46030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3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6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4" spans="1:49" x14ac:dyDescent="0.25">
      <c r="A694" s="3"/>
      <c r="B694" s="3">
        <v>46030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4" s="2" t="str">
        <f>INDEX(Sheet5!$B$2:$AG$33, MATCH(Table2[[#This Row],[AwayTeam]],Sheet5!$A$2:$A$33, 0), MATCH(Table2[[#This Row],[HomeTeam]],Sheet5!$A$2:$A$33, 0))</f>
        <v>0-1-0</v>
      </c>
      <c r="AP694" s="2" t="str">
        <f>INDEX(Sheet5!$B$2:$AG$33, MATCH(Table2[[#This Row],[HomeTeam]],Sheet5!$A$2:$A$33, 0), MATCH(Table2[[#This Row],[AwayTeam]],Sheet5!$A$2:$A$33, 0))</f>
        <v>1-0-0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5" spans="1:49" x14ac:dyDescent="0.25">
      <c r="A695" s="141"/>
      <c r="B695" s="141">
        <v>46030</v>
      </c>
      <c r="C695" s="142">
        <v>2025020693</v>
      </c>
      <c r="D695" s="143" t="s">
        <v>36</v>
      </c>
      <c r="E695" s="143" t="s">
        <v>11</v>
      </c>
      <c r="F695" s="143"/>
      <c r="G695" s="143"/>
      <c r="H695" s="143" t="str">
        <f t="shared" si="54"/>
        <v>_</v>
      </c>
      <c r="I695" s="143"/>
      <c r="J695" s="143"/>
      <c r="K695" s="143"/>
      <c r="L695" s="143" t="str">
        <f t="shared" si="55"/>
        <v>_</v>
      </c>
      <c r="M695" s="143"/>
      <c r="N695" s="143">
        <f>IF(ISBLANK(Table2[[#This Row],[ActualResult]]), 0, 1)</f>
        <v>0</v>
      </c>
      <c r="O695" s="143" t="str">
        <f>IF(ISBLANK(Table2[[#This Row],[ActualResult]]), "_", IF(Table2[[#This Row],[ActualWinner]]=Table2[[#This Row],[PredictedWinner]], "Y", "N"))</f>
        <v>_</v>
      </c>
      <c r="P6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143"/>
      <c r="S695" s="143" t="str">
        <f t="shared" si="56"/>
        <v>_</v>
      </c>
      <c r="T6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143">
        <f>IF(Table2[[#This Row],[InterConf]]=1,IF(Table2[[#This Row],[InterDiv]]=0, 1, 0), 0)</f>
        <v>1</v>
      </c>
      <c r="W6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143"/>
      <c r="Y695" s="143"/>
      <c r="Z695" s="149">
        <f>IF(AND(Table2[[#This Row],[GameIsOver]]=1,Table2[[#This Row],[ActualHomeScore]]*Table2[[#This Row],[ActualAwayScore]]=0), 1,0)</f>
        <v>0</v>
      </c>
      <c r="AA6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5" s="143">
        <f>Table2[[#This Row],[ActualAwayScore]]-Table2[[#This Row],[PredictedAwayScore]]</f>
        <v>0</v>
      </c>
      <c r="AG695" s="143">
        <f>Table2[[#This Row],[ActualHomeScore]]-Table2[[#This Row],[PredictedHomeScore]]</f>
        <v>0</v>
      </c>
      <c r="AH695" s="143">
        <f t="shared" si="57"/>
        <v>0</v>
      </c>
      <c r="AI695" s="143">
        <f t="shared" si="58"/>
        <v>0</v>
      </c>
      <c r="AJ695" s="143"/>
      <c r="AK695" s="141"/>
      <c r="AL695" s="143">
        <f>IF(Table2[[#This Row],[GameIsOver]]=0,0,IF(Table2[[#This Row],[ActualWinner]]=Table2[[#This Row],[AwayTeam]], 1, 0))</f>
        <v>0</v>
      </c>
      <c r="AM695" s="143">
        <f>IF(Table2[[#This Row],[GameIsOver]]=0,0,IF(Table2[[#This Row],[ActualWinner]]=Table2[[#This Row],[HomeTeam]], 1, 0))</f>
        <v>0</v>
      </c>
      <c r="AN6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5" s="143" t="str">
        <f>INDEX(Sheet5!$B$2:$AG$33, MATCH(Table2[[#This Row],[AwayTeam]],Sheet5!$A$2:$A$33, 0), MATCH(Table2[[#This Row],[HomeTeam]],Sheet5!$A$2:$A$33, 0))</f>
        <v>1-0-0</v>
      </c>
      <c r="AP695" s="143" t="str">
        <f>INDEX(Sheet5!$B$2:$AG$33, MATCH(Table2[[#This Row],[HomeTeam]],Sheet5!$A$2:$A$33, 0), MATCH(Table2[[#This Row],[AwayTeam]],Sheet5!$A$2:$A$33, 0))</f>
        <v>0-1-0</v>
      </c>
      <c r="AQ695" s="143">
        <f>IF(Table2[[#This Row],[GameHasShutOut]], 1, 0)</f>
        <v>0</v>
      </c>
      <c r="AR695" s="143">
        <f>IF(Table2[[#This Row],[ActualAwayScore]] + Table2[[#This Row],[ActualHomeScore]] &gt;= 10, 1, 0)</f>
        <v>0</v>
      </c>
      <c r="AS695" s="143">
        <f>IF(ABS(Table2[[#This Row],[ActualAwayScore]]-Table2[[#This Row],[ActualHomeScore]])&gt;=5, 1, 0)</f>
        <v>0</v>
      </c>
      <c r="AT695" s="143">
        <f>IF(Table2[[#This Row],[ActualAwayScore]] + Table2[[#This Row],[ActualHomeScore]] &lt;= 3, 1, 0)</f>
        <v>1</v>
      </c>
      <c r="AU6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6" spans="1:49" x14ac:dyDescent="0.25">
      <c r="A696" s="3"/>
      <c r="B696" s="3">
        <v>46031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7" spans="1:49" x14ac:dyDescent="0.25">
      <c r="A697" s="3"/>
      <c r="B697" s="3">
        <v>46031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8" spans="1:49" x14ac:dyDescent="0.25">
      <c r="A698" s="141"/>
      <c r="B698" s="141">
        <v>46031</v>
      </c>
      <c r="C698" s="142">
        <v>2025020696</v>
      </c>
      <c r="D698" s="143" t="s">
        <v>12</v>
      </c>
      <c r="E698" s="143" t="s">
        <v>14</v>
      </c>
      <c r="F698" s="143"/>
      <c r="G698" s="143"/>
      <c r="H698" s="143" t="str">
        <f t="shared" si="54"/>
        <v>_</v>
      </c>
      <c r="I698" s="143"/>
      <c r="J698" s="143"/>
      <c r="K698" s="143"/>
      <c r="L698" s="143" t="str">
        <f t="shared" si="55"/>
        <v>_</v>
      </c>
      <c r="M698" s="143"/>
      <c r="N698" s="143">
        <f>IF(ISBLANK(Table2[[#This Row],[ActualResult]]), 0, 1)</f>
        <v>0</v>
      </c>
      <c r="O698" s="143" t="str">
        <f>IF(ISBLANK(Table2[[#This Row],[ActualResult]]), "_", IF(Table2[[#This Row],[ActualWinner]]=Table2[[#This Row],[PredictedWinner]], "Y", "N"))</f>
        <v>_</v>
      </c>
      <c r="P69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143"/>
      <c r="S698" s="143" t="str">
        <f t="shared" si="56"/>
        <v>_</v>
      </c>
      <c r="T69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143">
        <f>IF(Table2[[#This Row],[InterConf]]=1,IF(Table2[[#This Row],[InterDiv]]=0, 1, 0), 0)</f>
        <v>0</v>
      </c>
      <c r="W69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143"/>
      <c r="Y698" s="143"/>
      <c r="Z698" s="149">
        <f>IF(AND(Table2[[#This Row],[GameIsOver]]=1,Table2[[#This Row],[ActualHomeScore]]*Table2[[#This Row],[ActualAwayScore]]=0), 1,0)</f>
        <v>0</v>
      </c>
      <c r="AA69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8" s="143">
        <f>Table2[[#This Row],[ActualAwayScore]]-Table2[[#This Row],[PredictedAwayScore]]</f>
        <v>0</v>
      </c>
      <c r="AG698" s="143">
        <f>Table2[[#This Row],[ActualHomeScore]]-Table2[[#This Row],[PredictedHomeScore]]</f>
        <v>0</v>
      </c>
      <c r="AH698" s="143">
        <f t="shared" si="57"/>
        <v>0</v>
      </c>
      <c r="AI698" s="143">
        <f t="shared" si="58"/>
        <v>0</v>
      </c>
      <c r="AJ698" s="143"/>
      <c r="AK698" s="141"/>
      <c r="AL698" s="143">
        <f>IF(Table2[[#This Row],[GameIsOver]]=0,0,IF(Table2[[#This Row],[ActualWinner]]=Table2[[#This Row],[AwayTeam]], 1, 0))</f>
        <v>0</v>
      </c>
      <c r="AM698" s="143">
        <f>IF(Table2[[#This Row],[GameIsOver]]=0,0,IF(Table2[[#This Row],[ActualWinner]]=Table2[[#This Row],[HomeTeam]], 1, 0))</f>
        <v>0</v>
      </c>
      <c r="AN69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8" s="143" t="str">
        <f>INDEX(Sheet5!$B$2:$AG$33, MATCH(Table2[[#This Row],[AwayTeam]],Sheet5!$A$2:$A$33, 0), MATCH(Table2[[#This Row],[HomeTeam]],Sheet5!$A$2:$A$33, 0))</f>
        <v>1-1-0</v>
      </c>
      <c r="AP698" s="143" t="str">
        <f>INDEX(Sheet5!$B$2:$AG$33, MATCH(Table2[[#This Row],[HomeTeam]],Sheet5!$A$2:$A$33, 0), MATCH(Table2[[#This Row],[AwayTeam]],Sheet5!$A$2:$A$33, 0))</f>
        <v>1-1-0</v>
      </c>
      <c r="AQ698" s="143">
        <f>IF(Table2[[#This Row],[GameHasShutOut]], 1, 0)</f>
        <v>0</v>
      </c>
      <c r="AR698" s="143">
        <f>IF(Table2[[#This Row],[ActualAwayScore]] + Table2[[#This Row],[ActualHomeScore]] &gt;= 10, 1, 0)</f>
        <v>0</v>
      </c>
      <c r="AS698" s="143">
        <f>IF(ABS(Table2[[#This Row],[ActualAwayScore]]-Table2[[#This Row],[ActualHomeScore]])&gt;=5, 1, 0)</f>
        <v>0</v>
      </c>
      <c r="AT698" s="143">
        <f>IF(Table2[[#This Row],[ActualAwayScore]] + Table2[[#This Row],[ActualHomeScore]] &lt;= 3, 1, 0)</f>
        <v>1</v>
      </c>
      <c r="AU69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9" spans="1:49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0" spans="1:49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01" spans="1:49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2" spans="1:49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3" spans="1:49" x14ac:dyDescent="0.25">
      <c r="A703" s="3"/>
      <c r="B703" s="3">
        <v>46032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4" spans="1:49" x14ac:dyDescent="0.25">
      <c r="A704" s="3"/>
      <c r="B704" s="3">
        <v>46032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5" spans="1:49" x14ac:dyDescent="0.25">
      <c r="A705" s="3"/>
      <c r="B705" s="3">
        <v>46032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6" spans="1:49" x14ac:dyDescent="0.25">
      <c r="A706" s="3"/>
      <c r="B706" s="3">
        <v>46032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7" spans="1:49" x14ac:dyDescent="0.25">
      <c r="A707" s="3"/>
      <c r="B707" s="3">
        <v>46032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8" spans="1:49" x14ac:dyDescent="0.25">
      <c r="A708" s="3"/>
      <c r="B708" s="3">
        <v>46032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9" spans="1:49" x14ac:dyDescent="0.25">
      <c r="A709" s="3"/>
      <c r="B709" s="3">
        <v>46032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0" spans="1:49" x14ac:dyDescent="0.25">
      <c r="A710" s="3"/>
      <c r="B710" s="3">
        <v>46032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1" spans="1:49" x14ac:dyDescent="0.25">
      <c r="A711" s="3"/>
      <c r="B711" s="3">
        <v>46032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2" spans="1:49" x14ac:dyDescent="0.25">
      <c r="A712" s="141"/>
      <c r="B712" s="141">
        <v>46032</v>
      </c>
      <c r="C712" s="142">
        <v>2025020710</v>
      </c>
      <c r="D712" s="143" t="s">
        <v>12</v>
      </c>
      <c r="E712" s="143" t="s">
        <v>26</v>
      </c>
      <c r="F712" s="143"/>
      <c r="G712" s="143"/>
      <c r="H712" s="143" t="str">
        <f t="shared" si="59"/>
        <v>_</v>
      </c>
      <c r="I712" s="143"/>
      <c r="J712" s="143"/>
      <c r="K712" s="143"/>
      <c r="L712" s="143" t="str">
        <f t="shared" si="60"/>
        <v>_</v>
      </c>
      <c r="M712" s="143"/>
      <c r="N712" s="143">
        <f>IF(ISBLANK(Table2[[#This Row],[ActualResult]]), 0, 1)</f>
        <v>0</v>
      </c>
      <c r="O712" s="143" t="str">
        <f>IF(ISBLANK(Table2[[#This Row],[ActualResult]]), "_", IF(Table2[[#This Row],[ActualWinner]]=Table2[[#This Row],[PredictedWinner]], "Y", "N"))</f>
        <v>_</v>
      </c>
      <c r="P7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143"/>
      <c r="S712" s="143" t="str">
        <f t="shared" si="61"/>
        <v>_</v>
      </c>
      <c r="T7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143">
        <f>IF(Table2[[#This Row],[InterConf]]=1,IF(Table2[[#This Row],[InterDiv]]=0, 1, 0), 0)</f>
        <v>1</v>
      </c>
      <c r="W7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143"/>
      <c r="Y712" s="143"/>
      <c r="Z712" s="149">
        <f>IF(AND(Table2[[#This Row],[GameIsOver]]=1,Table2[[#This Row],[ActualHomeScore]]*Table2[[#This Row],[ActualAwayScore]]=0), 1,0)</f>
        <v>0</v>
      </c>
      <c r="AA7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2" s="143">
        <f>Table2[[#This Row],[ActualAwayScore]]-Table2[[#This Row],[PredictedAwayScore]]</f>
        <v>0</v>
      </c>
      <c r="AG712" s="143">
        <f>Table2[[#This Row],[ActualHomeScore]]-Table2[[#This Row],[PredictedHomeScore]]</f>
        <v>0</v>
      </c>
      <c r="AH712" s="143">
        <f t="shared" si="62"/>
        <v>0</v>
      </c>
      <c r="AI712" s="143">
        <f t="shared" si="63"/>
        <v>0</v>
      </c>
      <c r="AJ712" s="143"/>
      <c r="AK712" s="141"/>
      <c r="AL712" s="143">
        <f>IF(Table2[[#This Row],[GameIsOver]]=0,0,IF(Table2[[#This Row],[ActualWinner]]=Table2[[#This Row],[AwayTeam]], 1, 0))</f>
        <v>0</v>
      </c>
      <c r="AM712" s="143">
        <f>IF(Table2[[#This Row],[GameIsOver]]=0,0,IF(Table2[[#This Row],[ActualWinner]]=Table2[[#This Row],[HomeTeam]], 1, 0))</f>
        <v>0</v>
      </c>
      <c r="AN7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2" s="143" t="str">
        <f>INDEX(Sheet5!$B$2:$AG$33, MATCH(Table2[[#This Row],[AwayTeam]],Sheet5!$A$2:$A$33, 0), MATCH(Table2[[#This Row],[HomeTeam]],Sheet5!$A$2:$A$33, 0))</f>
        <v>0-1-0</v>
      </c>
      <c r="AP712" s="143" t="str">
        <f>INDEX(Sheet5!$B$2:$AG$33, MATCH(Table2[[#This Row],[HomeTeam]],Sheet5!$A$2:$A$33, 0), MATCH(Table2[[#This Row],[AwayTeam]],Sheet5!$A$2:$A$33, 0))</f>
        <v>1-0-0</v>
      </c>
      <c r="AQ712" s="143">
        <f>IF(Table2[[#This Row],[GameHasShutOut]], 1, 0)</f>
        <v>0</v>
      </c>
      <c r="AR712" s="143">
        <f>IF(Table2[[#This Row],[ActualAwayScore]] + Table2[[#This Row],[ActualHomeScore]] &gt;= 10, 1, 0)</f>
        <v>0</v>
      </c>
      <c r="AS712" s="143">
        <f>IF(ABS(Table2[[#This Row],[ActualAwayScore]]-Table2[[#This Row],[ActualHomeScore]])&gt;=5, 1, 0)</f>
        <v>0</v>
      </c>
      <c r="AT712" s="143">
        <f>IF(Table2[[#This Row],[ActualAwayScore]] + Table2[[#This Row],[ActualHomeScore]] &lt;= 3, 1, 0)</f>
        <v>1</v>
      </c>
      <c r="AU7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3" spans="1:49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4" spans="1:49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5" spans="1:49" x14ac:dyDescent="0.25">
      <c r="A715" s="3"/>
      <c r="B715" s="3">
        <v>46033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6" spans="1:49" x14ac:dyDescent="0.25">
      <c r="A716" s="3"/>
      <c r="B716" s="3">
        <v>46033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7" spans="1:49" x14ac:dyDescent="0.25">
      <c r="A717" s="141"/>
      <c r="B717" s="141">
        <v>46033</v>
      </c>
      <c r="C717" s="142">
        <v>2025020715</v>
      </c>
      <c r="D717" s="143" t="s">
        <v>26</v>
      </c>
      <c r="E717" s="143" t="s">
        <v>37</v>
      </c>
      <c r="F717" s="143"/>
      <c r="G717" s="143"/>
      <c r="H717" s="143" t="str">
        <f t="shared" si="59"/>
        <v>_</v>
      </c>
      <c r="I717" s="143"/>
      <c r="J717" s="143"/>
      <c r="K717" s="143"/>
      <c r="L717" s="143" t="str">
        <f t="shared" si="60"/>
        <v>_</v>
      </c>
      <c r="M717" s="143"/>
      <c r="N717" s="143">
        <f>IF(ISBLANK(Table2[[#This Row],[ActualResult]]), 0, 1)</f>
        <v>0</v>
      </c>
      <c r="O717" s="143" t="str">
        <f>IF(ISBLANK(Table2[[#This Row],[ActualResult]]), "_", IF(Table2[[#This Row],[ActualWinner]]=Table2[[#This Row],[PredictedWinner]], "Y", "N"))</f>
        <v>_</v>
      </c>
      <c r="P71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143"/>
      <c r="S717" s="143" t="str">
        <f t="shared" si="61"/>
        <v>_</v>
      </c>
      <c r="T71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143">
        <f>IF(Table2[[#This Row],[InterConf]]=1,IF(Table2[[#This Row],[InterDiv]]=0, 1, 0), 0)</f>
        <v>0</v>
      </c>
      <c r="W71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143"/>
      <c r="Y717" s="143"/>
      <c r="Z717" s="149">
        <f>IF(AND(Table2[[#This Row],[GameIsOver]]=1,Table2[[#This Row],[ActualHomeScore]]*Table2[[#This Row],[ActualAwayScore]]=0), 1,0)</f>
        <v>0</v>
      </c>
      <c r="AA71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7" s="143">
        <f>Table2[[#This Row],[ActualAwayScore]]-Table2[[#This Row],[PredictedAwayScore]]</f>
        <v>0</v>
      </c>
      <c r="AG717" s="143">
        <f>Table2[[#This Row],[ActualHomeScore]]-Table2[[#This Row],[PredictedHomeScore]]</f>
        <v>0</v>
      </c>
      <c r="AH717" s="143">
        <f t="shared" si="62"/>
        <v>0</v>
      </c>
      <c r="AI717" s="143">
        <f t="shared" si="63"/>
        <v>0</v>
      </c>
      <c r="AJ717" s="143"/>
      <c r="AK717" s="141"/>
      <c r="AL717" s="143">
        <f>IF(Table2[[#This Row],[GameIsOver]]=0,0,IF(Table2[[#This Row],[ActualWinner]]=Table2[[#This Row],[AwayTeam]], 1, 0))</f>
        <v>0</v>
      </c>
      <c r="AM717" s="143">
        <f>IF(Table2[[#This Row],[GameIsOver]]=0,0,IF(Table2[[#This Row],[ActualWinner]]=Table2[[#This Row],[HomeTeam]], 1, 0))</f>
        <v>0</v>
      </c>
      <c r="AN71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7" s="143" t="str">
        <f>INDEX(Sheet5!$B$2:$AG$33, MATCH(Table2[[#This Row],[AwayTeam]],Sheet5!$A$2:$A$33, 0), MATCH(Table2[[#This Row],[HomeTeam]],Sheet5!$A$2:$A$33, 0))</f>
        <v>2-0-0</v>
      </c>
      <c r="AP717" s="143" t="str">
        <f>INDEX(Sheet5!$B$2:$AG$33, MATCH(Table2[[#This Row],[HomeTeam]],Sheet5!$A$2:$A$33, 0), MATCH(Table2[[#This Row],[AwayTeam]],Sheet5!$A$2:$A$33, 0))</f>
        <v>0-1-1</v>
      </c>
      <c r="AQ717" s="143">
        <f>IF(Table2[[#This Row],[GameHasShutOut]], 1, 0)</f>
        <v>0</v>
      </c>
      <c r="AR717" s="143">
        <f>IF(Table2[[#This Row],[ActualAwayScore]] + Table2[[#This Row],[ActualHomeScore]] &gt;= 10, 1, 0)</f>
        <v>0</v>
      </c>
      <c r="AS717" s="143">
        <f>IF(ABS(Table2[[#This Row],[ActualAwayScore]]-Table2[[#This Row],[ActualHomeScore]])&gt;=5, 1, 0)</f>
        <v>0</v>
      </c>
      <c r="AT717" s="143">
        <f>IF(Table2[[#This Row],[ActualAwayScore]] + Table2[[#This Row],[ActualHomeScore]] &lt;= 3, 1, 0)</f>
        <v>1</v>
      </c>
      <c r="AU71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8" spans="1:49" x14ac:dyDescent="0.25">
      <c r="A718" s="3"/>
      <c r="B718" s="3">
        <v>46034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9" spans="1:49" x14ac:dyDescent="0.25">
      <c r="A719" s="3"/>
      <c r="B719" s="3">
        <v>46034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0" spans="1:49" x14ac:dyDescent="0.25">
      <c r="A720" s="3"/>
      <c r="B720" s="3">
        <v>46034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1" spans="1:49" x14ac:dyDescent="0.25">
      <c r="A721" s="3"/>
      <c r="B721" s="3">
        <v>46034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2" spans="1:49" x14ac:dyDescent="0.25">
      <c r="A722" s="3"/>
      <c r="B722" s="3">
        <v>46034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3" spans="1:49" x14ac:dyDescent="0.25">
      <c r="A723" s="3"/>
      <c r="B723" s="3">
        <v>46034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4" spans="1:49" x14ac:dyDescent="0.25">
      <c r="A724" s="3"/>
      <c r="B724" s="3">
        <v>46034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5" spans="1:49" x14ac:dyDescent="0.25">
      <c r="A725" s="3"/>
      <c r="B725" s="3">
        <v>46034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7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7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6" spans="1:49" x14ac:dyDescent="0.25">
      <c r="A726" s="141"/>
      <c r="B726" s="141">
        <v>46034</v>
      </c>
      <c r="C726" s="142">
        <v>2025020724</v>
      </c>
      <c r="D726" s="143" t="s">
        <v>33</v>
      </c>
      <c r="E726" s="143" t="s">
        <v>27</v>
      </c>
      <c r="F726" s="143"/>
      <c r="G726" s="143"/>
      <c r="H726" s="143" t="str">
        <f t="shared" si="59"/>
        <v>_</v>
      </c>
      <c r="I726" s="143"/>
      <c r="J726" s="143"/>
      <c r="K726" s="143"/>
      <c r="L726" s="143" t="str">
        <f t="shared" si="60"/>
        <v>_</v>
      </c>
      <c r="M726" s="143"/>
      <c r="N726" s="143">
        <f>IF(ISBLANK(Table2[[#This Row],[ActualResult]]), 0, 1)</f>
        <v>0</v>
      </c>
      <c r="O726" s="143" t="str">
        <f>IF(ISBLANK(Table2[[#This Row],[ActualResult]]), "_", IF(Table2[[#This Row],[ActualWinner]]=Table2[[#This Row],[PredictedWinner]], "Y", "N"))</f>
        <v>_</v>
      </c>
      <c r="P7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143"/>
      <c r="S726" s="143" t="str">
        <f t="shared" si="61"/>
        <v>_</v>
      </c>
      <c r="T7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143">
        <f>IF(Table2[[#This Row],[InterConf]]=1,IF(Table2[[#This Row],[InterDiv]]=0, 1, 0), 0)</f>
        <v>1</v>
      </c>
      <c r="W7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143"/>
      <c r="Y726" s="143"/>
      <c r="Z726" s="149">
        <f>IF(AND(Table2[[#This Row],[GameIsOver]]=1,Table2[[#This Row],[ActualHomeScore]]*Table2[[#This Row],[ActualAwayScore]]=0), 1,0)</f>
        <v>0</v>
      </c>
      <c r="AA7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6" s="143">
        <f>Table2[[#This Row],[ActualAwayScore]]-Table2[[#This Row],[PredictedAwayScore]]</f>
        <v>0</v>
      </c>
      <c r="AG726" s="143">
        <f>Table2[[#This Row],[ActualHomeScore]]-Table2[[#This Row],[PredictedHomeScore]]</f>
        <v>0</v>
      </c>
      <c r="AH726" s="143">
        <f t="shared" si="62"/>
        <v>0</v>
      </c>
      <c r="AI726" s="143">
        <f t="shared" si="63"/>
        <v>0</v>
      </c>
      <c r="AJ726" s="143"/>
      <c r="AK726" s="141"/>
      <c r="AL726" s="143">
        <f>IF(Table2[[#This Row],[GameIsOver]]=0,0,IF(Table2[[#This Row],[ActualWinner]]=Table2[[#This Row],[AwayTeam]], 1, 0))</f>
        <v>0</v>
      </c>
      <c r="AM726" s="143">
        <f>IF(Table2[[#This Row],[GameIsOver]]=0,0,IF(Table2[[#This Row],[ActualWinner]]=Table2[[#This Row],[HomeTeam]], 1, 0))</f>
        <v>0</v>
      </c>
      <c r="AN7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6" s="143" t="str">
        <f>INDEX(Sheet5!$B$2:$AG$33, MATCH(Table2[[#This Row],[AwayTeam]],Sheet5!$A$2:$A$33, 0), MATCH(Table2[[#This Row],[HomeTeam]],Sheet5!$A$2:$A$33, 0))</f>
        <v>1-0-1</v>
      </c>
      <c r="AP726" s="143" t="str">
        <f>INDEX(Sheet5!$B$2:$AG$33, MATCH(Table2[[#This Row],[HomeTeam]],Sheet5!$A$2:$A$33, 0), MATCH(Table2[[#This Row],[AwayTeam]],Sheet5!$A$2:$A$33, 0))</f>
        <v>1-1-0</v>
      </c>
      <c r="AQ726" s="143">
        <f>IF(Table2[[#This Row],[GameHasShutOut]], 1, 0)</f>
        <v>0</v>
      </c>
      <c r="AR726" s="143">
        <f>IF(Table2[[#This Row],[ActualAwayScore]] + Table2[[#This Row],[ActualHomeScore]] &gt;= 10, 1, 0)</f>
        <v>0</v>
      </c>
      <c r="AS726" s="143">
        <f>IF(ABS(Table2[[#This Row],[ActualAwayScore]]-Table2[[#This Row],[ActualHomeScore]])&gt;=5, 1, 0)</f>
        <v>0</v>
      </c>
      <c r="AT726" s="143">
        <f>IF(Table2[[#This Row],[ActualAwayScore]] + Table2[[#This Row],[ActualHomeScore]] &lt;= 3, 1, 0)</f>
        <v>1</v>
      </c>
      <c r="AU7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7" spans="1:49" x14ac:dyDescent="0.25">
      <c r="A727" s="3"/>
      <c r="B727" s="3">
        <v>46035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8" spans="1:49" x14ac:dyDescent="0.25">
      <c r="A728" s="3"/>
      <c r="B728" s="3">
        <v>46035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9" spans="1:49" x14ac:dyDescent="0.25">
      <c r="A729" s="3"/>
      <c r="B729" s="3">
        <v>46035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0" spans="1:49" x14ac:dyDescent="0.25">
      <c r="A730" s="3"/>
      <c r="B730" s="3">
        <v>46035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31" spans="1:49" x14ac:dyDescent="0.25">
      <c r="A731" s="3"/>
      <c r="B731" s="3">
        <v>46035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2" spans="1:49" x14ac:dyDescent="0.25">
      <c r="A732" s="3"/>
      <c r="B732" s="3">
        <v>46035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3" spans="1:49" x14ac:dyDescent="0.25">
      <c r="A733" s="3"/>
      <c r="B733" s="3">
        <v>46035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4" spans="1:49" x14ac:dyDescent="0.25">
      <c r="A734" s="3"/>
      <c r="B734" s="3">
        <v>46035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5" spans="1:49" x14ac:dyDescent="0.25">
      <c r="A735" s="3"/>
      <c r="B735" s="3">
        <v>46035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6" spans="1:49" x14ac:dyDescent="0.25">
      <c r="A736" s="141"/>
      <c r="B736" s="141">
        <v>46035</v>
      </c>
      <c r="C736" s="142">
        <v>2025020734</v>
      </c>
      <c r="D736" s="143" t="s">
        <v>33</v>
      </c>
      <c r="E736" s="143" t="s">
        <v>44</v>
      </c>
      <c r="F736" s="143"/>
      <c r="G736" s="143"/>
      <c r="H736" s="143" t="str">
        <f t="shared" si="59"/>
        <v>_</v>
      </c>
      <c r="I736" s="143"/>
      <c r="J736" s="143"/>
      <c r="K736" s="143"/>
      <c r="L736" s="143" t="str">
        <f t="shared" si="60"/>
        <v>_</v>
      </c>
      <c r="M736" s="143"/>
      <c r="N736" s="143">
        <f>IF(ISBLANK(Table2[[#This Row],[ActualResult]]), 0, 1)</f>
        <v>0</v>
      </c>
      <c r="O736" s="143" t="str">
        <f>IF(ISBLANK(Table2[[#This Row],[ActualResult]]), "_", IF(Table2[[#This Row],[ActualWinner]]=Table2[[#This Row],[PredictedWinner]], "Y", "N"))</f>
        <v>_</v>
      </c>
      <c r="P7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143"/>
      <c r="S736" s="143" t="str">
        <f t="shared" si="61"/>
        <v>_</v>
      </c>
      <c r="T7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143">
        <f>IF(Table2[[#This Row],[InterConf]]=1,IF(Table2[[#This Row],[InterDiv]]=0, 1, 0), 0)</f>
        <v>1</v>
      </c>
      <c r="W7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143"/>
      <c r="Y736" s="143"/>
      <c r="Z736" s="149">
        <f>IF(AND(Table2[[#This Row],[GameIsOver]]=1,Table2[[#This Row],[ActualHomeScore]]*Table2[[#This Row],[ActualAwayScore]]=0), 1,0)</f>
        <v>0</v>
      </c>
      <c r="AA7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6" s="143">
        <f>Table2[[#This Row],[ActualAwayScore]]-Table2[[#This Row],[PredictedAwayScore]]</f>
        <v>0</v>
      </c>
      <c r="AG736" s="143">
        <f>Table2[[#This Row],[ActualHomeScore]]-Table2[[#This Row],[PredictedHomeScore]]</f>
        <v>0</v>
      </c>
      <c r="AH736" s="143">
        <f t="shared" si="62"/>
        <v>0</v>
      </c>
      <c r="AI736" s="143">
        <f t="shared" si="63"/>
        <v>0</v>
      </c>
      <c r="AJ736" s="143"/>
      <c r="AK736" s="141"/>
      <c r="AL736" s="143">
        <f>IF(Table2[[#This Row],[GameIsOver]]=0,0,IF(Table2[[#This Row],[ActualWinner]]=Table2[[#This Row],[AwayTeam]], 1, 0))</f>
        <v>0</v>
      </c>
      <c r="AM736" s="143">
        <f>IF(Table2[[#This Row],[GameIsOver]]=0,0,IF(Table2[[#This Row],[ActualWinner]]=Table2[[#This Row],[HomeTeam]], 1, 0))</f>
        <v>0</v>
      </c>
      <c r="AN7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6" s="143" t="str">
        <f>INDEX(Sheet5!$B$2:$AG$33, MATCH(Table2[[#This Row],[AwayTeam]],Sheet5!$A$2:$A$33, 0), MATCH(Table2[[#This Row],[HomeTeam]],Sheet5!$A$2:$A$33, 0))</f>
        <v>0-1-0</v>
      </c>
      <c r="AP736" s="143" t="str">
        <f>INDEX(Sheet5!$B$2:$AG$33, MATCH(Table2[[#This Row],[HomeTeam]],Sheet5!$A$2:$A$33, 0), MATCH(Table2[[#This Row],[AwayTeam]],Sheet5!$A$2:$A$33, 0))</f>
        <v>1-0-0</v>
      </c>
      <c r="AQ736" s="143">
        <f>IF(Table2[[#This Row],[GameHasShutOut]], 1, 0)</f>
        <v>0</v>
      </c>
      <c r="AR736" s="143">
        <f>IF(Table2[[#This Row],[ActualAwayScore]] + Table2[[#This Row],[ActualHomeScore]] &gt;= 10, 1, 0)</f>
        <v>0</v>
      </c>
      <c r="AS736" s="143">
        <f>IF(ABS(Table2[[#This Row],[ActualAwayScore]]-Table2[[#This Row],[ActualHomeScore]])&gt;=5, 1, 0)</f>
        <v>0</v>
      </c>
      <c r="AT736" s="143">
        <f>IF(Table2[[#This Row],[ActualAwayScore]] + Table2[[#This Row],[ActualHomeScore]] &lt;= 3, 1, 0)</f>
        <v>1</v>
      </c>
      <c r="AU7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7" spans="1:49" x14ac:dyDescent="0.25">
      <c r="A737" s="3"/>
      <c r="B737" s="3">
        <v>46036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8" spans="1:49" x14ac:dyDescent="0.25">
      <c r="A738" s="3"/>
      <c r="B738" s="3">
        <v>46036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9" spans="1:49" x14ac:dyDescent="0.25">
      <c r="A739" s="3"/>
      <c r="B739" s="3">
        <v>46036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0" spans="1:49" x14ac:dyDescent="0.25">
      <c r="A740" s="141"/>
      <c r="B740" s="141">
        <v>46036</v>
      </c>
      <c r="C740" s="142">
        <v>2025020738</v>
      </c>
      <c r="D740" s="143" t="s">
        <v>26</v>
      </c>
      <c r="E740" s="143" t="s">
        <v>27</v>
      </c>
      <c r="F740" s="143"/>
      <c r="G740" s="143"/>
      <c r="H740" s="143" t="str">
        <f t="shared" si="59"/>
        <v>_</v>
      </c>
      <c r="I740" s="143"/>
      <c r="J740" s="143"/>
      <c r="K740" s="143"/>
      <c r="L740" s="143" t="str">
        <f t="shared" si="60"/>
        <v>_</v>
      </c>
      <c r="M740" s="143"/>
      <c r="N740" s="143">
        <f>IF(ISBLANK(Table2[[#This Row],[ActualResult]]), 0, 1)</f>
        <v>0</v>
      </c>
      <c r="O740" s="143" t="str">
        <f>IF(ISBLANK(Table2[[#This Row],[ActualResult]]), "_", IF(Table2[[#This Row],[ActualWinner]]=Table2[[#This Row],[PredictedWinner]], "Y", "N"))</f>
        <v>_</v>
      </c>
      <c r="P74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143"/>
      <c r="S740" s="143" t="str">
        <f t="shared" si="61"/>
        <v>_</v>
      </c>
      <c r="T74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143">
        <f>IF(Table2[[#This Row],[InterConf]]=1,IF(Table2[[#This Row],[InterDiv]]=0, 1, 0), 0)</f>
        <v>0</v>
      </c>
      <c r="W74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143"/>
      <c r="Y740" s="143"/>
      <c r="Z740" s="149">
        <f>IF(AND(Table2[[#This Row],[GameIsOver]]=1,Table2[[#This Row],[ActualHomeScore]]*Table2[[#This Row],[ActualAwayScore]]=0), 1,0)</f>
        <v>0</v>
      </c>
      <c r="AA74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40" s="143">
        <f>Table2[[#This Row],[ActualAwayScore]]-Table2[[#This Row],[PredictedAwayScore]]</f>
        <v>0</v>
      </c>
      <c r="AG740" s="143">
        <f>Table2[[#This Row],[ActualHomeScore]]-Table2[[#This Row],[PredictedHomeScore]]</f>
        <v>0</v>
      </c>
      <c r="AH740" s="143">
        <f t="shared" si="62"/>
        <v>0</v>
      </c>
      <c r="AI740" s="143">
        <f t="shared" si="63"/>
        <v>0</v>
      </c>
      <c r="AJ740" s="143"/>
      <c r="AK740" s="141"/>
      <c r="AL740" s="143">
        <f>IF(Table2[[#This Row],[GameIsOver]]=0,0,IF(Table2[[#This Row],[ActualWinner]]=Table2[[#This Row],[AwayTeam]], 1, 0))</f>
        <v>0</v>
      </c>
      <c r="AM740" s="143">
        <f>IF(Table2[[#This Row],[GameIsOver]]=0,0,IF(Table2[[#This Row],[ActualWinner]]=Table2[[#This Row],[HomeTeam]], 1, 0))</f>
        <v>0</v>
      </c>
      <c r="AN74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0" s="143" t="str">
        <f>INDEX(Sheet5!$B$2:$AG$33, MATCH(Table2[[#This Row],[AwayTeam]],Sheet5!$A$2:$A$33, 0), MATCH(Table2[[#This Row],[HomeTeam]],Sheet5!$A$2:$A$33, 0))</f>
        <v>0-0-1</v>
      </c>
      <c r="AP740" s="143" t="str">
        <f>INDEX(Sheet5!$B$2:$AG$33, MATCH(Table2[[#This Row],[HomeTeam]],Sheet5!$A$2:$A$33, 0), MATCH(Table2[[#This Row],[AwayTeam]],Sheet5!$A$2:$A$33, 0))</f>
        <v>1-0-0</v>
      </c>
      <c r="AQ740" s="143">
        <f>IF(Table2[[#This Row],[GameHasShutOut]], 1, 0)</f>
        <v>0</v>
      </c>
      <c r="AR740" s="143">
        <f>IF(Table2[[#This Row],[ActualAwayScore]] + Table2[[#This Row],[ActualHomeScore]] &gt;= 10, 1, 0)</f>
        <v>0</v>
      </c>
      <c r="AS740" s="143">
        <f>IF(ABS(Table2[[#This Row],[ActualAwayScore]]-Table2[[#This Row],[ActualHomeScore]])&gt;=5, 1, 0)</f>
        <v>0</v>
      </c>
      <c r="AT740" s="143">
        <f>IF(Table2[[#This Row],[ActualAwayScore]] + Table2[[#This Row],[ActualHomeScore]] &lt;= 3, 1, 0)</f>
        <v>1</v>
      </c>
      <c r="AU74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1" spans="1:49" x14ac:dyDescent="0.25">
      <c r="A741" s="3"/>
      <c r="B741" s="3">
        <v>46037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2" spans="1:49" x14ac:dyDescent="0.25">
      <c r="A742" s="3"/>
      <c r="B742" s="3">
        <v>46037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4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3" spans="1:49" x14ac:dyDescent="0.25">
      <c r="A743" s="3"/>
      <c r="B743" s="3">
        <v>46037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4" spans="1:49" x14ac:dyDescent="0.25">
      <c r="A744" s="3"/>
      <c r="B744" s="3">
        <v>46037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5" spans="1:49" x14ac:dyDescent="0.25">
      <c r="A745" s="3"/>
      <c r="B745" s="3">
        <v>46037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6" spans="1:49" x14ac:dyDescent="0.25">
      <c r="A746" s="3"/>
      <c r="B746" s="3">
        <v>46037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7" spans="1:49" x14ac:dyDescent="0.25">
      <c r="A747" s="3"/>
      <c r="B747" s="3">
        <v>46037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48" spans="1:49" x14ac:dyDescent="0.25">
      <c r="A748" s="3"/>
      <c r="B748" s="3">
        <v>46037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9" spans="1:49" x14ac:dyDescent="0.25">
      <c r="A749" s="3"/>
      <c r="B749" s="3">
        <v>46037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0" spans="1:49" x14ac:dyDescent="0.25">
      <c r="A750" s="141"/>
      <c r="B750" s="141">
        <v>46037</v>
      </c>
      <c r="C750" s="142">
        <v>2025020748</v>
      </c>
      <c r="D750" s="143" t="s">
        <v>17</v>
      </c>
      <c r="E750" s="143" t="s">
        <v>26</v>
      </c>
      <c r="F750" s="143"/>
      <c r="G750" s="143"/>
      <c r="H750" s="143" t="str">
        <f t="shared" si="59"/>
        <v>_</v>
      </c>
      <c r="I750" s="143"/>
      <c r="J750" s="143"/>
      <c r="K750" s="143"/>
      <c r="L750" s="143" t="str">
        <f t="shared" si="60"/>
        <v>_</v>
      </c>
      <c r="M750" s="143"/>
      <c r="N750" s="143">
        <f>IF(ISBLANK(Table2[[#This Row],[ActualResult]]), 0, 1)</f>
        <v>0</v>
      </c>
      <c r="O750" s="143" t="str">
        <f>IF(ISBLANK(Table2[[#This Row],[ActualResult]]), "_", IF(Table2[[#This Row],[ActualWinner]]=Table2[[#This Row],[PredictedWinner]], "Y", "N"))</f>
        <v>_</v>
      </c>
      <c r="P7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143"/>
      <c r="S750" s="143" t="str">
        <f t="shared" si="61"/>
        <v>_</v>
      </c>
      <c r="T7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143">
        <f>IF(Table2[[#This Row],[InterConf]]=1,IF(Table2[[#This Row],[InterDiv]]=0, 1, 0), 0)</f>
        <v>0</v>
      </c>
      <c r="W7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143"/>
      <c r="Y750" s="143"/>
      <c r="Z750" s="149">
        <f>IF(AND(Table2[[#This Row],[GameIsOver]]=1,Table2[[#This Row],[ActualHomeScore]]*Table2[[#This Row],[ActualAwayScore]]=0), 1,0)</f>
        <v>0</v>
      </c>
      <c r="AA7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50" s="143">
        <f>Table2[[#This Row],[ActualAwayScore]]-Table2[[#This Row],[PredictedAwayScore]]</f>
        <v>0</v>
      </c>
      <c r="AG750" s="143">
        <f>Table2[[#This Row],[ActualHomeScore]]-Table2[[#This Row],[PredictedHomeScore]]</f>
        <v>0</v>
      </c>
      <c r="AH750" s="143">
        <f t="shared" si="62"/>
        <v>0</v>
      </c>
      <c r="AI750" s="143">
        <f t="shared" si="63"/>
        <v>0</v>
      </c>
      <c r="AJ750" s="143"/>
      <c r="AK750" s="141"/>
      <c r="AL750" s="143">
        <f>IF(Table2[[#This Row],[GameIsOver]]=0,0,IF(Table2[[#This Row],[ActualWinner]]=Table2[[#This Row],[AwayTeam]], 1, 0))</f>
        <v>0</v>
      </c>
      <c r="AM750" s="143">
        <f>IF(Table2[[#This Row],[GameIsOver]]=0,0,IF(Table2[[#This Row],[ActualWinner]]=Table2[[#This Row],[HomeTeam]], 1, 0))</f>
        <v>0</v>
      </c>
      <c r="AN7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0" s="143" t="str">
        <f>INDEX(Sheet5!$B$2:$AG$33, MATCH(Table2[[#This Row],[AwayTeam]],Sheet5!$A$2:$A$33, 0), MATCH(Table2[[#This Row],[HomeTeam]],Sheet5!$A$2:$A$33, 0))</f>
        <v>0-0-0</v>
      </c>
      <c r="AP750" s="143" t="str">
        <f>INDEX(Sheet5!$B$2:$AG$33, MATCH(Table2[[#This Row],[HomeTeam]],Sheet5!$A$2:$A$33, 0), MATCH(Table2[[#This Row],[AwayTeam]],Sheet5!$A$2:$A$33, 0))</f>
        <v>0-0-0</v>
      </c>
      <c r="AQ750" s="143">
        <f>IF(Table2[[#This Row],[GameHasShutOut]], 1, 0)</f>
        <v>0</v>
      </c>
      <c r="AR750" s="143">
        <f>IF(Table2[[#This Row],[ActualAwayScore]] + Table2[[#This Row],[ActualHomeScore]] &gt;= 10, 1, 0)</f>
        <v>0</v>
      </c>
      <c r="AS750" s="143">
        <f>IF(ABS(Table2[[#This Row],[ActualAwayScore]]-Table2[[#This Row],[ActualHomeScore]])&gt;=5, 1, 0)</f>
        <v>0</v>
      </c>
      <c r="AT750" s="143">
        <f>IF(Table2[[#This Row],[ActualAwayScore]] + Table2[[#This Row],[ActualHomeScore]] &lt;= 3, 1, 0)</f>
        <v>1</v>
      </c>
      <c r="AU75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1" spans="1:49" x14ac:dyDescent="0.25">
      <c r="A751" s="3"/>
      <c r="B751" s="3">
        <v>46038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2" spans="1:49" x14ac:dyDescent="0.25">
      <c r="A752" s="3"/>
      <c r="B752" s="3">
        <v>46038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3" spans="1:49" x14ac:dyDescent="0.25">
      <c r="A753" s="3"/>
      <c r="B753" s="3">
        <v>46038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4" spans="1:49" x14ac:dyDescent="0.25">
      <c r="A754" s="3"/>
      <c r="B754" s="3">
        <v>46038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54" s="2" t="str">
        <f>INDEX(Sheet5!$B$2:$AG$33, MATCH(Table2[[#This Row],[AwayTeam]],Sheet5!$A$2:$A$33, 0), MATCH(Table2[[#This Row],[HomeTeam]],Sheet5!$A$2:$A$33, 0))</f>
        <v>1-2-0</v>
      </c>
      <c r="AP754" s="2" t="str">
        <f>INDEX(Sheet5!$B$2:$AG$33, MATCH(Table2[[#This Row],[HomeTeam]],Sheet5!$A$2:$A$33, 0), MATCH(Table2[[#This Row],[AwayTeam]],Sheet5!$A$2:$A$33, 0))</f>
        <v>2-0-1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5" spans="1:49" x14ac:dyDescent="0.25">
      <c r="A755" s="141"/>
      <c r="B755" s="141">
        <v>46038</v>
      </c>
      <c r="C755" s="142">
        <v>2025020753</v>
      </c>
      <c r="D755" s="143" t="s">
        <v>44</v>
      </c>
      <c r="E755" s="143" t="s">
        <v>27</v>
      </c>
      <c r="F755" s="143"/>
      <c r="G755" s="143"/>
      <c r="H755" s="143" t="str">
        <f t="shared" si="59"/>
        <v>_</v>
      </c>
      <c r="I755" s="143"/>
      <c r="J755" s="143"/>
      <c r="K755" s="143"/>
      <c r="L755" s="143" t="str">
        <f t="shared" si="60"/>
        <v>_</v>
      </c>
      <c r="M755" s="143"/>
      <c r="N755" s="143">
        <f>IF(ISBLANK(Table2[[#This Row],[ActualResult]]), 0, 1)</f>
        <v>0</v>
      </c>
      <c r="O755" s="143" t="str">
        <f>IF(ISBLANK(Table2[[#This Row],[ActualResult]]), "_", IF(Table2[[#This Row],[ActualWinner]]=Table2[[#This Row],[PredictedWinner]], "Y", "N"))</f>
        <v>_</v>
      </c>
      <c r="P75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143"/>
      <c r="S755" s="143" t="str">
        <f t="shared" si="61"/>
        <v>_</v>
      </c>
      <c r="T75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143">
        <f>IF(Table2[[#This Row],[InterConf]]=1,IF(Table2[[#This Row],[InterDiv]]=0, 1, 0), 0)</f>
        <v>0</v>
      </c>
      <c r="W75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143"/>
      <c r="Y755" s="143"/>
      <c r="Z755" s="149">
        <f>IF(AND(Table2[[#This Row],[GameIsOver]]=1,Table2[[#This Row],[ActualHomeScore]]*Table2[[#This Row],[ActualAwayScore]]=0), 1,0)</f>
        <v>0</v>
      </c>
      <c r="AA75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5" s="143">
        <f>Table2[[#This Row],[ActualAwayScore]]-Table2[[#This Row],[PredictedAwayScore]]</f>
        <v>0</v>
      </c>
      <c r="AG755" s="143">
        <f>Table2[[#This Row],[ActualHomeScore]]-Table2[[#This Row],[PredictedHomeScore]]</f>
        <v>0</v>
      </c>
      <c r="AH755" s="143">
        <f t="shared" si="62"/>
        <v>0</v>
      </c>
      <c r="AI755" s="143">
        <f t="shared" si="63"/>
        <v>0</v>
      </c>
      <c r="AJ755" s="143"/>
      <c r="AK755" s="141"/>
      <c r="AL755" s="143">
        <f>IF(Table2[[#This Row],[GameIsOver]]=0,0,IF(Table2[[#This Row],[ActualWinner]]=Table2[[#This Row],[AwayTeam]], 1, 0))</f>
        <v>0</v>
      </c>
      <c r="AM755" s="143">
        <f>IF(Table2[[#This Row],[GameIsOver]]=0,0,IF(Table2[[#This Row],[ActualWinner]]=Table2[[#This Row],[HomeTeam]], 1, 0))</f>
        <v>0</v>
      </c>
      <c r="AN75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5" s="143" t="str">
        <f>INDEX(Sheet5!$B$2:$AG$33, MATCH(Table2[[#This Row],[AwayTeam]],Sheet5!$A$2:$A$33, 0), MATCH(Table2[[#This Row],[HomeTeam]],Sheet5!$A$2:$A$33, 0))</f>
        <v>1-0-0</v>
      </c>
      <c r="AP755" s="143" t="str">
        <f>INDEX(Sheet5!$B$2:$AG$33, MATCH(Table2[[#This Row],[HomeTeam]],Sheet5!$A$2:$A$33, 0), MATCH(Table2[[#This Row],[AwayTeam]],Sheet5!$A$2:$A$33, 0))</f>
        <v>0-0-1</v>
      </c>
      <c r="AQ755" s="143">
        <f>IF(Table2[[#This Row],[GameHasShutOut]], 1, 0)</f>
        <v>0</v>
      </c>
      <c r="AR755" s="143">
        <f>IF(Table2[[#This Row],[ActualAwayScore]] + Table2[[#This Row],[ActualHomeScore]] &gt;= 10, 1, 0)</f>
        <v>0</v>
      </c>
      <c r="AS755" s="143">
        <f>IF(ABS(Table2[[#This Row],[ActualAwayScore]]-Table2[[#This Row],[ActualHomeScore]])&gt;=5, 1, 0)</f>
        <v>0</v>
      </c>
      <c r="AT755" s="143">
        <f>IF(Table2[[#This Row],[ActualAwayScore]] + Table2[[#This Row],[ActualHomeScore]] &lt;= 3, 1, 0)</f>
        <v>1</v>
      </c>
      <c r="AU75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6" spans="1:49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7" spans="1:49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8" spans="1:49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59" spans="1:49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9" s="2" t="str">
        <f>INDEX(Sheet5!$B$2:$AG$33, MATCH(Table2[[#This Row],[AwayTeam]],Sheet5!$A$2:$A$33, 0), MATCH(Table2[[#This Row],[HomeTeam]],Sheet5!$A$2:$A$33, 0))</f>
        <v>0-1-0</v>
      </c>
      <c r="AP759" s="2" t="str">
        <f>INDEX(Sheet5!$B$2:$AG$33, MATCH(Table2[[#This Row],[HomeTeam]],Sheet5!$A$2:$A$33, 0), MATCH(Table2[[#This Row],[AwayTeam]],Sheet5!$A$2:$A$33, 0))</f>
        <v>1-0-0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0" spans="1:49" x14ac:dyDescent="0.25">
      <c r="A760" s="3"/>
      <c r="B760" s="3">
        <v>46039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1" spans="1:49" x14ac:dyDescent="0.25">
      <c r="A761" s="3"/>
      <c r="B761" s="3">
        <v>46039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2" spans="1:49" x14ac:dyDescent="0.25">
      <c r="A762" s="3"/>
      <c r="B762" s="3">
        <v>46039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3" spans="1:49" x14ac:dyDescent="0.25">
      <c r="A763" s="3"/>
      <c r="B763" s="3">
        <v>46039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4" spans="1:49" x14ac:dyDescent="0.25">
      <c r="A764" s="3"/>
      <c r="B764" s="3">
        <v>46039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5" spans="1:49" x14ac:dyDescent="0.25">
      <c r="A765" s="3"/>
      <c r="B765" s="3">
        <v>46039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6" spans="1:49" x14ac:dyDescent="0.25">
      <c r="A766" s="3"/>
      <c r="B766" s="3">
        <v>46039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7" spans="1:49" x14ac:dyDescent="0.25">
      <c r="A767" s="3"/>
      <c r="B767" s="3">
        <v>46039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8" spans="1:49" x14ac:dyDescent="0.25">
      <c r="A768" s="141"/>
      <c r="B768" s="141">
        <v>46039</v>
      </c>
      <c r="C768" s="142">
        <v>2025020766</v>
      </c>
      <c r="D768" s="143" t="s">
        <v>27</v>
      </c>
      <c r="E768" s="143" t="s">
        <v>44</v>
      </c>
      <c r="F768" s="143"/>
      <c r="G768" s="143"/>
      <c r="H768" s="143" t="str">
        <f t="shared" si="59"/>
        <v>_</v>
      </c>
      <c r="I768" s="143"/>
      <c r="J768" s="143"/>
      <c r="K768" s="143"/>
      <c r="L768" s="143" t="str">
        <f t="shared" si="60"/>
        <v>_</v>
      </c>
      <c r="M768" s="143"/>
      <c r="N768" s="143">
        <f>IF(ISBLANK(Table2[[#This Row],[ActualResult]]), 0, 1)</f>
        <v>0</v>
      </c>
      <c r="O768" s="143" t="str">
        <f>IF(ISBLANK(Table2[[#This Row],[ActualResult]]), "_", IF(Table2[[#This Row],[ActualWinner]]=Table2[[#This Row],[PredictedWinner]], "Y", "N"))</f>
        <v>_</v>
      </c>
      <c r="P7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143"/>
      <c r="S768" s="143" t="str">
        <f t="shared" si="61"/>
        <v>_</v>
      </c>
      <c r="T7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143">
        <f>IF(Table2[[#This Row],[InterConf]]=1,IF(Table2[[#This Row],[InterDiv]]=0, 1, 0), 0)</f>
        <v>0</v>
      </c>
      <c r="W7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143"/>
      <c r="Y768" s="143"/>
      <c r="Z768" s="149">
        <f>IF(AND(Table2[[#This Row],[GameIsOver]]=1,Table2[[#This Row],[ActualHomeScore]]*Table2[[#This Row],[ActualAwayScore]]=0), 1,0)</f>
        <v>0</v>
      </c>
      <c r="AA7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8" s="143">
        <f>Table2[[#This Row],[ActualAwayScore]]-Table2[[#This Row],[PredictedAwayScore]]</f>
        <v>0</v>
      </c>
      <c r="AG768" s="143">
        <f>Table2[[#This Row],[ActualHomeScore]]-Table2[[#This Row],[PredictedHomeScore]]</f>
        <v>0</v>
      </c>
      <c r="AH768" s="143">
        <f t="shared" si="62"/>
        <v>0</v>
      </c>
      <c r="AI768" s="143">
        <f t="shared" si="63"/>
        <v>0</v>
      </c>
      <c r="AJ768" s="143"/>
      <c r="AK768" s="141"/>
      <c r="AL768" s="143">
        <f>IF(Table2[[#This Row],[GameIsOver]]=0,0,IF(Table2[[#This Row],[ActualWinner]]=Table2[[#This Row],[AwayTeam]], 1, 0))</f>
        <v>0</v>
      </c>
      <c r="AM768" s="143">
        <f>IF(Table2[[#This Row],[GameIsOver]]=0,0,IF(Table2[[#This Row],[ActualWinner]]=Table2[[#This Row],[HomeTeam]], 1, 0))</f>
        <v>0</v>
      </c>
      <c r="AN7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8" s="143" t="str">
        <f>INDEX(Sheet5!$B$2:$AG$33, MATCH(Table2[[#This Row],[AwayTeam]],Sheet5!$A$2:$A$33, 0), MATCH(Table2[[#This Row],[HomeTeam]],Sheet5!$A$2:$A$33, 0))</f>
        <v>0-0-1</v>
      </c>
      <c r="AP768" s="143" t="str">
        <f>INDEX(Sheet5!$B$2:$AG$33, MATCH(Table2[[#This Row],[HomeTeam]],Sheet5!$A$2:$A$33, 0), MATCH(Table2[[#This Row],[AwayTeam]],Sheet5!$A$2:$A$33, 0))</f>
        <v>1-0-0</v>
      </c>
      <c r="AQ768" s="143">
        <f>IF(Table2[[#This Row],[GameHasShutOut]], 1, 0)</f>
        <v>0</v>
      </c>
      <c r="AR768" s="143">
        <f>IF(Table2[[#This Row],[ActualAwayScore]] + Table2[[#This Row],[ActualHomeScore]] &gt;= 10, 1, 0)</f>
        <v>0</v>
      </c>
      <c r="AS768" s="143">
        <f>IF(ABS(Table2[[#This Row],[ActualAwayScore]]-Table2[[#This Row],[ActualHomeScore]])&gt;=5, 1, 0)</f>
        <v>0</v>
      </c>
      <c r="AT768" s="143">
        <f>IF(Table2[[#This Row],[ActualAwayScore]] + Table2[[#This Row],[ActualHomeScore]] &lt;= 3, 1, 0)</f>
        <v>1</v>
      </c>
      <c r="AU7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9" spans="1:49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0" spans="1:49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1" spans="1:49" x14ac:dyDescent="0.25">
      <c r="A771" s="3"/>
      <c r="B771" s="141">
        <v>46040</v>
      </c>
      <c r="C771" s="142">
        <v>2025020769</v>
      </c>
      <c r="D771" s="143" t="s">
        <v>12</v>
      </c>
      <c r="E771" s="143" t="s">
        <v>22</v>
      </c>
      <c r="F771" s="143"/>
      <c r="G771" s="143"/>
      <c r="H771" s="143" t="str">
        <f t="shared" ref="H771:H834" si="64">IF(AND(ISBLANK($F771),ISBLANK($G771)),"_",IF($F771&gt;$G771,$D771,$E771))</f>
        <v>_</v>
      </c>
      <c r="I771" s="143"/>
      <c r="J771" s="143"/>
      <c r="K771" s="143"/>
      <c r="L771" s="143" t="str">
        <f t="shared" ref="L771:L834" si="65">IF(OR($J771=$K771,AND(ISBLANK($J771),ISBLANK($K771))),"_",IF($J771&gt;$K771,$D771,$E771))</f>
        <v>_</v>
      </c>
      <c r="M771" s="143"/>
      <c r="N771" s="143">
        <f>IF(ISBLANK(Table2[[#This Row],[ActualResult]]), 0, 1)</f>
        <v>0</v>
      </c>
      <c r="O771" s="143" t="str">
        <f>IF(ISBLANK(Table2[[#This Row],[ActualResult]]), "_", IF(Table2[[#This Row],[ActualWinner]]=Table2[[#This Row],[PredictedWinner]], "Y", "N"))</f>
        <v>_</v>
      </c>
      <c r="P7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143"/>
      <c r="S771" s="143" t="str">
        <f t="shared" ref="S771:S834" si="66">IF($L771="_", "_", IF($L771=$D771,$E771,$D771))</f>
        <v>_</v>
      </c>
      <c r="T7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143">
        <f>IF(Table2[[#This Row],[InterConf]]=1,IF(Table2[[#This Row],[InterDiv]]=0, 1, 0), 0)</f>
        <v>1</v>
      </c>
      <c r="W7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143"/>
      <c r="Y771" s="143"/>
      <c r="Z771" s="149">
        <f>IF(AND(Table2[[#This Row],[GameIsOver]]=1,Table2[[#This Row],[ActualHomeScore]]*Table2[[#This Row],[ActualAwayScore]]=0), 1,0)</f>
        <v>0</v>
      </c>
      <c r="AA7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1" s="143">
        <f>Table2[[#This Row],[ActualAwayScore]]-Table2[[#This Row],[PredictedAwayScore]]</f>
        <v>0</v>
      </c>
      <c r="AG771" s="143">
        <f>Table2[[#This Row],[ActualHomeScore]]-Table2[[#This Row],[PredictedHomeScore]]</f>
        <v>0</v>
      </c>
      <c r="AH771" s="143">
        <f t="shared" ref="AH771:AH834" si="67">SUMIF($B$3:$B$1315, $B771, $AF$3:$AF$1315)</f>
        <v>0</v>
      </c>
      <c r="AI771" s="143">
        <f t="shared" ref="AI771:AI834" si="68">SUMIF($B$3:$B$1315, $B771, $AG$3:$AG$1315)</f>
        <v>0</v>
      </c>
      <c r="AJ771" s="143"/>
      <c r="AK771" s="141"/>
      <c r="AL771" s="143">
        <f>IF(Table2[[#This Row],[GameIsOver]]=0,0,IF(Table2[[#This Row],[ActualWinner]]=Table2[[#This Row],[AwayTeam]], 1, 0))</f>
        <v>0</v>
      </c>
      <c r="AM771" s="143">
        <f>IF(Table2[[#This Row],[GameIsOver]]=0,0,IF(Table2[[#This Row],[ActualWinner]]=Table2[[#This Row],[HomeTeam]], 1, 0))</f>
        <v>0</v>
      </c>
      <c r="AN7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1" s="143" t="str">
        <f>INDEX(Sheet5!$B$2:$AG$33, MATCH(Table2[[#This Row],[AwayTeam]],Sheet5!$A$2:$A$33, 0), MATCH(Table2[[#This Row],[HomeTeam]],Sheet5!$A$2:$A$33, 0))</f>
        <v>1-0-0</v>
      </c>
      <c r="AP771" s="143" t="str">
        <f>INDEX(Sheet5!$B$2:$AG$33, MATCH(Table2[[#This Row],[HomeTeam]],Sheet5!$A$2:$A$33, 0), MATCH(Table2[[#This Row],[AwayTeam]],Sheet5!$A$2:$A$33, 0))</f>
        <v>0-1-0</v>
      </c>
      <c r="AQ771" s="143">
        <f>IF(Table2[[#This Row],[GameHasShutOut]], 1, 0)</f>
        <v>0</v>
      </c>
      <c r="AR771" s="143">
        <f>IF(Table2[[#This Row],[ActualAwayScore]] + Table2[[#This Row],[ActualHomeScore]] &gt;= 10, 1, 0)</f>
        <v>0</v>
      </c>
      <c r="AS771" s="143">
        <f>IF(ABS(Table2[[#This Row],[ActualAwayScore]]-Table2[[#This Row],[ActualHomeScore]])&gt;=5, 1, 0)</f>
        <v>0</v>
      </c>
      <c r="AT771" s="143">
        <f>IF(Table2[[#This Row],[ActualAwayScore]] + Table2[[#This Row],[ActualHomeScore]] &lt;= 3, 1, 0)</f>
        <v>1</v>
      </c>
      <c r="AU77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2" spans="1:49" x14ac:dyDescent="0.25">
      <c r="A772" s="19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3" spans="1:49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4" spans="1:49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5" spans="1:49" x14ac:dyDescent="0.25">
      <c r="A775" s="3"/>
      <c r="B775" s="3">
        <v>46041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6" spans="1:49" x14ac:dyDescent="0.25">
      <c r="A776" s="3"/>
      <c r="B776" s="3">
        <v>46041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7" spans="1:49" x14ac:dyDescent="0.25">
      <c r="A777" s="3"/>
      <c r="B777" s="3">
        <v>46041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7" s="2" t="str">
        <f>INDEX(Sheet5!$B$2:$AG$33, MATCH(Table2[[#This Row],[AwayTeam]],Sheet5!$A$2:$A$33, 0), MATCH(Table2[[#This Row],[HomeTeam]],Sheet5!$A$2:$A$33, 0))</f>
        <v>0-0-1</v>
      </c>
      <c r="AP777" s="2" t="str">
        <f>INDEX(Sheet5!$B$2:$AG$33, MATCH(Table2[[#This Row],[HomeTeam]],Sheet5!$A$2:$A$33, 0), MATCH(Table2[[#This Row],[AwayTeam]],Sheet5!$A$2:$A$33, 0))</f>
        <v>1-0-0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8" spans="1:49" x14ac:dyDescent="0.25">
      <c r="A778" s="3"/>
      <c r="B778" s="3">
        <v>46041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9" spans="1:49" x14ac:dyDescent="0.25">
      <c r="A779" s="3"/>
      <c r="B779" s="3">
        <v>46041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80" spans="1:49" x14ac:dyDescent="0.25">
      <c r="A780" s="3"/>
      <c r="B780" s="3">
        <v>46041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1" spans="1:49" x14ac:dyDescent="0.25">
      <c r="A781" s="141"/>
      <c r="B781" s="141">
        <v>46041</v>
      </c>
      <c r="C781" s="142">
        <v>2025020779</v>
      </c>
      <c r="D781" s="143" t="s">
        <v>19</v>
      </c>
      <c r="E781" s="143" t="s">
        <v>44</v>
      </c>
      <c r="F781" s="143"/>
      <c r="G781" s="143"/>
      <c r="H781" s="143" t="str">
        <f t="shared" si="64"/>
        <v>_</v>
      </c>
      <c r="I781" s="143"/>
      <c r="J781" s="143"/>
      <c r="K781" s="143"/>
      <c r="L781" s="143" t="str">
        <f t="shared" si="65"/>
        <v>_</v>
      </c>
      <c r="M781" s="143"/>
      <c r="N781" s="143">
        <f>IF(ISBLANK(Table2[[#This Row],[ActualResult]]), 0, 1)</f>
        <v>0</v>
      </c>
      <c r="O781" s="143" t="str">
        <f>IF(ISBLANK(Table2[[#This Row],[ActualResult]]), "_", IF(Table2[[#This Row],[ActualWinner]]=Table2[[#This Row],[PredictedWinner]], "Y", "N"))</f>
        <v>_</v>
      </c>
      <c r="P7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143"/>
      <c r="S781" s="143" t="str">
        <f t="shared" si="66"/>
        <v>_</v>
      </c>
      <c r="T7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143">
        <f>IF(Table2[[#This Row],[InterConf]]=1,IF(Table2[[#This Row],[InterDiv]]=0, 1, 0), 0)</f>
        <v>0</v>
      </c>
      <c r="W7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143"/>
      <c r="Y781" s="143"/>
      <c r="Z781" s="149">
        <f>IF(AND(Table2[[#This Row],[GameIsOver]]=1,Table2[[#This Row],[ActualHomeScore]]*Table2[[#This Row],[ActualAwayScore]]=0), 1,0)</f>
        <v>0</v>
      </c>
      <c r="AA7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1" s="143">
        <f>Table2[[#This Row],[ActualAwayScore]]-Table2[[#This Row],[PredictedAwayScore]]</f>
        <v>0</v>
      </c>
      <c r="AG781" s="143">
        <f>Table2[[#This Row],[ActualHomeScore]]-Table2[[#This Row],[PredictedHomeScore]]</f>
        <v>0</v>
      </c>
      <c r="AH781" s="143">
        <f t="shared" si="67"/>
        <v>0</v>
      </c>
      <c r="AI781" s="143">
        <f t="shared" si="68"/>
        <v>0</v>
      </c>
      <c r="AJ781" s="143"/>
      <c r="AK781" s="141"/>
      <c r="AL781" s="143">
        <f>IF(Table2[[#This Row],[GameIsOver]]=0,0,IF(Table2[[#This Row],[ActualWinner]]=Table2[[#This Row],[AwayTeam]], 1, 0))</f>
        <v>0</v>
      </c>
      <c r="AM781" s="143">
        <f>IF(Table2[[#This Row],[GameIsOver]]=0,0,IF(Table2[[#This Row],[ActualWinner]]=Table2[[#This Row],[HomeTeam]], 1, 0))</f>
        <v>0</v>
      </c>
      <c r="AN7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1" s="143" t="str">
        <f>INDEX(Sheet5!$B$2:$AG$33, MATCH(Table2[[#This Row],[AwayTeam]],Sheet5!$A$2:$A$33, 0), MATCH(Table2[[#This Row],[HomeTeam]],Sheet5!$A$2:$A$33, 0))</f>
        <v>0-1-0</v>
      </c>
      <c r="AP781" s="143" t="str">
        <f>INDEX(Sheet5!$B$2:$AG$33, MATCH(Table2[[#This Row],[HomeTeam]],Sheet5!$A$2:$A$33, 0), MATCH(Table2[[#This Row],[AwayTeam]],Sheet5!$A$2:$A$33, 0))</f>
        <v>1-0-0</v>
      </c>
      <c r="AQ781" s="143">
        <f>IF(Table2[[#This Row],[GameHasShutOut]], 1, 0)</f>
        <v>0</v>
      </c>
      <c r="AR781" s="143">
        <f>IF(Table2[[#This Row],[ActualAwayScore]] + Table2[[#This Row],[ActualHomeScore]] &gt;= 10, 1, 0)</f>
        <v>0</v>
      </c>
      <c r="AS781" s="143">
        <f>IF(ABS(Table2[[#This Row],[ActualAwayScore]]-Table2[[#This Row],[ActualHomeScore]])&gt;=5, 1, 0)</f>
        <v>0</v>
      </c>
      <c r="AT781" s="143">
        <f>IF(Table2[[#This Row],[ActualAwayScore]] + Table2[[#This Row],[ActualHomeScore]] &lt;= 3, 1, 0)</f>
        <v>1</v>
      </c>
      <c r="AU78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2" spans="1:49" x14ac:dyDescent="0.25">
      <c r="A782" s="3"/>
      <c r="B782" s="3">
        <v>46042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3" spans="1:49" x14ac:dyDescent="0.25">
      <c r="A783" s="3"/>
      <c r="B783" s="3">
        <v>46042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4" spans="1:49" x14ac:dyDescent="0.25">
      <c r="A784" s="3"/>
      <c r="B784" s="3">
        <v>46042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4" s="2" t="str">
        <f>INDEX(Sheet5!$B$2:$AG$33, MATCH(Table2[[#This Row],[AwayTeam]],Sheet5!$A$2:$A$33, 0), MATCH(Table2[[#This Row],[HomeTeam]],Sheet5!$A$2:$A$33, 0))</f>
        <v>1-0-0</v>
      </c>
      <c r="AP784" s="2" t="str">
        <f>INDEX(Sheet5!$B$2:$AG$33, MATCH(Table2[[#This Row],[HomeTeam]],Sheet5!$A$2:$A$33, 0), MATCH(Table2[[#This Row],[AwayTeam]],Sheet5!$A$2:$A$33, 0))</f>
        <v>0-1-0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5" spans="1:49" x14ac:dyDescent="0.25">
      <c r="A785" s="3"/>
      <c r="B785" s="3">
        <v>46042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6" spans="1:49" x14ac:dyDescent="0.25">
      <c r="A786" s="3"/>
      <c r="B786" s="3">
        <v>46042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7" spans="1:49" x14ac:dyDescent="0.25">
      <c r="A787" s="3"/>
      <c r="B787" s="3">
        <v>46042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8" spans="1:49" x14ac:dyDescent="0.25">
      <c r="A788" s="3"/>
      <c r="B788" s="3">
        <v>46042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9" spans="1:49" x14ac:dyDescent="0.25">
      <c r="A789" s="141"/>
      <c r="B789" s="141">
        <v>46042</v>
      </c>
      <c r="C789" s="142">
        <v>2025020787</v>
      </c>
      <c r="D789" s="143" t="s">
        <v>19</v>
      </c>
      <c r="E789" s="143" t="s">
        <v>27</v>
      </c>
      <c r="F789" s="143"/>
      <c r="G789" s="143"/>
      <c r="H789" s="143" t="str">
        <f t="shared" si="64"/>
        <v>_</v>
      </c>
      <c r="I789" s="143"/>
      <c r="J789" s="143"/>
      <c r="K789" s="143"/>
      <c r="L789" s="143" t="str">
        <f t="shared" si="65"/>
        <v>_</v>
      </c>
      <c r="M789" s="143"/>
      <c r="N789" s="143">
        <f>IF(ISBLANK(Table2[[#This Row],[ActualResult]]), 0, 1)</f>
        <v>0</v>
      </c>
      <c r="O789" s="143" t="str">
        <f>IF(ISBLANK(Table2[[#This Row],[ActualResult]]), "_", IF(Table2[[#This Row],[ActualWinner]]=Table2[[#This Row],[PredictedWinner]], "Y", "N"))</f>
        <v>_</v>
      </c>
      <c r="P7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143"/>
      <c r="S789" s="143" t="str">
        <f t="shared" si="66"/>
        <v>_</v>
      </c>
      <c r="T7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143">
        <f>IF(Table2[[#This Row],[InterConf]]=1,IF(Table2[[#This Row],[InterDiv]]=0, 1, 0), 0)</f>
        <v>0</v>
      </c>
      <c r="W7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143"/>
      <c r="Y789" s="143"/>
      <c r="Z789" s="149">
        <f>IF(AND(Table2[[#This Row],[GameIsOver]]=1,Table2[[#This Row],[ActualHomeScore]]*Table2[[#This Row],[ActualAwayScore]]=0), 1,0)</f>
        <v>0</v>
      </c>
      <c r="AA7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9" s="143">
        <f>Table2[[#This Row],[ActualAwayScore]]-Table2[[#This Row],[PredictedAwayScore]]</f>
        <v>0</v>
      </c>
      <c r="AG789" s="143">
        <f>Table2[[#This Row],[ActualHomeScore]]-Table2[[#This Row],[PredictedHomeScore]]</f>
        <v>0</v>
      </c>
      <c r="AH789" s="143">
        <f t="shared" si="67"/>
        <v>0</v>
      </c>
      <c r="AI789" s="143">
        <f t="shared" si="68"/>
        <v>0</v>
      </c>
      <c r="AJ789" s="143"/>
      <c r="AK789" s="141"/>
      <c r="AL789" s="143">
        <f>IF(Table2[[#This Row],[GameIsOver]]=0,0,IF(Table2[[#This Row],[ActualWinner]]=Table2[[#This Row],[AwayTeam]], 1, 0))</f>
        <v>0</v>
      </c>
      <c r="AM789" s="143">
        <f>IF(Table2[[#This Row],[GameIsOver]]=0,0,IF(Table2[[#This Row],[ActualWinner]]=Table2[[#This Row],[HomeTeam]], 1, 0))</f>
        <v>0</v>
      </c>
      <c r="AN7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9" s="143" t="str">
        <f>INDEX(Sheet5!$B$2:$AG$33, MATCH(Table2[[#This Row],[AwayTeam]],Sheet5!$A$2:$A$33, 0), MATCH(Table2[[#This Row],[HomeTeam]],Sheet5!$A$2:$A$33, 0))</f>
        <v>0-0-0</v>
      </c>
      <c r="AP789" s="143" t="str">
        <f>INDEX(Sheet5!$B$2:$AG$33, MATCH(Table2[[#This Row],[HomeTeam]],Sheet5!$A$2:$A$33, 0), MATCH(Table2[[#This Row],[AwayTeam]],Sheet5!$A$2:$A$33, 0))</f>
        <v>0-0-0</v>
      </c>
      <c r="AQ789" s="143">
        <f>IF(Table2[[#This Row],[GameHasShutOut]], 1, 0)</f>
        <v>0</v>
      </c>
      <c r="AR789" s="143">
        <f>IF(Table2[[#This Row],[ActualAwayScore]] + Table2[[#This Row],[ActualHomeScore]] &gt;= 10, 1, 0)</f>
        <v>0</v>
      </c>
      <c r="AS789" s="143">
        <f>IF(ABS(Table2[[#This Row],[ActualAwayScore]]-Table2[[#This Row],[ActualHomeScore]])&gt;=5, 1, 0)</f>
        <v>0</v>
      </c>
      <c r="AT789" s="143">
        <f>IF(Table2[[#This Row],[ActualAwayScore]] + Table2[[#This Row],[ActualHomeScore]] &lt;= 3, 1, 0)</f>
        <v>1</v>
      </c>
      <c r="AU78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0" spans="1:49" x14ac:dyDescent="0.25">
      <c r="A790" s="3"/>
      <c r="B790" s="3">
        <v>46043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1" spans="1:49" x14ac:dyDescent="0.25">
      <c r="A791" s="3"/>
      <c r="B791" s="3">
        <v>46043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2" spans="1:49" x14ac:dyDescent="0.25">
      <c r="A792" s="3"/>
      <c r="B792" s="3">
        <v>46043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3" spans="1:49" x14ac:dyDescent="0.25">
      <c r="A793" s="3"/>
      <c r="B793" s="3">
        <v>46043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94" spans="1:49" x14ac:dyDescent="0.25">
      <c r="A794" s="3"/>
      <c r="B794" s="3">
        <v>46043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5" spans="1:49" x14ac:dyDescent="0.25">
      <c r="A795" s="141"/>
      <c r="B795" s="141">
        <v>46043</v>
      </c>
      <c r="C795" s="142">
        <v>2025020793</v>
      </c>
      <c r="D795" s="143" t="s">
        <v>32</v>
      </c>
      <c r="E795" s="143" t="s">
        <v>11</v>
      </c>
      <c r="F795" s="143"/>
      <c r="G795" s="143"/>
      <c r="H795" s="143" t="str">
        <f t="shared" si="64"/>
        <v>_</v>
      </c>
      <c r="I795" s="143"/>
      <c r="J795" s="143"/>
      <c r="K795" s="143"/>
      <c r="L795" s="143" t="str">
        <f t="shared" si="65"/>
        <v>_</v>
      </c>
      <c r="M795" s="143"/>
      <c r="N795" s="143">
        <f>IF(ISBLANK(Table2[[#This Row],[ActualResult]]), 0, 1)</f>
        <v>0</v>
      </c>
      <c r="O795" s="143" t="str">
        <f>IF(ISBLANK(Table2[[#This Row],[ActualResult]]), "_", IF(Table2[[#This Row],[ActualWinner]]=Table2[[#This Row],[PredictedWinner]], "Y", "N"))</f>
        <v>_</v>
      </c>
      <c r="P7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143"/>
      <c r="S795" s="143" t="str">
        <f t="shared" si="66"/>
        <v>_</v>
      </c>
      <c r="T7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143">
        <f>IF(Table2[[#This Row],[InterConf]]=1,IF(Table2[[#This Row],[InterDiv]]=0, 1, 0), 0)</f>
        <v>0</v>
      </c>
      <c r="W7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143"/>
      <c r="Y795" s="143"/>
      <c r="Z795" s="149">
        <f>IF(AND(Table2[[#This Row],[GameIsOver]]=1,Table2[[#This Row],[ActualHomeScore]]*Table2[[#This Row],[ActualAwayScore]]=0), 1,0)</f>
        <v>0</v>
      </c>
      <c r="AA7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5" s="143">
        <f>Table2[[#This Row],[ActualAwayScore]]-Table2[[#This Row],[PredictedAwayScore]]</f>
        <v>0</v>
      </c>
      <c r="AG795" s="143">
        <f>Table2[[#This Row],[ActualHomeScore]]-Table2[[#This Row],[PredictedHomeScore]]</f>
        <v>0</v>
      </c>
      <c r="AH795" s="143">
        <f t="shared" si="67"/>
        <v>0</v>
      </c>
      <c r="AI795" s="143">
        <f t="shared" si="68"/>
        <v>0</v>
      </c>
      <c r="AJ795" s="143"/>
      <c r="AK795" s="141"/>
      <c r="AL795" s="143">
        <f>IF(Table2[[#This Row],[GameIsOver]]=0,0,IF(Table2[[#This Row],[ActualWinner]]=Table2[[#This Row],[AwayTeam]], 1, 0))</f>
        <v>0</v>
      </c>
      <c r="AM795" s="143">
        <f>IF(Table2[[#This Row],[GameIsOver]]=0,0,IF(Table2[[#This Row],[ActualWinner]]=Table2[[#This Row],[HomeTeam]], 1, 0))</f>
        <v>0</v>
      </c>
      <c r="AN7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5" s="143" t="str">
        <f>INDEX(Sheet5!$B$2:$AG$33, MATCH(Table2[[#This Row],[AwayTeam]],Sheet5!$A$2:$A$33, 0), MATCH(Table2[[#This Row],[HomeTeam]],Sheet5!$A$2:$A$33, 0))</f>
        <v>1-0-0</v>
      </c>
      <c r="AP795" s="143" t="str">
        <f>INDEX(Sheet5!$B$2:$AG$33, MATCH(Table2[[#This Row],[HomeTeam]],Sheet5!$A$2:$A$33, 0), MATCH(Table2[[#This Row],[AwayTeam]],Sheet5!$A$2:$A$33, 0))</f>
        <v>0-0-1</v>
      </c>
      <c r="AQ795" s="143">
        <f>IF(Table2[[#This Row],[GameHasShutOut]], 1, 0)</f>
        <v>0</v>
      </c>
      <c r="AR795" s="143">
        <f>IF(Table2[[#This Row],[ActualAwayScore]] + Table2[[#This Row],[ActualHomeScore]] &gt;= 10, 1, 0)</f>
        <v>0</v>
      </c>
      <c r="AS795" s="143">
        <f>IF(ABS(Table2[[#This Row],[ActualAwayScore]]-Table2[[#This Row],[ActualHomeScore]])&gt;=5, 1, 0)</f>
        <v>0</v>
      </c>
      <c r="AT795" s="143">
        <f>IF(Table2[[#This Row],[ActualAwayScore]] + Table2[[#This Row],[ActualHomeScore]] &lt;= 3, 1, 0)</f>
        <v>1</v>
      </c>
      <c r="AU7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6" spans="1:49" x14ac:dyDescent="0.25">
      <c r="A796" s="3"/>
      <c r="B796" s="3">
        <v>46044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7" spans="1:49" x14ac:dyDescent="0.25">
      <c r="A797" s="3"/>
      <c r="B797" s="3">
        <v>46044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8" spans="1:49" x14ac:dyDescent="0.25">
      <c r="A798" s="3"/>
      <c r="B798" s="3">
        <v>46044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9" spans="1:49" x14ac:dyDescent="0.25">
      <c r="A799" s="3"/>
      <c r="B799" s="3">
        <v>46044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0" spans="1:49" x14ac:dyDescent="0.25">
      <c r="A800" s="3"/>
      <c r="B800" s="3">
        <v>46044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1" spans="1:49" x14ac:dyDescent="0.25">
      <c r="A801" s="3"/>
      <c r="B801" s="3">
        <v>46044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2" spans="1:49" x14ac:dyDescent="0.25">
      <c r="A802" s="3"/>
      <c r="B802" s="3">
        <v>46044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2" s="2" t="str">
        <f>INDEX(Sheet5!$B$2:$AG$33, MATCH(Table2[[#This Row],[AwayTeam]],Sheet5!$A$2:$A$33, 0), MATCH(Table2[[#This Row],[HomeTeam]],Sheet5!$A$2:$A$33, 0))</f>
        <v>0-1-0</v>
      </c>
      <c r="AP802" s="2" t="str">
        <f>INDEX(Sheet5!$B$2:$AG$33, MATCH(Table2[[#This Row],[HomeTeam]],Sheet5!$A$2:$A$33, 0), MATCH(Table2[[#This Row],[AwayTeam]],Sheet5!$A$2:$A$33, 0))</f>
        <v>1-0-0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3" spans="1:49" x14ac:dyDescent="0.25">
      <c r="A803" s="141"/>
      <c r="B803" s="141">
        <v>46044</v>
      </c>
      <c r="C803" s="142">
        <v>2025020801</v>
      </c>
      <c r="D803" s="143" t="s">
        <v>30</v>
      </c>
      <c r="E803" s="143" t="s">
        <v>36</v>
      </c>
      <c r="F803" s="143"/>
      <c r="G803" s="143"/>
      <c r="H803" s="143" t="str">
        <f t="shared" si="64"/>
        <v>_</v>
      </c>
      <c r="I803" s="143"/>
      <c r="J803" s="143"/>
      <c r="K803" s="143"/>
      <c r="L803" s="143" t="str">
        <f t="shared" si="65"/>
        <v>_</v>
      </c>
      <c r="M803" s="143"/>
      <c r="N803" s="143">
        <f>IF(ISBLANK(Table2[[#This Row],[ActualResult]]), 0, 1)</f>
        <v>0</v>
      </c>
      <c r="O803" s="143" t="str">
        <f>IF(ISBLANK(Table2[[#This Row],[ActualResult]]), "_", IF(Table2[[#This Row],[ActualWinner]]=Table2[[#This Row],[PredictedWinner]], "Y", "N"))</f>
        <v>_</v>
      </c>
      <c r="P8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143"/>
      <c r="S803" s="143" t="str">
        <f t="shared" si="66"/>
        <v>_</v>
      </c>
      <c r="T8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143">
        <f>IF(Table2[[#This Row],[InterConf]]=1,IF(Table2[[#This Row],[InterDiv]]=0, 1, 0), 0)</f>
        <v>0</v>
      </c>
      <c r="W8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143"/>
      <c r="Y803" s="143"/>
      <c r="Z803" s="149">
        <f>IF(AND(Table2[[#This Row],[GameIsOver]]=1,Table2[[#This Row],[ActualHomeScore]]*Table2[[#This Row],[ActualAwayScore]]=0), 1,0)</f>
        <v>0</v>
      </c>
      <c r="AA8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3" s="143">
        <f>Table2[[#This Row],[ActualAwayScore]]-Table2[[#This Row],[PredictedAwayScore]]</f>
        <v>0</v>
      </c>
      <c r="AG803" s="143">
        <f>Table2[[#This Row],[ActualHomeScore]]-Table2[[#This Row],[PredictedHomeScore]]</f>
        <v>0</v>
      </c>
      <c r="AH803" s="143">
        <f t="shared" si="67"/>
        <v>0</v>
      </c>
      <c r="AI803" s="143">
        <f t="shared" si="68"/>
        <v>0</v>
      </c>
      <c r="AJ803" s="143"/>
      <c r="AK803" s="141"/>
      <c r="AL803" s="143">
        <f>IF(Table2[[#This Row],[GameIsOver]]=0,0,IF(Table2[[#This Row],[ActualWinner]]=Table2[[#This Row],[AwayTeam]], 1, 0))</f>
        <v>0</v>
      </c>
      <c r="AM803" s="143">
        <f>IF(Table2[[#This Row],[GameIsOver]]=0,0,IF(Table2[[#This Row],[ActualWinner]]=Table2[[#This Row],[HomeTeam]], 1, 0))</f>
        <v>0</v>
      </c>
      <c r="AN8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3" s="143" t="str">
        <f>INDEX(Sheet5!$B$2:$AG$33, MATCH(Table2[[#This Row],[AwayTeam]],Sheet5!$A$2:$A$33, 0), MATCH(Table2[[#This Row],[HomeTeam]],Sheet5!$A$2:$A$33, 0))</f>
        <v>0-0-0</v>
      </c>
      <c r="AP803" s="143" t="str">
        <f>INDEX(Sheet5!$B$2:$AG$33, MATCH(Table2[[#This Row],[HomeTeam]],Sheet5!$A$2:$A$33, 0), MATCH(Table2[[#This Row],[AwayTeam]],Sheet5!$A$2:$A$33, 0))</f>
        <v>0-0-0</v>
      </c>
      <c r="AQ803" s="143">
        <f>IF(Table2[[#This Row],[GameHasShutOut]], 1, 0)</f>
        <v>0</v>
      </c>
      <c r="AR803" s="143">
        <f>IF(Table2[[#This Row],[ActualAwayScore]] + Table2[[#This Row],[ActualHomeScore]] &gt;= 10, 1, 0)</f>
        <v>0</v>
      </c>
      <c r="AS803" s="143">
        <f>IF(ABS(Table2[[#This Row],[ActualAwayScore]]-Table2[[#This Row],[ActualHomeScore]])&gt;=5, 1, 0)</f>
        <v>0</v>
      </c>
      <c r="AT803" s="143">
        <f>IF(Table2[[#This Row],[ActualAwayScore]] + Table2[[#This Row],[ActualHomeScore]] &lt;= 3, 1, 0)</f>
        <v>1</v>
      </c>
      <c r="AU80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4" spans="1:49" x14ac:dyDescent="0.25">
      <c r="A804" s="3"/>
      <c r="B804" s="3">
        <v>46045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5" spans="1:49" x14ac:dyDescent="0.25">
      <c r="A805" s="3"/>
      <c r="B805" s="3">
        <v>46045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6" spans="1:49" x14ac:dyDescent="0.25">
      <c r="A806" s="3"/>
      <c r="B806" s="3">
        <v>46045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7" spans="1:49" x14ac:dyDescent="0.25">
      <c r="A807" s="3"/>
      <c r="B807" s="3">
        <v>46045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8" spans="1:49" x14ac:dyDescent="0.25">
      <c r="A808" s="3"/>
      <c r="B808" s="3">
        <v>46045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09" spans="1:49" x14ac:dyDescent="0.25">
      <c r="A809" s="3"/>
      <c r="B809" s="3">
        <v>46045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9" s="2" t="str">
        <f>INDEX(Sheet5!$B$2:$AG$33, MATCH(Table2[[#This Row],[AwayTeam]],Sheet5!$A$2:$A$33, 0), MATCH(Table2[[#This Row],[HomeTeam]],Sheet5!$A$2:$A$33, 0))</f>
        <v>0-1-0</v>
      </c>
      <c r="AP809" s="2" t="str">
        <f>INDEX(Sheet5!$B$2:$AG$33, MATCH(Table2[[#This Row],[HomeTeam]],Sheet5!$A$2:$A$33, 0), MATCH(Table2[[#This Row],[AwayTeam]],Sheet5!$A$2:$A$33, 0))</f>
        <v>1-0-0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0" spans="1:49" x14ac:dyDescent="0.25">
      <c r="A810" s="3"/>
      <c r="B810" s="3">
        <v>46045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1" spans="1:49" x14ac:dyDescent="0.25">
      <c r="A811" s="141"/>
      <c r="B811" s="141">
        <v>46045</v>
      </c>
      <c r="C811" s="142">
        <v>2025020809</v>
      </c>
      <c r="D811" s="143" t="s">
        <v>44</v>
      </c>
      <c r="E811" s="143" t="s">
        <v>11</v>
      </c>
      <c r="F811" s="143"/>
      <c r="G811" s="143"/>
      <c r="H811" s="143" t="str">
        <f t="shared" si="64"/>
        <v>_</v>
      </c>
      <c r="I811" s="143"/>
      <c r="J811" s="143"/>
      <c r="K811" s="143"/>
      <c r="L811" s="143" t="str">
        <f t="shared" si="65"/>
        <v>_</v>
      </c>
      <c r="M811" s="143"/>
      <c r="N811" s="143">
        <f>IF(ISBLANK(Table2[[#This Row],[ActualResult]]), 0, 1)</f>
        <v>0</v>
      </c>
      <c r="O811" s="143" t="str">
        <f>IF(ISBLANK(Table2[[#This Row],[ActualResult]]), "_", IF(Table2[[#This Row],[ActualWinner]]=Table2[[#This Row],[PredictedWinner]], "Y", "N"))</f>
        <v>_</v>
      </c>
      <c r="P8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143"/>
      <c r="S811" s="143" t="str">
        <f t="shared" si="66"/>
        <v>_</v>
      </c>
      <c r="T8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143">
        <f>IF(Table2[[#This Row],[InterConf]]=1,IF(Table2[[#This Row],[InterDiv]]=0, 1, 0), 0)</f>
        <v>0</v>
      </c>
      <c r="W8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143"/>
      <c r="Y811" s="143"/>
      <c r="Z811" s="149">
        <f>IF(AND(Table2[[#This Row],[GameIsOver]]=1,Table2[[#This Row],[ActualHomeScore]]*Table2[[#This Row],[ActualAwayScore]]=0), 1,0)</f>
        <v>0</v>
      </c>
      <c r="AA8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1" s="143">
        <f>Table2[[#This Row],[ActualAwayScore]]-Table2[[#This Row],[PredictedAwayScore]]</f>
        <v>0</v>
      </c>
      <c r="AG811" s="143">
        <f>Table2[[#This Row],[ActualHomeScore]]-Table2[[#This Row],[PredictedHomeScore]]</f>
        <v>0</v>
      </c>
      <c r="AH811" s="143">
        <f t="shared" si="67"/>
        <v>0</v>
      </c>
      <c r="AI811" s="143">
        <f t="shared" si="68"/>
        <v>0</v>
      </c>
      <c r="AJ811" s="143"/>
      <c r="AK811" s="141"/>
      <c r="AL811" s="143">
        <f>IF(Table2[[#This Row],[GameIsOver]]=0,0,IF(Table2[[#This Row],[ActualWinner]]=Table2[[#This Row],[AwayTeam]], 1, 0))</f>
        <v>0</v>
      </c>
      <c r="AM811" s="143">
        <f>IF(Table2[[#This Row],[GameIsOver]]=0,0,IF(Table2[[#This Row],[ActualWinner]]=Table2[[#This Row],[HomeTeam]], 1, 0))</f>
        <v>0</v>
      </c>
      <c r="AN8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1" s="143" t="str">
        <f>INDEX(Sheet5!$B$2:$AG$33, MATCH(Table2[[#This Row],[AwayTeam]],Sheet5!$A$2:$A$33, 0), MATCH(Table2[[#This Row],[HomeTeam]],Sheet5!$A$2:$A$33, 0))</f>
        <v>0-1-0</v>
      </c>
      <c r="AP811" s="143" t="str">
        <f>INDEX(Sheet5!$B$2:$AG$33, MATCH(Table2[[#This Row],[HomeTeam]],Sheet5!$A$2:$A$33, 0), MATCH(Table2[[#This Row],[AwayTeam]],Sheet5!$A$2:$A$33, 0))</f>
        <v>1-0-0</v>
      </c>
      <c r="AQ811" s="143">
        <f>IF(Table2[[#This Row],[GameHasShutOut]], 1, 0)</f>
        <v>0</v>
      </c>
      <c r="AR811" s="143">
        <f>IF(Table2[[#This Row],[ActualAwayScore]] + Table2[[#This Row],[ActualHomeScore]] &gt;= 10, 1, 0)</f>
        <v>0</v>
      </c>
      <c r="AS811" s="143">
        <f>IF(ABS(Table2[[#This Row],[ActualAwayScore]]-Table2[[#This Row],[ActualHomeScore]])&gt;=5, 1, 0)</f>
        <v>0</v>
      </c>
      <c r="AT811" s="143">
        <f>IF(Table2[[#This Row],[ActualAwayScore]] + Table2[[#This Row],[ActualHomeScore]] &lt;= 3, 1, 0)</f>
        <v>1</v>
      </c>
      <c r="AU8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2" spans="1:49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3" spans="1:49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4" spans="1:49" x14ac:dyDescent="0.25">
      <c r="A814" s="3"/>
      <c r="B814" s="3">
        <v>46046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5" spans="1:49" x14ac:dyDescent="0.25">
      <c r="A815" s="3"/>
      <c r="B815" s="3">
        <v>46046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6" spans="1:49" x14ac:dyDescent="0.25">
      <c r="A816" s="3"/>
      <c r="B816" s="3">
        <v>46046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7" spans="1:49" x14ac:dyDescent="0.25">
      <c r="A817" s="3"/>
      <c r="B817" s="3">
        <v>46046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8" spans="1:49" x14ac:dyDescent="0.25">
      <c r="A818" s="3"/>
      <c r="B818" s="3">
        <v>46046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9" spans="1:49" x14ac:dyDescent="0.25">
      <c r="A819" s="3"/>
      <c r="B819" s="3">
        <v>46046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0" spans="1:49" x14ac:dyDescent="0.25">
      <c r="A820" s="141"/>
      <c r="B820" s="141">
        <v>46046</v>
      </c>
      <c r="C820" s="142">
        <v>2025020818</v>
      </c>
      <c r="D820" s="143" t="s">
        <v>43</v>
      </c>
      <c r="E820" s="143" t="s">
        <v>22</v>
      </c>
      <c r="F820" s="143"/>
      <c r="G820" s="143"/>
      <c r="H820" s="143" t="str">
        <f t="shared" si="64"/>
        <v>_</v>
      </c>
      <c r="I820" s="143"/>
      <c r="J820" s="143"/>
      <c r="K820" s="143"/>
      <c r="L820" s="143" t="str">
        <f t="shared" si="65"/>
        <v>_</v>
      </c>
      <c r="M820" s="143"/>
      <c r="N820" s="143">
        <f>IF(ISBLANK(Table2[[#This Row],[ActualResult]]), 0, 1)</f>
        <v>0</v>
      </c>
      <c r="O820" s="143" t="str">
        <f>IF(ISBLANK(Table2[[#This Row],[ActualResult]]), "_", IF(Table2[[#This Row],[ActualWinner]]=Table2[[#This Row],[PredictedWinner]], "Y", "N"))</f>
        <v>_</v>
      </c>
      <c r="P8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143"/>
      <c r="S820" s="143" t="str">
        <f t="shared" si="66"/>
        <v>_</v>
      </c>
      <c r="T8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143">
        <f>IF(Table2[[#This Row],[InterConf]]=1,IF(Table2[[#This Row],[InterDiv]]=0, 1, 0), 0)</f>
        <v>0</v>
      </c>
      <c r="W8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143"/>
      <c r="Y820" s="143"/>
      <c r="Z820" s="149">
        <f>IF(AND(Table2[[#This Row],[GameIsOver]]=1,Table2[[#This Row],[ActualHomeScore]]*Table2[[#This Row],[ActualAwayScore]]=0), 1,0)</f>
        <v>0</v>
      </c>
      <c r="AA8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0" s="143">
        <f>Table2[[#This Row],[ActualAwayScore]]-Table2[[#This Row],[PredictedAwayScore]]</f>
        <v>0</v>
      </c>
      <c r="AG820" s="143">
        <f>Table2[[#This Row],[ActualHomeScore]]-Table2[[#This Row],[PredictedHomeScore]]</f>
        <v>0</v>
      </c>
      <c r="AH820" s="143">
        <f t="shared" si="67"/>
        <v>0</v>
      </c>
      <c r="AI820" s="143">
        <f t="shared" si="68"/>
        <v>0</v>
      </c>
      <c r="AJ820" s="143"/>
      <c r="AK820" s="141"/>
      <c r="AL820" s="143">
        <f>IF(Table2[[#This Row],[GameIsOver]]=0,0,IF(Table2[[#This Row],[ActualWinner]]=Table2[[#This Row],[AwayTeam]], 1, 0))</f>
        <v>0</v>
      </c>
      <c r="AM820" s="143">
        <f>IF(Table2[[#This Row],[GameIsOver]]=0,0,IF(Table2[[#This Row],[ActualWinner]]=Table2[[#This Row],[HomeTeam]], 1, 0))</f>
        <v>0</v>
      </c>
      <c r="AN8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0" s="143" t="str">
        <f>INDEX(Sheet5!$B$2:$AG$33, MATCH(Table2[[#This Row],[AwayTeam]],Sheet5!$A$2:$A$33, 0), MATCH(Table2[[#This Row],[HomeTeam]],Sheet5!$A$2:$A$33, 0))</f>
        <v>1-0-0</v>
      </c>
      <c r="AP820" s="143" t="str">
        <f>INDEX(Sheet5!$B$2:$AG$33, MATCH(Table2[[#This Row],[HomeTeam]],Sheet5!$A$2:$A$33, 0), MATCH(Table2[[#This Row],[AwayTeam]],Sheet5!$A$2:$A$33, 0))</f>
        <v>0-1-0</v>
      </c>
      <c r="AQ820" s="143">
        <f>IF(Table2[[#This Row],[GameHasShutOut]], 1, 0)</f>
        <v>0</v>
      </c>
      <c r="AR820" s="143">
        <f>IF(Table2[[#This Row],[ActualAwayScore]] + Table2[[#This Row],[ActualHomeScore]] &gt;= 10, 1, 0)</f>
        <v>0</v>
      </c>
      <c r="AS820" s="143">
        <f>IF(ABS(Table2[[#This Row],[ActualAwayScore]]-Table2[[#This Row],[ActualHomeScore]])&gt;=5, 1, 0)</f>
        <v>0</v>
      </c>
      <c r="AT820" s="143">
        <f>IF(Table2[[#This Row],[ActualAwayScore]] + Table2[[#This Row],[ActualHomeScore]] &lt;= 3, 1, 0)</f>
        <v>1</v>
      </c>
      <c r="AU8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1" spans="1:49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2" spans="1:49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3" spans="1:49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4" spans="1:49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5" spans="1:49" x14ac:dyDescent="0.25">
      <c r="A825" s="3"/>
      <c r="B825" s="3">
        <v>46047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6" spans="1:49" x14ac:dyDescent="0.25">
      <c r="A826" s="141"/>
      <c r="B826" s="141">
        <v>46047</v>
      </c>
      <c r="C826" s="142">
        <v>2025020824</v>
      </c>
      <c r="D826" s="143" t="s">
        <v>44</v>
      </c>
      <c r="E826" s="143" t="s">
        <v>23</v>
      </c>
      <c r="F826" s="143"/>
      <c r="G826" s="143"/>
      <c r="H826" s="143" t="str">
        <f t="shared" si="64"/>
        <v>_</v>
      </c>
      <c r="I826" s="143"/>
      <c r="J826" s="143"/>
      <c r="K826" s="143"/>
      <c r="L826" s="143" t="str">
        <f t="shared" si="65"/>
        <v>_</v>
      </c>
      <c r="M826" s="143"/>
      <c r="N826" s="143">
        <f>IF(ISBLANK(Table2[[#This Row],[ActualResult]]), 0, 1)</f>
        <v>0</v>
      </c>
      <c r="O826" s="143" t="str">
        <f>IF(ISBLANK(Table2[[#This Row],[ActualResult]]), "_", IF(Table2[[#This Row],[ActualWinner]]=Table2[[#This Row],[PredictedWinner]], "Y", "N"))</f>
        <v>_</v>
      </c>
      <c r="P8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143"/>
      <c r="S826" s="143" t="str">
        <f t="shared" si="66"/>
        <v>_</v>
      </c>
      <c r="T8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143">
        <f>IF(Table2[[#This Row],[InterConf]]=1,IF(Table2[[#This Row],[InterDiv]]=0, 1, 0), 0)</f>
        <v>0</v>
      </c>
      <c r="W8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143"/>
      <c r="Y826" s="143"/>
      <c r="Z826" s="149">
        <f>IF(AND(Table2[[#This Row],[GameIsOver]]=1,Table2[[#This Row],[ActualHomeScore]]*Table2[[#This Row],[ActualAwayScore]]=0), 1,0)</f>
        <v>0</v>
      </c>
      <c r="AA8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6" s="143">
        <f>Table2[[#This Row],[ActualAwayScore]]-Table2[[#This Row],[PredictedAwayScore]]</f>
        <v>0</v>
      </c>
      <c r="AG826" s="143">
        <f>Table2[[#This Row],[ActualHomeScore]]-Table2[[#This Row],[PredictedHomeScore]]</f>
        <v>0</v>
      </c>
      <c r="AH826" s="143">
        <f t="shared" si="67"/>
        <v>0</v>
      </c>
      <c r="AI826" s="143">
        <f t="shared" si="68"/>
        <v>0</v>
      </c>
      <c r="AJ826" s="143"/>
      <c r="AK826" s="141"/>
      <c r="AL826" s="143">
        <f>IF(Table2[[#This Row],[GameIsOver]]=0,0,IF(Table2[[#This Row],[ActualWinner]]=Table2[[#This Row],[AwayTeam]], 1, 0))</f>
        <v>0</v>
      </c>
      <c r="AM826" s="143">
        <f>IF(Table2[[#This Row],[GameIsOver]]=0,0,IF(Table2[[#This Row],[ActualWinner]]=Table2[[#This Row],[HomeTeam]], 1, 0))</f>
        <v>0</v>
      </c>
      <c r="AN8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6" s="143" t="str">
        <f>INDEX(Sheet5!$B$2:$AG$33, MATCH(Table2[[#This Row],[AwayTeam]],Sheet5!$A$2:$A$33, 0), MATCH(Table2[[#This Row],[HomeTeam]],Sheet5!$A$2:$A$33, 0))</f>
        <v>0-0-0</v>
      </c>
      <c r="AP826" s="143" t="str">
        <f>INDEX(Sheet5!$B$2:$AG$33, MATCH(Table2[[#This Row],[HomeTeam]],Sheet5!$A$2:$A$33, 0), MATCH(Table2[[#This Row],[AwayTeam]],Sheet5!$A$2:$A$33, 0))</f>
        <v>0-0-0</v>
      </c>
      <c r="AQ826" s="143">
        <f>IF(Table2[[#This Row],[GameHasShutOut]], 1, 0)</f>
        <v>0</v>
      </c>
      <c r="AR826" s="143">
        <f>IF(Table2[[#This Row],[ActualAwayScore]] + Table2[[#This Row],[ActualHomeScore]] &gt;= 10, 1, 0)</f>
        <v>0</v>
      </c>
      <c r="AS826" s="143">
        <f>IF(ABS(Table2[[#This Row],[ActualAwayScore]]-Table2[[#This Row],[ActualHomeScore]])&gt;=5, 1, 0)</f>
        <v>0</v>
      </c>
      <c r="AT826" s="143">
        <f>IF(Table2[[#This Row],[ActualAwayScore]] + Table2[[#This Row],[ActualHomeScore]] &lt;= 3, 1, 0)</f>
        <v>1</v>
      </c>
      <c r="AU8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27" spans="1:49" x14ac:dyDescent="0.25">
      <c r="A827" s="3"/>
      <c r="B827" s="3">
        <v>46048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8" spans="1:49" x14ac:dyDescent="0.25">
      <c r="A828" s="3"/>
      <c r="B828" s="3">
        <v>46048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9" spans="1:49" x14ac:dyDescent="0.25">
      <c r="A829" s="3"/>
      <c r="B829" s="3">
        <v>46048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0" spans="1:49" x14ac:dyDescent="0.25">
      <c r="A830" s="3"/>
      <c r="B830" s="3">
        <v>46048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1" spans="1:49" x14ac:dyDescent="0.25">
      <c r="A831" s="141"/>
      <c r="B831" s="141">
        <v>46048</v>
      </c>
      <c r="C831" s="142">
        <v>2025020829</v>
      </c>
      <c r="D831" s="143" t="s">
        <v>44</v>
      </c>
      <c r="E831" s="143" t="s">
        <v>22</v>
      </c>
      <c r="F831" s="143"/>
      <c r="G831" s="143"/>
      <c r="H831" s="143" t="str">
        <f t="shared" si="64"/>
        <v>_</v>
      </c>
      <c r="I831" s="143"/>
      <c r="J831" s="143"/>
      <c r="K831" s="143"/>
      <c r="L831" s="143" t="str">
        <f t="shared" si="65"/>
        <v>_</v>
      </c>
      <c r="M831" s="143"/>
      <c r="N831" s="143">
        <f>IF(ISBLANK(Table2[[#This Row],[ActualResult]]), 0, 1)</f>
        <v>0</v>
      </c>
      <c r="O831" s="143" t="str">
        <f>IF(ISBLANK(Table2[[#This Row],[ActualResult]]), "_", IF(Table2[[#This Row],[ActualWinner]]=Table2[[#This Row],[PredictedWinner]], "Y", "N"))</f>
        <v>_</v>
      </c>
      <c r="P8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143"/>
      <c r="S831" s="143" t="str">
        <f t="shared" si="66"/>
        <v>_</v>
      </c>
      <c r="T8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143">
        <f>IF(Table2[[#This Row],[InterConf]]=1,IF(Table2[[#This Row],[InterDiv]]=0, 1, 0), 0)</f>
        <v>0</v>
      </c>
      <c r="W8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143"/>
      <c r="Y831" s="143"/>
      <c r="Z831" s="149">
        <f>IF(AND(Table2[[#This Row],[GameIsOver]]=1,Table2[[#This Row],[ActualHomeScore]]*Table2[[#This Row],[ActualAwayScore]]=0), 1,0)</f>
        <v>0</v>
      </c>
      <c r="AA8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1" s="143">
        <f>Table2[[#This Row],[ActualAwayScore]]-Table2[[#This Row],[PredictedAwayScore]]</f>
        <v>0</v>
      </c>
      <c r="AG831" s="143">
        <f>Table2[[#This Row],[ActualHomeScore]]-Table2[[#This Row],[PredictedHomeScore]]</f>
        <v>0</v>
      </c>
      <c r="AH831" s="143">
        <f t="shared" si="67"/>
        <v>0</v>
      </c>
      <c r="AI831" s="143">
        <f t="shared" si="68"/>
        <v>0</v>
      </c>
      <c r="AJ831" s="143"/>
      <c r="AK831" s="141"/>
      <c r="AL831" s="143">
        <f>IF(Table2[[#This Row],[GameIsOver]]=0,0,IF(Table2[[#This Row],[ActualWinner]]=Table2[[#This Row],[AwayTeam]], 1, 0))</f>
        <v>0</v>
      </c>
      <c r="AM831" s="143">
        <f>IF(Table2[[#This Row],[GameIsOver]]=0,0,IF(Table2[[#This Row],[ActualWinner]]=Table2[[#This Row],[HomeTeam]], 1, 0))</f>
        <v>0</v>
      </c>
      <c r="AN8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1" s="143" t="str">
        <f>INDEX(Sheet5!$B$2:$AG$33, MATCH(Table2[[#This Row],[AwayTeam]],Sheet5!$A$2:$A$33, 0), MATCH(Table2[[#This Row],[HomeTeam]],Sheet5!$A$2:$A$33, 0))</f>
        <v>0-0-0</v>
      </c>
      <c r="AP831" s="143" t="str">
        <f>INDEX(Sheet5!$B$2:$AG$33, MATCH(Table2[[#This Row],[HomeTeam]],Sheet5!$A$2:$A$33, 0), MATCH(Table2[[#This Row],[AwayTeam]],Sheet5!$A$2:$A$33, 0))</f>
        <v>0-0-0</v>
      </c>
      <c r="AQ831" s="143">
        <f>IF(Table2[[#This Row],[GameHasShutOut]], 1, 0)</f>
        <v>0</v>
      </c>
      <c r="AR831" s="143">
        <f>IF(Table2[[#This Row],[ActualAwayScore]] + Table2[[#This Row],[ActualHomeScore]] &gt;= 10, 1, 0)</f>
        <v>0</v>
      </c>
      <c r="AS831" s="143">
        <f>IF(ABS(Table2[[#This Row],[ActualAwayScore]]-Table2[[#This Row],[ActualHomeScore]])&gt;=5, 1, 0)</f>
        <v>0</v>
      </c>
      <c r="AT831" s="143">
        <f>IF(Table2[[#This Row],[ActualAwayScore]] + Table2[[#This Row],[ActualHomeScore]] &lt;= 3, 1, 0)</f>
        <v>1</v>
      </c>
      <c r="AU8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2" spans="1:49" x14ac:dyDescent="0.25">
      <c r="A832" s="3"/>
      <c r="B832" s="3">
        <v>46049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3" spans="1:49" x14ac:dyDescent="0.25">
      <c r="A833" s="3"/>
      <c r="B833" s="3">
        <v>46049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4" spans="1:49" x14ac:dyDescent="0.25">
      <c r="A834" s="3"/>
      <c r="B834" s="3">
        <v>46049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5" spans="1:49" x14ac:dyDescent="0.25">
      <c r="A835" s="3"/>
      <c r="B835" s="3">
        <v>46049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6" spans="1:49" x14ac:dyDescent="0.25">
      <c r="A836" s="3"/>
      <c r="B836" s="3">
        <v>46049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7" spans="1:49" x14ac:dyDescent="0.25">
      <c r="A837" s="3"/>
      <c r="B837" s="3">
        <v>46049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8" spans="1:49" x14ac:dyDescent="0.25">
      <c r="A838" s="3"/>
      <c r="B838" s="3">
        <v>46049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9" spans="1:49" x14ac:dyDescent="0.25">
      <c r="A839" s="3"/>
      <c r="B839" s="3">
        <v>46049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0" spans="1:49" x14ac:dyDescent="0.25">
      <c r="A840" s="3"/>
      <c r="B840" s="3">
        <v>46049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1" spans="1:49" x14ac:dyDescent="0.25">
      <c r="A841" s="141"/>
      <c r="B841" s="141">
        <v>46049</v>
      </c>
      <c r="C841" s="142">
        <v>2025020839</v>
      </c>
      <c r="D841" s="143" t="s">
        <v>43</v>
      </c>
      <c r="E841" s="143" t="s">
        <v>11</v>
      </c>
      <c r="F841" s="143"/>
      <c r="G841" s="143"/>
      <c r="H841" s="143" t="str">
        <f t="shared" si="69"/>
        <v>_</v>
      </c>
      <c r="I841" s="143"/>
      <c r="J841" s="143"/>
      <c r="K841" s="143"/>
      <c r="L841" s="143" t="str">
        <f t="shared" si="70"/>
        <v>_</v>
      </c>
      <c r="M841" s="143"/>
      <c r="N841" s="143">
        <f>IF(ISBLANK(Table2[[#This Row],[ActualResult]]), 0, 1)</f>
        <v>0</v>
      </c>
      <c r="O841" s="143" t="str">
        <f>IF(ISBLANK(Table2[[#This Row],[ActualResult]]), "_", IF(Table2[[#This Row],[ActualWinner]]=Table2[[#This Row],[PredictedWinner]], "Y", "N"))</f>
        <v>_</v>
      </c>
      <c r="P8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143"/>
      <c r="S841" s="143" t="str">
        <f t="shared" si="71"/>
        <v>_</v>
      </c>
      <c r="T8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143">
        <f>IF(Table2[[#This Row],[InterConf]]=1,IF(Table2[[#This Row],[InterDiv]]=0, 1, 0), 0)</f>
        <v>0</v>
      </c>
      <c r="W8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143"/>
      <c r="Y841" s="143"/>
      <c r="Z841" s="149">
        <f>IF(AND(Table2[[#This Row],[GameIsOver]]=1,Table2[[#This Row],[ActualHomeScore]]*Table2[[#This Row],[ActualAwayScore]]=0), 1,0)</f>
        <v>0</v>
      </c>
      <c r="AA8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1" s="143">
        <f>Table2[[#This Row],[ActualAwayScore]]-Table2[[#This Row],[PredictedAwayScore]]</f>
        <v>0</v>
      </c>
      <c r="AG841" s="143">
        <f>Table2[[#This Row],[ActualHomeScore]]-Table2[[#This Row],[PredictedHomeScore]]</f>
        <v>0</v>
      </c>
      <c r="AH841" s="143">
        <f t="shared" si="72"/>
        <v>0</v>
      </c>
      <c r="AI841" s="143">
        <f t="shared" si="73"/>
        <v>0</v>
      </c>
      <c r="AJ841" s="143"/>
      <c r="AK841" s="141"/>
      <c r="AL841" s="143">
        <f>IF(Table2[[#This Row],[GameIsOver]]=0,0,IF(Table2[[#This Row],[ActualWinner]]=Table2[[#This Row],[AwayTeam]], 1, 0))</f>
        <v>0</v>
      </c>
      <c r="AM841" s="143">
        <f>IF(Table2[[#This Row],[GameIsOver]]=0,0,IF(Table2[[#This Row],[ActualWinner]]=Table2[[#This Row],[HomeTeam]], 1, 0))</f>
        <v>0</v>
      </c>
      <c r="AN8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1" s="143" t="str">
        <f>INDEX(Sheet5!$B$2:$AG$33, MATCH(Table2[[#This Row],[AwayTeam]],Sheet5!$A$2:$A$33, 0), MATCH(Table2[[#This Row],[HomeTeam]],Sheet5!$A$2:$A$33, 0))</f>
        <v>1-0-0</v>
      </c>
      <c r="AP841" s="143" t="str">
        <f>INDEX(Sheet5!$B$2:$AG$33, MATCH(Table2[[#This Row],[HomeTeam]],Sheet5!$A$2:$A$33, 0), MATCH(Table2[[#This Row],[AwayTeam]],Sheet5!$A$2:$A$33, 0))</f>
        <v>0-1-0</v>
      </c>
      <c r="AQ841" s="143">
        <f>IF(Table2[[#This Row],[GameHasShutOut]], 1, 0)</f>
        <v>0</v>
      </c>
      <c r="AR841" s="143">
        <f>IF(Table2[[#This Row],[ActualAwayScore]] + Table2[[#This Row],[ActualHomeScore]] &gt;= 10, 1, 0)</f>
        <v>0</v>
      </c>
      <c r="AS841" s="143">
        <f>IF(ABS(Table2[[#This Row],[ActualAwayScore]]-Table2[[#This Row],[ActualHomeScore]])&gt;=5, 1, 0)</f>
        <v>0</v>
      </c>
      <c r="AT841" s="143">
        <f>IF(Table2[[#This Row],[ActualAwayScore]] + Table2[[#This Row],[ActualHomeScore]] &lt;= 3, 1, 0)</f>
        <v>1</v>
      </c>
      <c r="AU8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2" spans="1:49" x14ac:dyDescent="0.25">
      <c r="A842" s="3"/>
      <c r="B842" s="3">
        <v>46050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3" spans="1:49" x14ac:dyDescent="0.25">
      <c r="A843" s="3"/>
      <c r="B843" s="3">
        <v>46050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4" spans="1:49" x14ac:dyDescent="0.25">
      <c r="A844" s="141"/>
      <c r="B844" s="141">
        <v>46050</v>
      </c>
      <c r="C844" s="142">
        <v>2025020842</v>
      </c>
      <c r="D844" s="143" t="s">
        <v>19</v>
      </c>
      <c r="E844" s="143" t="s">
        <v>32</v>
      </c>
      <c r="F844" s="143"/>
      <c r="G844" s="143"/>
      <c r="H844" s="143" t="str">
        <f t="shared" si="69"/>
        <v>_</v>
      </c>
      <c r="I844" s="143"/>
      <c r="J844" s="143"/>
      <c r="K844" s="143"/>
      <c r="L844" s="143" t="str">
        <f t="shared" si="70"/>
        <v>_</v>
      </c>
      <c r="M844" s="143"/>
      <c r="N844" s="143">
        <f>IF(ISBLANK(Table2[[#This Row],[ActualResult]]), 0, 1)</f>
        <v>0</v>
      </c>
      <c r="O844" s="143" t="str">
        <f>IF(ISBLANK(Table2[[#This Row],[ActualResult]]), "_", IF(Table2[[#This Row],[ActualWinner]]=Table2[[#This Row],[PredictedWinner]], "Y", "N"))</f>
        <v>_</v>
      </c>
      <c r="P8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143"/>
      <c r="S844" s="143" t="str">
        <f t="shared" si="71"/>
        <v>_</v>
      </c>
      <c r="T8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143">
        <f>IF(Table2[[#This Row],[InterConf]]=1,IF(Table2[[#This Row],[InterDiv]]=0, 1, 0), 0)</f>
        <v>0</v>
      </c>
      <c r="W8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143"/>
      <c r="Y844" s="143"/>
      <c r="Z844" s="149">
        <f>IF(AND(Table2[[#This Row],[GameIsOver]]=1,Table2[[#This Row],[ActualHomeScore]]*Table2[[#This Row],[ActualAwayScore]]=0), 1,0)</f>
        <v>0</v>
      </c>
      <c r="AA8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4" s="143">
        <f>Table2[[#This Row],[ActualAwayScore]]-Table2[[#This Row],[PredictedAwayScore]]</f>
        <v>0</v>
      </c>
      <c r="AG844" s="143">
        <f>Table2[[#This Row],[ActualHomeScore]]-Table2[[#This Row],[PredictedHomeScore]]</f>
        <v>0</v>
      </c>
      <c r="AH844" s="143">
        <f t="shared" si="72"/>
        <v>0</v>
      </c>
      <c r="AI844" s="143">
        <f t="shared" si="73"/>
        <v>0</v>
      </c>
      <c r="AJ844" s="143"/>
      <c r="AK844" s="141"/>
      <c r="AL844" s="143">
        <f>IF(Table2[[#This Row],[GameIsOver]]=0,0,IF(Table2[[#This Row],[ActualWinner]]=Table2[[#This Row],[AwayTeam]], 1, 0))</f>
        <v>0</v>
      </c>
      <c r="AM844" s="143">
        <f>IF(Table2[[#This Row],[GameIsOver]]=0,0,IF(Table2[[#This Row],[ActualWinner]]=Table2[[#This Row],[HomeTeam]], 1, 0))</f>
        <v>0</v>
      </c>
      <c r="AN8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4" s="143" t="str">
        <f>INDEX(Sheet5!$B$2:$AG$33, MATCH(Table2[[#This Row],[AwayTeam]],Sheet5!$A$2:$A$33, 0), MATCH(Table2[[#This Row],[HomeTeam]],Sheet5!$A$2:$A$33, 0))</f>
        <v>0-1-0</v>
      </c>
      <c r="AP844" s="143" t="str">
        <f>INDEX(Sheet5!$B$2:$AG$33, MATCH(Table2[[#This Row],[HomeTeam]],Sheet5!$A$2:$A$33, 0), MATCH(Table2[[#This Row],[AwayTeam]],Sheet5!$A$2:$A$33, 0))</f>
        <v>1-0-0</v>
      </c>
      <c r="AQ844" s="143">
        <f>IF(Table2[[#This Row],[GameHasShutOut]], 1, 0)</f>
        <v>0</v>
      </c>
      <c r="AR844" s="143">
        <f>IF(Table2[[#This Row],[ActualAwayScore]] + Table2[[#This Row],[ActualHomeScore]] &gt;= 10, 1, 0)</f>
        <v>0</v>
      </c>
      <c r="AS844" s="143">
        <f>IF(ABS(Table2[[#This Row],[ActualAwayScore]]-Table2[[#This Row],[ActualHomeScore]])&gt;=5, 1, 0)</f>
        <v>0</v>
      </c>
      <c r="AT844" s="143">
        <f>IF(Table2[[#This Row],[ActualAwayScore]] + Table2[[#This Row],[ActualHomeScore]] &lt;= 3, 1, 0)</f>
        <v>1</v>
      </c>
      <c r="AU84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4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5" spans="1:49" x14ac:dyDescent="0.25">
      <c r="A845" s="3"/>
      <c r="B845" s="3">
        <v>46051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6" spans="1:49" x14ac:dyDescent="0.25">
      <c r="A846" s="3"/>
      <c r="B846" s="3">
        <v>46051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7" spans="1:49" x14ac:dyDescent="0.25">
      <c r="A847" s="3"/>
      <c r="B847" s="3">
        <v>46051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8" spans="1:49" x14ac:dyDescent="0.25">
      <c r="A848" s="3"/>
      <c r="B848" s="3">
        <v>46051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9" spans="1:49" x14ac:dyDescent="0.25">
      <c r="A849" s="3"/>
      <c r="B849" s="3">
        <v>46051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0" spans="1:49" x14ac:dyDescent="0.25">
      <c r="A850" s="3"/>
      <c r="B850" s="3">
        <v>46051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1" spans="1:49" x14ac:dyDescent="0.25">
      <c r="A851" s="3"/>
      <c r="B851" s="3">
        <v>46051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2" spans="1:49" x14ac:dyDescent="0.25">
      <c r="A852" s="3"/>
      <c r="B852" s="3">
        <v>46051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3" spans="1:49" x14ac:dyDescent="0.25">
      <c r="A853" s="3"/>
      <c r="B853" s="3">
        <v>46051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4" spans="1:49" x14ac:dyDescent="0.25">
      <c r="A854" s="3"/>
      <c r="B854" s="3">
        <v>46051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5" spans="1:49" x14ac:dyDescent="0.25">
      <c r="A855" s="3"/>
      <c r="B855" s="3">
        <v>46051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56" spans="1:49" x14ac:dyDescent="0.25">
      <c r="A856" s="3"/>
      <c r="B856" s="3">
        <v>46051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7" spans="1:49" x14ac:dyDescent="0.25">
      <c r="A857" s="3"/>
      <c r="B857" s="3">
        <v>46051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8" spans="1:49" x14ac:dyDescent="0.25">
      <c r="A858" s="3"/>
      <c r="B858" s="3">
        <v>46051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9" spans="1:49" x14ac:dyDescent="0.25">
      <c r="A859" s="141"/>
      <c r="B859" s="141">
        <v>46051</v>
      </c>
      <c r="C859" s="142">
        <v>2025020857</v>
      </c>
      <c r="D859" s="143" t="s">
        <v>17</v>
      </c>
      <c r="E859" s="143" t="s">
        <v>11</v>
      </c>
      <c r="F859" s="143"/>
      <c r="G859" s="143"/>
      <c r="H859" s="143" t="str">
        <f t="shared" si="69"/>
        <v>_</v>
      </c>
      <c r="I859" s="143"/>
      <c r="J859" s="143"/>
      <c r="K859" s="143"/>
      <c r="L859" s="143" t="str">
        <f t="shared" si="70"/>
        <v>_</v>
      </c>
      <c r="M859" s="143"/>
      <c r="N859" s="143">
        <f>IF(ISBLANK(Table2[[#This Row],[ActualResult]]), 0, 1)</f>
        <v>0</v>
      </c>
      <c r="O859" s="143" t="str">
        <f>IF(ISBLANK(Table2[[#This Row],[ActualResult]]), "_", IF(Table2[[#This Row],[ActualWinner]]=Table2[[#This Row],[PredictedWinner]], "Y", "N"))</f>
        <v>_</v>
      </c>
      <c r="P85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143"/>
      <c r="S859" s="143" t="str">
        <f t="shared" si="71"/>
        <v>_</v>
      </c>
      <c r="T85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143">
        <f>IF(Table2[[#This Row],[InterConf]]=1,IF(Table2[[#This Row],[InterDiv]]=0, 1, 0), 0)</f>
        <v>0</v>
      </c>
      <c r="W85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143"/>
      <c r="Y859" s="143"/>
      <c r="Z859" s="149">
        <f>IF(AND(Table2[[#This Row],[GameIsOver]]=1,Table2[[#This Row],[ActualHomeScore]]*Table2[[#This Row],[ActualAwayScore]]=0), 1,0)</f>
        <v>0</v>
      </c>
      <c r="AA85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9" s="143">
        <f>Table2[[#This Row],[ActualAwayScore]]-Table2[[#This Row],[PredictedAwayScore]]</f>
        <v>0</v>
      </c>
      <c r="AG859" s="143">
        <f>Table2[[#This Row],[ActualHomeScore]]-Table2[[#This Row],[PredictedHomeScore]]</f>
        <v>0</v>
      </c>
      <c r="AH859" s="143">
        <f t="shared" si="72"/>
        <v>0</v>
      </c>
      <c r="AI859" s="143">
        <f t="shared" si="73"/>
        <v>0</v>
      </c>
      <c r="AJ859" s="143"/>
      <c r="AK859" s="141"/>
      <c r="AL859" s="143">
        <f>IF(Table2[[#This Row],[GameIsOver]]=0,0,IF(Table2[[#This Row],[ActualWinner]]=Table2[[#This Row],[AwayTeam]], 1, 0))</f>
        <v>0</v>
      </c>
      <c r="AM859" s="143">
        <f>IF(Table2[[#This Row],[GameIsOver]]=0,0,IF(Table2[[#This Row],[ActualWinner]]=Table2[[#This Row],[HomeTeam]], 1, 0))</f>
        <v>0</v>
      </c>
      <c r="AN85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9" s="143" t="str">
        <f>INDEX(Sheet5!$B$2:$AG$33, MATCH(Table2[[#This Row],[AwayTeam]],Sheet5!$A$2:$A$33, 0), MATCH(Table2[[#This Row],[HomeTeam]],Sheet5!$A$2:$A$33, 0))</f>
        <v>0-0-1</v>
      </c>
      <c r="AP859" s="143" t="str">
        <f>INDEX(Sheet5!$B$2:$AG$33, MATCH(Table2[[#This Row],[HomeTeam]],Sheet5!$A$2:$A$33, 0), MATCH(Table2[[#This Row],[AwayTeam]],Sheet5!$A$2:$A$33, 0))</f>
        <v>1-0-0</v>
      </c>
      <c r="AQ859" s="143">
        <f>IF(Table2[[#This Row],[GameHasShutOut]], 1, 0)</f>
        <v>0</v>
      </c>
      <c r="AR859" s="143">
        <f>IF(Table2[[#This Row],[ActualAwayScore]] + Table2[[#This Row],[ActualHomeScore]] &gt;= 10, 1, 0)</f>
        <v>0</v>
      </c>
      <c r="AS859" s="143">
        <f>IF(ABS(Table2[[#This Row],[ActualAwayScore]]-Table2[[#This Row],[ActualHomeScore]])&gt;=5, 1, 0)</f>
        <v>0</v>
      </c>
      <c r="AT859" s="143">
        <f>IF(Table2[[#This Row],[ActualAwayScore]] + Table2[[#This Row],[ActualHomeScore]] &lt;= 3, 1, 0)</f>
        <v>1</v>
      </c>
      <c r="AU85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0" spans="1:49" x14ac:dyDescent="0.25">
      <c r="A860" s="3"/>
      <c r="B860" s="3">
        <v>46052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1" spans="1:49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2" spans="1:49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3" spans="1:49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4" spans="1:49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5" spans="1:49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5" s="2" t="str">
        <f>INDEX(Sheet5!$B$2:$AG$33, MATCH(Table2[[#This Row],[AwayTeam]],Sheet5!$A$2:$A$33, 0), MATCH(Table2[[#This Row],[HomeTeam]],Sheet5!$A$2:$A$33, 0))</f>
        <v>1-1-0</v>
      </c>
      <c r="AP865" s="2" t="str">
        <f>INDEX(Sheet5!$B$2:$AG$33, MATCH(Table2[[#This Row],[HomeTeam]],Sheet5!$A$2:$A$33, 0), MATCH(Table2[[#This Row],[AwayTeam]],Sheet5!$A$2:$A$33, 0))</f>
        <v>1-1-0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66" spans="1:49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6" s="2" t="str">
        <f>INDEX(Sheet5!$B$2:$AG$33, MATCH(Table2[[#This Row],[AwayTeam]],Sheet5!$A$2:$A$33, 0), MATCH(Table2[[#This Row],[HomeTeam]],Sheet5!$A$2:$A$33, 0))</f>
        <v>1-1-0</v>
      </c>
      <c r="AP866" s="2" t="str">
        <f>INDEX(Sheet5!$B$2:$AG$33, MATCH(Table2[[#This Row],[HomeTeam]],Sheet5!$A$2:$A$33, 0), MATCH(Table2[[#This Row],[AwayTeam]],Sheet5!$A$2:$A$33, 0))</f>
        <v>1-0-1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7" spans="1:49" x14ac:dyDescent="0.25">
      <c r="A867" s="3"/>
      <c r="B867" s="3">
        <v>46053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8" spans="1:49" x14ac:dyDescent="0.25">
      <c r="A868" s="3"/>
      <c r="B868" s="3">
        <v>46053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9" spans="1:49" x14ac:dyDescent="0.25">
      <c r="A869" s="3"/>
      <c r="B869" s="3">
        <v>46053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0" spans="1:49" x14ac:dyDescent="0.25">
      <c r="A870" s="3"/>
      <c r="B870" s="3">
        <v>46053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1" spans="1:49" x14ac:dyDescent="0.25">
      <c r="A871" s="3"/>
      <c r="B871" s="3">
        <v>46053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2" spans="1:49" x14ac:dyDescent="0.25">
      <c r="A872" s="3"/>
      <c r="B872" s="3">
        <v>46053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3" spans="1:49" x14ac:dyDescent="0.25">
      <c r="A873" s="3"/>
      <c r="B873" s="3">
        <v>46053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4" spans="1:49" x14ac:dyDescent="0.25">
      <c r="A874" s="141"/>
      <c r="B874" s="141">
        <v>46053</v>
      </c>
      <c r="C874" s="142">
        <v>2025020872</v>
      </c>
      <c r="D874" s="143" t="s">
        <v>11</v>
      </c>
      <c r="E874" s="143" t="s">
        <v>26</v>
      </c>
      <c r="F874" s="143"/>
      <c r="G874" s="143"/>
      <c r="H874" s="143" t="str">
        <f t="shared" si="69"/>
        <v>_</v>
      </c>
      <c r="I874" s="143"/>
      <c r="J874" s="143"/>
      <c r="K874" s="143"/>
      <c r="L874" s="143" t="str">
        <f t="shared" si="70"/>
        <v>_</v>
      </c>
      <c r="M874" s="143"/>
      <c r="N874" s="143">
        <f>IF(ISBLANK(Table2[[#This Row],[ActualResult]]), 0, 1)</f>
        <v>0</v>
      </c>
      <c r="O874" s="143" t="str">
        <f>IF(ISBLANK(Table2[[#This Row],[ActualResult]]), "_", IF(Table2[[#This Row],[ActualWinner]]=Table2[[#This Row],[PredictedWinner]], "Y", "N"))</f>
        <v>_</v>
      </c>
      <c r="P8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143"/>
      <c r="S874" s="143" t="str">
        <f t="shared" si="71"/>
        <v>_</v>
      </c>
      <c r="T8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143">
        <f>IF(Table2[[#This Row],[InterConf]]=1,IF(Table2[[#This Row],[InterDiv]]=0, 1, 0), 0)</f>
        <v>0</v>
      </c>
      <c r="W8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143"/>
      <c r="Y874" s="143"/>
      <c r="Z874" s="149">
        <f>IF(AND(Table2[[#This Row],[GameIsOver]]=1,Table2[[#This Row],[ActualHomeScore]]*Table2[[#This Row],[ActualAwayScore]]=0), 1,0)</f>
        <v>0</v>
      </c>
      <c r="AA8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4" s="143">
        <f>Table2[[#This Row],[ActualAwayScore]]-Table2[[#This Row],[PredictedAwayScore]]</f>
        <v>0</v>
      </c>
      <c r="AG874" s="143">
        <f>Table2[[#This Row],[ActualHomeScore]]-Table2[[#This Row],[PredictedHomeScore]]</f>
        <v>0</v>
      </c>
      <c r="AH874" s="143">
        <f t="shared" si="72"/>
        <v>0</v>
      </c>
      <c r="AI874" s="143">
        <f t="shared" si="73"/>
        <v>0</v>
      </c>
      <c r="AJ874" s="143"/>
      <c r="AK874" s="141"/>
      <c r="AL874" s="143">
        <f>IF(Table2[[#This Row],[GameIsOver]]=0,0,IF(Table2[[#This Row],[ActualWinner]]=Table2[[#This Row],[AwayTeam]], 1, 0))</f>
        <v>0</v>
      </c>
      <c r="AM874" s="143">
        <f>IF(Table2[[#This Row],[GameIsOver]]=0,0,IF(Table2[[#This Row],[ActualWinner]]=Table2[[#This Row],[HomeTeam]], 1, 0))</f>
        <v>0</v>
      </c>
      <c r="AN8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4" s="143" t="str">
        <f>INDEX(Sheet5!$B$2:$AG$33, MATCH(Table2[[#This Row],[AwayTeam]],Sheet5!$A$2:$A$33, 0), MATCH(Table2[[#This Row],[HomeTeam]],Sheet5!$A$2:$A$33, 0))</f>
        <v>1-0-0</v>
      </c>
      <c r="AP874" s="143" t="str">
        <f>INDEX(Sheet5!$B$2:$AG$33, MATCH(Table2[[#This Row],[HomeTeam]],Sheet5!$A$2:$A$33, 0), MATCH(Table2[[#This Row],[AwayTeam]],Sheet5!$A$2:$A$33, 0))</f>
        <v>0-0-1</v>
      </c>
      <c r="AQ874" s="143">
        <f>IF(Table2[[#This Row],[GameHasShutOut]], 1, 0)</f>
        <v>0</v>
      </c>
      <c r="AR874" s="143">
        <f>IF(Table2[[#This Row],[ActualAwayScore]] + Table2[[#This Row],[ActualHomeScore]] &gt;= 10, 1, 0)</f>
        <v>0</v>
      </c>
      <c r="AS874" s="143">
        <f>IF(ABS(Table2[[#This Row],[ActualAwayScore]]-Table2[[#This Row],[ActualHomeScore]])&gt;=5, 1, 0)</f>
        <v>0</v>
      </c>
      <c r="AT874" s="143">
        <f>IF(Table2[[#This Row],[ActualAwayScore]] + Table2[[#This Row],[ActualHomeScore]] &lt;= 3, 1, 0)</f>
        <v>1</v>
      </c>
      <c r="AU8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5" spans="1:49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6" spans="1:49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7" spans="1:49" x14ac:dyDescent="0.25">
      <c r="A877" s="141"/>
      <c r="B877" s="141">
        <v>46054</v>
      </c>
      <c r="C877" s="142">
        <v>2025020875</v>
      </c>
      <c r="D877" s="143" t="s">
        <v>26</v>
      </c>
      <c r="E877" s="143" t="s">
        <v>44</v>
      </c>
      <c r="F877" s="143"/>
      <c r="G877" s="143"/>
      <c r="H877" s="143" t="str">
        <f t="shared" si="69"/>
        <v>_</v>
      </c>
      <c r="I877" s="143"/>
      <c r="J877" s="143"/>
      <c r="K877" s="143"/>
      <c r="L877" s="143" t="str">
        <f t="shared" si="70"/>
        <v>_</v>
      </c>
      <c r="M877" s="143"/>
      <c r="N877" s="143">
        <f>IF(ISBLANK(Table2[[#This Row],[ActualResult]]), 0, 1)</f>
        <v>0</v>
      </c>
      <c r="O877" s="143" t="str">
        <f>IF(ISBLANK(Table2[[#This Row],[ActualResult]]), "_", IF(Table2[[#This Row],[ActualWinner]]=Table2[[#This Row],[PredictedWinner]], "Y", "N"))</f>
        <v>_</v>
      </c>
      <c r="P8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143"/>
      <c r="S877" s="143" t="str">
        <f t="shared" si="71"/>
        <v>_</v>
      </c>
      <c r="T8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143">
        <f>IF(Table2[[#This Row],[InterConf]]=1,IF(Table2[[#This Row],[InterDiv]]=0, 1, 0), 0)</f>
        <v>0</v>
      </c>
      <c r="W8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143"/>
      <c r="Y877" s="143"/>
      <c r="Z877" s="149">
        <f>IF(AND(Table2[[#This Row],[GameIsOver]]=1,Table2[[#This Row],[ActualHomeScore]]*Table2[[#This Row],[ActualAwayScore]]=0), 1,0)</f>
        <v>0</v>
      </c>
      <c r="AA8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7" s="143">
        <f>Table2[[#This Row],[ActualAwayScore]]-Table2[[#This Row],[PredictedAwayScore]]</f>
        <v>0</v>
      </c>
      <c r="AG877" s="143">
        <f>Table2[[#This Row],[ActualHomeScore]]-Table2[[#This Row],[PredictedHomeScore]]</f>
        <v>0</v>
      </c>
      <c r="AH877" s="143">
        <f t="shared" si="72"/>
        <v>0</v>
      </c>
      <c r="AI877" s="143">
        <f t="shared" si="73"/>
        <v>0</v>
      </c>
      <c r="AJ877" s="143"/>
      <c r="AK877" s="141"/>
      <c r="AL877" s="143">
        <f>IF(Table2[[#This Row],[GameIsOver]]=0,0,IF(Table2[[#This Row],[ActualWinner]]=Table2[[#This Row],[AwayTeam]], 1, 0))</f>
        <v>0</v>
      </c>
      <c r="AM877" s="143">
        <f>IF(Table2[[#This Row],[GameIsOver]]=0,0,IF(Table2[[#This Row],[ActualWinner]]=Table2[[#This Row],[HomeTeam]], 1, 0))</f>
        <v>0</v>
      </c>
      <c r="AN8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7" s="143" t="str">
        <f>INDEX(Sheet5!$B$2:$AG$33, MATCH(Table2[[#This Row],[AwayTeam]],Sheet5!$A$2:$A$33, 0), MATCH(Table2[[#This Row],[HomeTeam]],Sheet5!$A$2:$A$33, 0))</f>
        <v>0-0-2</v>
      </c>
      <c r="AP877" s="143" t="str">
        <f>INDEX(Sheet5!$B$2:$AG$33, MATCH(Table2[[#This Row],[HomeTeam]],Sheet5!$A$2:$A$33, 0), MATCH(Table2[[#This Row],[AwayTeam]],Sheet5!$A$2:$A$33, 0))</f>
        <v>2-0-0</v>
      </c>
      <c r="AQ877" s="143">
        <f>IF(Table2[[#This Row],[GameHasShutOut]], 1, 0)</f>
        <v>0</v>
      </c>
      <c r="AR877" s="143">
        <f>IF(Table2[[#This Row],[ActualAwayScore]] + Table2[[#This Row],[ActualHomeScore]] &gt;= 10, 1, 0)</f>
        <v>0</v>
      </c>
      <c r="AS877" s="143">
        <f>IF(ABS(Table2[[#This Row],[ActualAwayScore]]-Table2[[#This Row],[ActualHomeScore]])&gt;=5, 1, 0)</f>
        <v>0</v>
      </c>
      <c r="AT877" s="143">
        <f>IF(Table2[[#This Row],[ActualAwayScore]] + Table2[[#This Row],[ActualHomeScore]] &lt;= 3, 1, 0)</f>
        <v>1</v>
      </c>
      <c r="AU8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8" spans="1:49" x14ac:dyDescent="0.25">
      <c r="A878" s="3"/>
      <c r="B878" s="3">
        <v>46055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9" spans="1:49" x14ac:dyDescent="0.25">
      <c r="A879" s="3"/>
      <c r="B879" s="3">
        <v>46055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0" spans="1:49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1" spans="1:49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2" spans="1:49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2" s="2" t="str">
        <f>INDEX(Sheet5!$B$2:$AG$33, MATCH(Table2[[#This Row],[AwayTeam]],Sheet5!$A$2:$A$33, 0), MATCH(Table2[[#This Row],[HomeTeam]],Sheet5!$A$2:$A$33, 0))</f>
        <v>0-2-0</v>
      </c>
      <c r="AP882" s="2" t="str">
        <f>INDEX(Sheet5!$B$2:$AG$33, MATCH(Table2[[#This Row],[HomeTeam]],Sheet5!$A$2:$A$33, 0), MATCH(Table2[[#This Row],[AwayTeam]],Sheet5!$A$2:$A$33, 0))</f>
        <v>2-0-0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3" spans="1:49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4" spans="1:49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5" spans="1:49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6" spans="1:49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7" spans="1:49" x14ac:dyDescent="0.25">
      <c r="A887" s="141"/>
      <c r="B887" s="141">
        <v>46056</v>
      </c>
      <c r="C887" s="142">
        <v>2025020885</v>
      </c>
      <c r="D887" s="143" t="s">
        <v>17</v>
      </c>
      <c r="E887" s="143" t="s">
        <v>23</v>
      </c>
      <c r="F887" s="143"/>
      <c r="G887" s="143"/>
      <c r="H887" s="143" t="str">
        <f t="shared" si="69"/>
        <v>_</v>
      </c>
      <c r="I887" s="143"/>
      <c r="J887" s="143"/>
      <c r="K887" s="143"/>
      <c r="L887" s="143" t="str">
        <f t="shared" si="70"/>
        <v>_</v>
      </c>
      <c r="M887" s="143"/>
      <c r="N887" s="143">
        <f>IF(ISBLANK(Table2[[#This Row],[ActualResult]]), 0, 1)</f>
        <v>0</v>
      </c>
      <c r="O887" s="143" t="str">
        <f>IF(ISBLANK(Table2[[#This Row],[ActualResult]]), "_", IF(Table2[[#This Row],[ActualWinner]]=Table2[[#This Row],[PredictedWinner]], "Y", "N"))</f>
        <v>_</v>
      </c>
      <c r="P88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143"/>
      <c r="S887" s="143" t="str">
        <f t="shared" si="71"/>
        <v>_</v>
      </c>
      <c r="T88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143">
        <f>IF(Table2[[#This Row],[InterConf]]=1,IF(Table2[[#This Row],[InterDiv]]=0, 1, 0), 0)</f>
        <v>0</v>
      </c>
      <c r="W88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143"/>
      <c r="Y887" s="143"/>
      <c r="Z887" s="149">
        <f>IF(AND(Table2[[#This Row],[GameIsOver]]=1,Table2[[#This Row],[ActualHomeScore]]*Table2[[#This Row],[ActualAwayScore]]=0), 1,0)</f>
        <v>0</v>
      </c>
      <c r="AA88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143">
        <f>Table2[[#This Row],[ActualAwayScore]]-Table2[[#This Row],[PredictedAwayScore]]</f>
        <v>0</v>
      </c>
      <c r="AG887" s="143">
        <f>Table2[[#This Row],[ActualHomeScore]]-Table2[[#This Row],[PredictedHomeScore]]</f>
        <v>0</v>
      </c>
      <c r="AH887" s="143">
        <f t="shared" si="72"/>
        <v>0</v>
      </c>
      <c r="AI887" s="143">
        <f t="shared" si="73"/>
        <v>0</v>
      </c>
      <c r="AJ887" s="143"/>
      <c r="AK887" s="141"/>
      <c r="AL887" s="143">
        <f>IF(Table2[[#This Row],[GameIsOver]]=0,0,IF(Table2[[#This Row],[ActualWinner]]=Table2[[#This Row],[AwayTeam]], 1, 0))</f>
        <v>0</v>
      </c>
      <c r="AM887" s="143">
        <f>IF(Table2[[#This Row],[GameIsOver]]=0,0,IF(Table2[[#This Row],[ActualWinner]]=Table2[[#This Row],[HomeTeam]], 1, 0))</f>
        <v>0</v>
      </c>
      <c r="AN88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7" s="143" t="str">
        <f>INDEX(Sheet5!$B$2:$AG$33, MATCH(Table2[[#This Row],[AwayTeam]],Sheet5!$A$2:$A$33, 0), MATCH(Table2[[#This Row],[HomeTeam]],Sheet5!$A$2:$A$33, 0))</f>
        <v>1-0-0</v>
      </c>
      <c r="AP887" s="143" t="str">
        <f>INDEX(Sheet5!$B$2:$AG$33, MATCH(Table2[[#This Row],[HomeTeam]],Sheet5!$A$2:$A$33, 0), MATCH(Table2[[#This Row],[AwayTeam]],Sheet5!$A$2:$A$33, 0))</f>
        <v>0-1-0</v>
      </c>
      <c r="AQ887" s="143">
        <f>IF(Table2[[#This Row],[GameHasShutOut]], 1, 0)</f>
        <v>0</v>
      </c>
      <c r="AR887" s="143">
        <f>IF(Table2[[#This Row],[ActualAwayScore]] + Table2[[#This Row],[ActualHomeScore]] &gt;= 10, 1, 0)</f>
        <v>0</v>
      </c>
      <c r="AS887" s="143">
        <f>IF(ABS(Table2[[#This Row],[ActualAwayScore]]-Table2[[#This Row],[ActualHomeScore]])&gt;=5, 1, 0)</f>
        <v>0</v>
      </c>
      <c r="AT887" s="143">
        <f>IF(Table2[[#This Row],[ActualAwayScore]] + Table2[[#This Row],[ActualHomeScore]] &lt;= 3, 1, 0)</f>
        <v>1</v>
      </c>
      <c r="AU88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88" spans="1:49" x14ac:dyDescent="0.25">
      <c r="A888" s="3"/>
      <c r="B888" s="3">
        <v>46056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9" spans="1:49" x14ac:dyDescent="0.25">
      <c r="A889" s="3"/>
      <c r="B889" s="3">
        <v>46056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0" spans="1:49" x14ac:dyDescent="0.25">
      <c r="A890" s="3"/>
      <c r="B890" s="3">
        <v>46056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1" spans="1:49" x14ac:dyDescent="0.25">
      <c r="A891" s="3"/>
      <c r="B891" s="3">
        <v>46056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2" spans="1:49" x14ac:dyDescent="0.25">
      <c r="A892" s="3"/>
      <c r="B892" s="3">
        <v>46056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3" spans="1:49" x14ac:dyDescent="0.25">
      <c r="A893" s="3"/>
      <c r="B893" s="3">
        <v>46056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3" s="2" t="str">
        <f>INDEX(Sheet5!$B$2:$AG$33, MATCH(Table2[[#This Row],[AwayTeam]],Sheet5!$A$2:$A$33, 0), MATCH(Table2[[#This Row],[HomeTeam]],Sheet5!$A$2:$A$33, 0))</f>
        <v>0-1-0</v>
      </c>
      <c r="AP893" s="2" t="str">
        <f>INDEX(Sheet5!$B$2:$AG$33, MATCH(Table2[[#This Row],[HomeTeam]],Sheet5!$A$2:$A$33, 0), MATCH(Table2[[#This Row],[AwayTeam]],Sheet5!$A$2:$A$33, 0))</f>
        <v>1-0-0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4" spans="1:49" x14ac:dyDescent="0.25">
      <c r="A894" s="141"/>
      <c r="B894" s="141">
        <v>46056</v>
      </c>
      <c r="C894" s="142">
        <v>2025020892</v>
      </c>
      <c r="D894" s="143" t="s">
        <v>11</v>
      </c>
      <c r="E894" s="143" t="s">
        <v>44</v>
      </c>
      <c r="F894" s="143"/>
      <c r="G894" s="143"/>
      <c r="H894" s="143" t="str">
        <f t="shared" si="69"/>
        <v>_</v>
      </c>
      <c r="I894" s="143"/>
      <c r="J894" s="143"/>
      <c r="K894" s="143"/>
      <c r="L894" s="143" t="str">
        <f t="shared" si="70"/>
        <v>_</v>
      </c>
      <c r="M894" s="143"/>
      <c r="N894" s="143">
        <f>IF(ISBLANK(Table2[[#This Row],[ActualResult]]), 0, 1)</f>
        <v>0</v>
      </c>
      <c r="O894" s="143" t="str">
        <f>IF(ISBLANK(Table2[[#This Row],[ActualResult]]), "_", IF(Table2[[#This Row],[ActualWinner]]=Table2[[#This Row],[PredictedWinner]], "Y", "N"))</f>
        <v>_</v>
      </c>
      <c r="P8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143"/>
      <c r="S894" s="143" t="str">
        <f t="shared" si="71"/>
        <v>_</v>
      </c>
      <c r="T8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143">
        <f>IF(Table2[[#This Row],[InterConf]]=1,IF(Table2[[#This Row],[InterDiv]]=0, 1, 0), 0)</f>
        <v>0</v>
      </c>
      <c r="W8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143"/>
      <c r="Y894" s="143"/>
      <c r="Z894" s="149">
        <f>IF(AND(Table2[[#This Row],[GameIsOver]]=1,Table2[[#This Row],[ActualHomeScore]]*Table2[[#This Row],[ActualAwayScore]]=0), 1,0)</f>
        <v>0</v>
      </c>
      <c r="AA8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4" s="143">
        <f>Table2[[#This Row],[ActualAwayScore]]-Table2[[#This Row],[PredictedAwayScore]]</f>
        <v>0</v>
      </c>
      <c r="AG894" s="143">
        <f>Table2[[#This Row],[ActualHomeScore]]-Table2[[#This Row],[PredictedHomeScore]]</f>
        <v>0</v>
      </c>
      <c r="AH894" s="143">
        <f t="shared" si="72"/>
        <v>0</v>
      </c>
      <c r="AI894" s="143">
        <f t="shared" si="73"/>
        <v>0</v>
      </c>
      <c r="AJ894" s="143"/>
      <c r="AK894" s="141"/>
      <c r="AL894" s="143">
        <f>IF(Table2[[#This Row],[GameIsOver]]=0,0,IF(Table2[[#This Row],[ActualWinner]]=Table2[[#This Row],[AwayTeam]], 1, 0))</f>
        <v>0</v>
      </c>
      <c r="AM894" s="143">
        <f>IF(Table2[[#This Row],[GameIsOver]]=0,0,IF(Table2[[#This Row],[ActualWinner]]=Table2[[#This Row],[HomeTeam]], 1, 0))</f>
        <v>0</v>
      </c>
      <c r="AN8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4" s="143" t="str">
        <f>INDEX(Sheet5!$B$2:$AG$33, MATCH(Table2[[#This Row],[AwayTeam]],Sheet5!$A$2:$A$33, 0), MATCH(Table2[[#This Row],[HomeTeam]],Sheet5!$A$2:$A$33, 0))</f>
        <v>1-0-0</v>
      </c>
      <c r="AP894" s="143" t="str">
        <f>INDEX(Sheet5!$B$2:$AG$33, MATCH(Table2[[#This Row],[HomeTeam]],Sheet5!$A$2:$A$33, 0), MATCH(Table2[[#This Row],[AwayTeam]],Sheet5!$A$2:$A$33, 0))</f>
        <v>0-1-0</v>
      </c>
      <c r="AQ894" s="143">
        <f>IF(Table2[[#This Row],[GameHasShutOut]], 1, 0)</f>
        <v>0</v>
      </c>
      <c r="AR894" s="143">
        <f>IF(Table2[[#This Row],[ActualAwayScore]] + Table2[[#This Row],[ActualHomeScore]] &gt;= 10, 1, 0)</f>
        <v>0</v>
      </c>
      <c r="AS894" s="143">
        <f>IF(ABS(Table2[[#This Row],[ActualAwayScore]]-Table2[[#This Row],[ActualHomeScore]])&gt;=5, 1, 0)</f>
        <v>0</v>
      </c>
      <c r="AT894" s="143">
        <f>IF(Table2[[#This Row],[ActualAwayScore]] + Table2[[#This Row],[ActualHomeScore]] &lt;= 3, 1, 0)</f>
        <v>1</v>
      </c>
      <c r="AU8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5" spans="1:49" x14ac:dyDescent="0.25">
      <c r="A895" s="3"/>
      <c r="B895" s="3">
        <v>46057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6" spans="1:49" x14ac:dyDescent="0.25">
      <c r="A896" s="3"/>
      <c r="B896" s="3">
        <v>46057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7" spans="1:49" x14ac:dyDescent="0.25">
      <c r="A897" s="3"/>
      <c r="B897" s="3">
        <v>46057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8" spans="1:49" x14ac:dyDescent="0.25">
      <c r="A898" s="3"/>
      <c r="B898" s="3">
        <v>46057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9" spans="1:49" x14ac:dyDescent="0.25">
      <c r="A899" s="3"/>
      <c r="B899" s="3">
        <v>46057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0" spans="1:49" x14ac:dyDescent="0.25">
      <c r="A900" s="3"/>
      <c r="B900" s="3">
        <v>46057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1" spans="1:49" x14ac:dyDescent="0.25">
      <c r="A901" s="3"/>
      <c r="B901" s="3">
        <v>46057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2" spans="1:49" x14ac:dyDescent="0.25">
      <c r="A902" s="3"/>
      <c r="B902" s="3">
        <v>46057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3" spans="1:49" x14ac:dyDescent="0.25">
      <c r="A903" s="3"/>
      <c r="B903" s="3">
        <v>46057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4" spans="1:49" x14ac:dyDescent="0.25">
      <c r="A904" s="141"/>
      <c r="B904" s="141">
        <v>46057</v>
      </c>
      <c r="C904" s="142">
        <v>2025020902</v>
      </c>
      <c r="D904" s="143" t="s">
        <v>11</v>
      </c>
      <c r="E904" s="143" t="s">
        <v>27</v>
      </c>
      <c r="F904" s="143"/>
      <c r="G904" s="143"/>
      <c r="H904" s="143" t="str">
        <f t="shared" si="74"/>
        <v>_</v>
      </c>
      <c r="I904" s="143"/>
      <c r="J904" s="143"/>
      <c r="K904" s="143"/>
      <c r="L904" s="143" t="str">
        <f t="shared" si="75"/>
        <v>_</v>
      </c>
      <c r="M904" s="143"/>
      <c r="N904" s="143">
        <f>IF(ISBLANK(Table2[[#This Row],[ActualResult]]), 0, 1)</f>
        <v>0</v>
      </c>
      <c r="O904" s="143" t="str">
        <f>IF(ISBLANK(Table2[[#This Row],[ActualResult]]), "_", IF(Table2[[#This Row],[ActualWinner]]=Table2[[#This Row],[PredictedWinner]], "Y", "N"))</f>
        <v>_</v>
      </c>
      <c r="P9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143"/>
      <c r="S904" s="143" t="str">
        <f t="shared" si="76"/>
        <v>_</v>
      </c>
      <c r="T9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143">
        <f>IF(Table2[[#This Row],[InterConf]]=1,IF(Table2[[#This Row],[InterDiv]]=0, 1, 0), 0)</f>
        <v>0</v>
      </c>
      <c r="W9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143"/>
      <c r="Y904" s="143"/>
      <c r="Z904" s="149">
        <f>IF(AND(Table2[[#This Row],[GameIsOver]]=1,Table2[[#This Row],[ActualHomeScore]]*Table2[[#This Row],[ActualAwayScore]]=0), 1,0)</f>
        <v>0</v>
      </c>
      <c r="AA9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4" s="143">
        <f>Table2[[#This Row],[ActualAwayScore]]-Table2[[#This Row],[PredictedAwayScore]]</f>
        <v>0</v>
      </c>
      <c r="AG904" s="143">
        <f>Table2[[#This Row],[ActualHomeScore]]-Table2[[#This Row],[PredictedHomeScore]]</f>
        <v>0</v>
      </c>
      <c r="AH904" s="143">
        <f t="shared" si="77"/>
        <v>0</v>
      </c>
      <c r="AI904" s="143">
        <f t="shared" si="78"/>
        <v>0</v>
      </c>
      <c r="AJ904" s="143"/>
      <c r="AK904" s="141"/>
      <c r="AL904" s="143">
        <f>IF(Table2[[#This Row],[GameIsOver]]=0,0,IF(Table2[[#This Row],[ActualWinner]]=Table2[[#This Row],[AwayTeam]], 1, 0))</f>
        <v>0</v>
      </c>
      <c r="AM904" s="143">
        <f>IF(Table2[[#This Row],[GameIsOver]]=0,0,IF(Table2[[#This Row],[ActualWinner]]=Table2[[#This Row],[HomeTeam]], 1, 0))</f>
        <v>0</v>
      </c>
      <c r="AN9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4" s="143" t="str">
        <f>INDEX(Sheet5!$B$2:$AG$33, MATCH(Table2[[#This Row],[AwayTeam]],Sheet5!$A$2:$A$33, 0), MATCH(Table2[[#This Row],[HomeTeam]],Sheet5!$A$2:$A$33, 0))</f>
        <v>1-0-0</v>
      </c>
      <c r="AP904" s="143" t="str">
        <f>INDEX(Sheet5!$B$2:$AG$33, MATCH(Table2[[#This Row],[HomeTeam]],Sheet5!$A$2:$A$33, 0), MATCH(Table2[[#This Row],[AwayTeam]],Sheet5!$A$2:$A$33, 0))</f>
        <v>0-0-1</v>
      </c>
      <c r="AQ904" s="143">
        <f>IF(Table2[[#This Row],[GameHasShutOut]], 1, 0)</f>
        <v>0</v>
      </c>
      <c r="AR904" s="143">
        <f>IF(Table2[[#This Row],[ActualAwayScore]] + Table2[[#This Row],[ActualHomeScore]] &gt;= 10, 1, 0)</f>
        <v>0</v>
      </c>
      <c r="AS904" s="143">
        <f>IF(ABS(Table2[[#This Row],[ActualAwayScore]]-Table2[[#This Row],[ActualHomeScore]])&gt;=5, 1, 0)</f>
        <v>0</v>
      </c>
      <c r="AT904" s="143">
        <f>IF(Table2[[#This Row],[ActualAwayScore]] + Table2[[#This Row],[ActualHomeScore]] &lt;= 3, 1, 0)</f>
        <v>1</v>
      </c>
      <c r="AU90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5" spans="1:49" x14ac:dyDescent="0.25">
      <c r="A905" s="3"/>
      <c r="B905" s="3">
        <v>46058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6" spans="1:49" x14ac:dyDescent="0.25">
      <c r="A906" s="3"/>
      <c r="B906" s="3">
        <v>46058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6" s="2" t="str">
        <f>INDEX(Sheet5!$B$2:$AG$33, MATCH(Table2[[#This Row],[AwayTeam]],Sheet5!$A$2:$A$33, 0), MATCH(Table2[[#This Row],[HomeTeam]],Sheet5!$A$2:$A$33, 0))</f>
        <v>1-1-0</v>
      </c>
      <c r="AP906" s="2" t="str">
        <f>INDEX(Sheet5!$B$2:$AG$33, MATCH(Table2[[#This Row],[HomeTeam]],Sheet5!$A$2:$A$33, 0), MATCH(Table2[[#This Row],[AwayTeam]],Sheet5!$A$2:$A$33, 0))</f>
        <v>1-1-0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7" spans="1:49" x14ac:dyDescent="0.25">
      <c r="A907" s="3"/>
      <c r="B907" s="3">
        <v>46058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8" spans="1:49" x14ac:dyDescent="0.25">
      <c r="A908" s="3"/>
      <c r="B908" s="3">
        <v>46058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9" spans="1:49" x14ac:dyDescent="0.25">
      <c r="A909" s="3"/>
      <c r="B909" s="3">
        <v>46058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0" spans="1:49" x14ac:dyDescent="0.25">
      <c r="A910" s="3"/>
      <c r="B910" s="3">
        <v>46058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1" spans="1:49" ht="15.75" thickBot="1" x14ac:dyDescent="0.3">
      <c r="A911" s="157"/>
      <c r="B911" s="157">
        <v>46058</v>
      </c>
      <c r="C911" s="158">
        <v>2025020909</v>
      </c>
      <c r="D911" s="159" t="s">
        <v>27</v>
      </c>
      <c r="E911" s="159" t="s">
        <v>26</v>
      </c>
      <c r="F911" s="159"/>
      <c r="G911" s="159"/>
      <c r="H911" s="159" t="str">
        <f t="shared" si="74"/>
        <v>_</v>
      </c>
      <c r="I911" s="159"/>
      <c r="J911" s="159"/>
      <c r="K911" s="159"/>
      <c r="L911" s="159" t="str">
        <f t="shared" si="75"/>
        <v>_</v>
      </c>
      <c r="M911" s="159"/>
      <c r="N911" s="159">
        <f>IF(ISBLANK(Table2[[#This Row],[ActualResult]]), 0, 1)</f>
        <v>0</v>
      </c>
      <c r="O911" s="159" t="str">
        <f>IF(ISBLANK(Table2[[#This Row],[ActualResult]]), "_", IF(Table2[[#This Row],[ActualWinner]]=Table2[[#This Row],[PredictedWinner]], "Y", "N"))</f>
        <v>_</v>
      </c>
      <c r="P911" s="159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159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159"/>
      <c r="S911" s="159" t="str">
        <f t="shared" si="76"/>
        <v>_</v>
      </c>
      <c r="T911" s="159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159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159">
        <f>IF(Table2[[#This Row],[InterConf]]=1,IF(Table2[[#This Row],[InterDiv]]=0, 1, 0), 0)</f>
        <v>0</v>
      </c>
      <c r="W911" s="159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159"/>
      <c r="Y911" s="159"/>
      <c r="Z911" s="160">
        <f>IF(AND(Table2[[#This Row],[GameIsOver]]=1,Table2[[#This Row],[ActualHomeScore]]*Table2[[#This Row],[ActualAwayScore]]=0), 1,0)</f>
        <v>0</v>
      </c>
      <c r="AA911" s="160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60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61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1" s="161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1" s="157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1" s="159">
        <f>Table2[[#This Row],[ActualAwayScore]]-Table2[[#This Row],[PredictedAwayScore]]</f>
        <v>0</v>
      </c>
      <c r="AG911" s="159">
        <f>Table2[[#This Row],[ActualHomeScore]]-Table2[[#This Row],[PredictedHomeScore]]</f>
        <v>0</v>
      </c>
      <c r="AH911" s="159">
        <f t="shared" si="77"/>
        <v>0</v>
      </c>
      <c r="AI911" s="159">
        <f t="shared" si="78"/>
        <v>0</v>
      </c>
      <c r="AJ911" s="159"/>
      <c r="AK911" s="157"/>
      <c r="AL911" s="159">
        <f>IF(Table2[[#This Row],[GameIsOver]]=0,0,IF(Table2[[#This Row],[ActualWinner]]=Table2[[#This Row],[AwayTeam]], 1, 0))</f>
        <v>0</v>
      </c>
      <c r="AM911" s="159">
        <f>IF(Table2[[#This Row],[GameIsOver]]=0,0,IF(Table2[[#This Row],[ActualWinner]]=Table2[[#This Row],[HomeTeam]], 1, 0))</f>
        <v>0</v>
      </c>
      <c r="AN911" s="159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1" s="159" t="str">
        <f>INDEX(Sheet5!$B$2:$AG$33, MATCH(Table2[[#This Row],[AwayTeam]],Sheet5!$A$2:$A$33, 0), MATCH(Table2[[#This Row],[HomeTeam]],Sheet5!$A$2:$A$33, 0))</f>
        <v>1-0-0</v>
      </c>
      <c r="AP911" s="159" t="str">
        <f>INDEX(Sheet5!$B$2:$AG$33, MATCH(Table2[[#This Row],[HomeTeam]],Sheet5!$A$2:$A$33, 0), MATCH(Table2[[#This Row],[AwayTeam]],Sheet5!$A$2:$A$33, 0))</f>
        <v>0-0-1</v>
      </c>
      <c r="AQ911" s="159">
        <f>IF(Table2[[#This Row],[GameHasShutOut]], 1, 0)</f>
        <v>0</v>
      </c>
      <c r="AR911" s="159">
        <f>IF(Table2[[#This Row],[ActualAwayScore]] + Table2[[#This Row],[ActualHomeScore]] &gt;= 10, 1, 0)</f>
        <v>0</v>
      </c>
      <c r="AS911" s="159">
        <f>IF(ABS(Table2[[#This Row],[ActualAwayScore]]-Table2[[#This Row],[ActualHomeScore]])&gt;=5, 1, 0)</f>
        <v>0</v>
      </c>
      <c r="AT911" s="159">
        <f>IF(Table2[[#This Row],[ActualAwayScore]] + Table2[[#This Row],[ActualHomeScore]] &lt;= 3, 1, 0)</f>
        <v>1</v>
      </c>
      <c r="AU911" s="159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1" s="159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2" spans="1:49" ht="15.75" thickTop="1" x14ac:dyDescent="0.25">
      <c r="A912" s="3"/>
      <c r="B912" s="3">
        <v>46078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3" spans="1:49" x14ac:dyDescent="0.25">
      <c r="A913" s="3"/>
      <c r="B913" s="3">
        <v>46078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4" spans="1:49" x14ac:dyDescent="0.25">
      <c r="A914" s="3"/>
      <c r="B914" s="3">
        <v>46078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5" spans="1:49" x14ac:dyDescent="0.25">
      <c r="A915" s="3"/>
      <c r="B915" s="3">
        <v>46078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6" spans="1:49" x14ac:dyDescent="0.25">
      <c r="A916" s="3"/>
      <c r="B916" s="3">
        <v>46078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7" spans="1:49" x14ac:dyDescent="0.25">
      <c r="A917" s="3"/>
      <c r="B917" s="3">
        <v>46078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8" spans="1:49" x14ac:dyDescent="0.25">
      <c r="A918" s="3"/>
      <c r="B918" s="3">
        <v>46078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9" spans="1:49" x14ac:dyDescent="0.25">
      <c r="A919" s="141"/>
      <c r="B919" s="141">
        <v>46078</v>
      </c>
      <c r="C919" s="142">
        <v>2025020917</v>
      </c>
      <c r="D919" s="143" t="s">
        <v>22</v>
      </c>
      <c r="E919" s="143" t="s">
        <v>44</v>
      </c>
      <c r="F919" s="143"/>
      <c r="G919" s="143"/>
      <c r="H919" s="143" t="str">
        <f t="shared" si="74"/>
        <v>_</v>
      </c>
      <c r="I919" s="143"/>
      <c r="J919" s="143"/>
      <c r="K919" s="143"/>
      <c r="L919" s="143" t="str">
        <f t="shared" si="75"/>
        <v>_</v>
      </c>
      <c r="M919" s="143"/>
      <c r="N919" s="143">
        <f>IF(ISBLANK(Table2[[#This Row],[ActualResult]]), 0, 1)</f>
        <v>0</v>
      </c>
      <c r="O919" s="143" t="str">
        <f>IF(ISBLANK(Table2[[#This Row],[ActualResult]]), "_", IF(Table2[[#This Row],[ActualWinner]]=Table2[[#This Row],[PredictedWinner]], "Y", "N"))</f>
        <v>_</v>
      </c>
      <c r="P9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143"/>
      <c r="S919" s="143" t="str">
        <f t="shared" si="76"/>
        <v>_</v>
      </c>
      <c r="T9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143">
        <f>IF(Table2[[#This Row],[InterConf]]=1,IF(Table2[[#This Row],[InterDiv]]=0, 1, 0), 0)</f>
        <v>0</v>
      </c>
      <c r="W9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143"/>
      <c r="Y919" s="143"/>
      <c r="Z919" s="149">
        <f>IF(AND(Table2[[#This Row],[GameIsOver]]=1,Table2[[#This Row],[ActualHomeScore]]*Table2[[#This Row],[ActualAwayScore]]=0), 1,0)</f>
        <v>0</v>
      </c>
      <c r="AA9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9" s="143">
        <f>Table2[[#This Row],[ActualAwayScore]]-Table2[[#This Row],[PredictedAwayScore]]</f>
        <v>0</v>
      </c>
      <c r="AG919" s="143">
        <f>Table2[[#This Row],[ActualHomeScore]]-Table2[[#This Row],[PredictedHomeScore]]</f>
        <v>0</v>
      </c>
      <c r="AH919" s="143">
        <f t="shared" si="77"/>
        <v>0</v>
      </c>
      <c r="AI919" s="143">
        <f t="shared" si="78"/>
        <v>0</v>
      </c>
      <c r="AJ919" s="143"/>
      <c r="AK919" s="141"/>
      <c r="AL919" s="143">
        <f>IF(Table2[[#This Row],[GameIsOver]]=0,0,IF(Table2[[#This Row],[ActualWinner]]=Table2[[#This Row],[AwayTeam]], 1, 0))</f>
        <v>0</v>
      </c>
      <c r="AM919" s="143">
        <f>IF(Table2[[#This Row],[GameIsOver]]=0,0,IF(Table2[[#This Row],[ActualWinner]]=Table2[[#This Row],[HomeTeam]], 1, 0))</f>
        <v>0</v>
      </c>
      <c r="AN9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9" s="143" t="str">
        <f>INDEX(Sheet5!$B$2:$AG$33, MATCH(Table2[[#This Row],[AwayTeam]],Sheet5!$A$2:$A$33, 0), MATCH(Table2[[#This Row],[HomeTeam]],Sheet5!$A$2:$A$33, 0))</f>
        <v>0-0-0</v>
      </c>
      <c r="AP919" s="143" t="str">
        <f>INDEX(Sheet5!$B$2:$AG$33, MATCH(Table2[[#This Row],[HomeTeam]],Sheet5!$A$2:$A$33, 0), MATCH(Table2[[#This Row],[AwayTeam]],Sheet5!$A$2:$A$33, 0))</f>
        <v>0-0-0</v>
      </c>
      <c r="AQ919" s="143">
        <f>IF(Table2[[#This Row],[GameHasShutOut]], 1, 0)</f>
        <v>0</v>
      </c>
      <c r="AR919" s="143">
        <f>IF(Table2[[#This Row],[ActualAwayScore]] + Table2[[#This Row],[ActualHomeScore]] &gt;= 10, 1, 0)</f>
        <v>0</v>
      </c>
      <c r="AS919" s="143">
        <f>IF(ABS(Table2[[#This Row],[ActualAwayScore]]-Table2[[#This Row],[ActualHomeScore]])&gt;=5, 1, 0)</f>
        <v>0</v>
      </c>
      <c r="AT919" s="143">
        <f>IF(Table2[[#This Row],[ActualAwayScore]] + Table2[[#This Row],[ActualHomeScore]] &lt;= 3, 1, 0)</f>
        <v>1</v>
      </c>
      <c r="AU9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0" spans="1:49" x14ac:dyDescent="0.25">
      <c r="A920" s="3"/>
      <c r="B920" s="3">
        <v>46079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1" spans="1:49" x14ac:dyDescent="0.25">
      <c r="A921" s="3"/>
      <c r="B921" s="3">
        <v>46079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2" spans="1:49" x14ac:dyDescent="0.25">
      <c r="A922" s="3"/>
      <c r="B922" s="3">
        <v>46079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3" spans="1:49" x14ac:dyDescent="0.25">
      <c r="A923" s="3"/>
      <c r="B923" s="3">
        <v>46079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4" spans="1:49" x14ac:dyDescent="0.25">
      <c r="A924" s="3"/>
      <c r="B924" s="3">
        <v>46079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5" spans="1:49" x14ac:dyDescent="0.25">
      <c r="A925" s="3"/>
      <c r="B925" s="3">
        <v>46079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6" spans="1:49" x14ac:dyDescent="0.25">
      <c r="A926" s="3"/>
      <c r="B926" s="3">
        <v>46079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7" spans="1:49" x14ac:dyDescent="0.25">
      <c r="A927" s="3"/>
      <c r="B927" s="3">
        <v>46079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8" spans="1:49" x14ac:dyDescent="0.25">
      <c r="A928" s="3"/>
      <c r="B928" s="3">
        <v>46079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9" spans="1:49" x14ac:dyDescent="0.25">
      <c r="A929" s="3"/>
      <c r="B929" s="3">
        <v>46079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0" spans="1:49" x14ac:dyDescent="0.25">
      <c r="A930" s="3"/>
      <c r="B930" s="3">
        <v>46079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0" s="2" t="str">
        <f>INDEX(Sheet5!$B$2:$AG$33, MATCH(Table2[[#This Row],[AwayTeam]],Sheet5!$A$2:$A$33, 0), MATCH(Table2[[#This Row],[HomeTeam]],Sheet5!$A$2:$A$33, 0))</f>
        <v>1-1-0</v>
      </c>
      <c r="AP930" s="2" t="str">
        <f>INDEX(Sheet5!$B$2:$AG$33, MATCH(Table2[[#This Row],[HomeTeam]],Sheet5!$A$2:$A$33, 0), MATCH(Table2[[#This Row],[AwayTeam]],Sheet5!$A$2:$A$33, 0))</f>
        <v>1-1-0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31" spans="1:49" x14ac:dyDescent="0.25">
      <c r="A931" s="141"/>
      <c r="B931" s="141">
        <v>46079</v>
      </c>
      <c r="C931" s="142">
        <v>2025020929</v>
      </c>
      <c r="D931" s="143" t="s">
        <v>22</v>
      </c>
      <c r="E931" s="143" t="s">
        <v>27</v>
      </c>
      <c r="F931" s="143"/>
      <c r="G931" s="143"/>
      <c r="H931" s="143" t="str">
        <f t="shared" si="74"/>
        <v>_</v>
      </c>
      <c r="I931" s="143"/>
      <c r="J931" s="143"/>
      <c r="K931" s="143"/>
      <c r="L931" s="143" t="str">
        <f t="shared" si="75"/>
        <v>_</v>
      </c>
      <c r="M931" s="143"/>
      <c r="N931" s="143">
        <f>IF(ISBLANK(Table2[[#This Row],[ActualResult]]), 0, 1)</f>
        <v>0</v>
      </c>
      <c r="O931" s="143" t="str">
        <f>IF(ISBLANK(Table2[[#This Row],[ActualResult]]), "_", IF(Table2[[#This Row],[ActualWinner]]=Table2[[#This Row],[PredictedWinner]], "Y", "N"))</f>
        <v>_</v>
      </c>
      <c r="P9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143"/>
      <c r="S931" s="143" t="str">
        <f t="shared" si="76"/>
        <v>_</v>
      </c>
      <c r="T9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143">
        <f>IF(Table2[[#This Row],[InterConf]]=1,IF(Table2[[#This Row],[InterDiv]]=0, 1, 0), 0)</f>
        <v>0</v>
      </c>
      <c r="W9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143"/>
      <c r="Y931" s="143"/>
      <c r="Z931" s="149">
        <f>IF(AND(Table2[[#This Row],[GameIsOver]]=1,Table2[[#This Row],[ActualHomeScore]]*Table2[[#This Row],[ActualAwayScore]]=0), 1,0)</f>
        <v>0</v>
      </c>
      <c r="AA9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1" s="143">
        <f>Table2[[#This Row],[ActualAwayScore]]-Table2[[#This Row],[PredictedAwayScore]]</f>
        <v>0</v>
      </c>
      <c r="AG931" s="143">
        <f>Table2[[#This Row],[ActualHomeScore]]-Table2[[#This Row],[PredictedHomeScore]]</f>
        <v>0</v>
      </c>
      <c r="AH931" s="143">
        <f t="shared" si="77"/>
        <v>0</v>
      </c>
      <c r="AI931" s="143">
        <f t="shared" si="78"/>
        <v>0</v>
      </c>
      <c r="AJ931" s="143"/>
      <c r="AK931" s="141"/>
      <c r="AL931" s="143">
        <f>IF(Table2[[#This Row],[GameIsOver]]=0,0,IF(Table2[[#This Row],[ActualWinner]]=Table2[[#This Row],[AwayTeam]], 1, 0))</f>
        <v>0</v>
      </c>
      <c r="AM931" s="143">
        <f>IF(Table2[[#This Row],[GameIsOver]]=0,0,IF(Table2[[#This Row],[ActualWinner]]=Table2[[#This Row],[HomeTeam]], 1, 0))</f>
        <v>0</v>
      </c>
      <c r="AN9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1" s="143" t="str">
        <f>INDEX(Sheet5!$B$2:$AG$33, MATCH(Table2[[#This Row],[AwayTeam]],Sheet5!$A$2:$A$33, 0), MATCH(Table2[[#This Row],[HomeTeam]],Sheet5!$A$2:$A$33, 0))</f>
        <v>0-0-0</v>
      </c>
      <c r="AP931" s="143" t="str">
        <f>INDEX(Sheet5!$B$2:$AG$33, MATCH(Table2[[#This Row],[HomeTeam]],Sheet5!$A$2:$A$33, 0), MATCH(Table2[[#This Row],[AwayTeam]],Sheet5!$A$2:$A$33, 0))</f>
        <v>0-0-0</v>
      </c>
      <c r="AQ931" s="143">
        <f>IF(Table2[[#This Row],[GameHasShutOut]], 1, 0)</f>
        <v>0</v>
      </c>
      <c r="AR931" s="143">
        <f>IF(Table2[[#This Row],[ActualAwayScore]] + Table2[[#This Row],[ActualHomeScore]] &gt;= 10, 1, 0)</f>
        <v>0</v>
      </c>
      <c r="AS931" s="143">
        <f>IF(ABS(Table2[[#This Row],[ActualAwayScore]]-Table2[[#This Row],[ActualHomeScore]])&gt;=5, 1, 0)</f>
        <v>0</v>
      </c>
      <c r="AT931" s="143">
        <f>IF(Table2[[#This Row],[ActualAwayScore]] + Table2[[#This Row],[ActualHomeScore]] &lt;= 3, 1, 0)</f>
        <v>1</v>
      </c>
      <c r="AU9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2" spans="1:49" x14ac:dyDescent="0.25">
      <c r="A932" s="3"/>
      <c r="B932" s="3">
        <v>46080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3" spans="1:49" x14ac:dyDescent="0.25">
      <c r="A933" s="3"/>
      <c r="B933" s="3">
        <v>46080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4" spans="1:49" x14ac:dyDescent="0.25">
      <c r="A934" s="3"/>
      <c r="B934" s="3">
        <v>46080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5" spans="1:49" x14ac:dyDescent="0.25">
      <c r="A935" s="141"/>
      <c r="B935" s="141">
        <v>46080</v>
      </c>
      <c r="C935" s="142">
        <v>2025020933</v>
      </c>
      <c r="D935" s="143" t="s">
        <v>21</v>
      </c>
      <c r="E935" s="143" t="s">
        <v>44</v>
      </c>
      <c r="F935" s="143"/>
      <c r="G935" s="143"/>
      <c r="H935" s="143" t="str">
        <f t="shared" si="74"/>
        <v>_</v>
      </c>
      <c r="I935" s="143"/>
      <c r="J935" s="143"/>
      <c r="K935" s="143"/>
      <c r="L935" s="143" t="str">
        <f t="shared" si="75"/>
        <v>_</v>
      </c>
      <c r="M935" s="143"/>
      <c r="N935" s="143">
        <f>IF(ISBLANK(Table2[[#This Row],[ActualResult]]), 0, 1)</f>
        <v>0</v>
      </c>
      <c r="O935" s="143" t="str">
        <f>IF(ISBLANK(Table2[[#This Row],[ActualResult]]), "_", IF(Table2[[#This Row],[ActualWinner]]=Table2[[#This Row],[PredictedWinner]], "Y", "N"))</f>
        <v>_</v>
      </c>
      <c r="P9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143"/>
      <c r="S935" s="143" t="str">
        <f t="shared" si="76"/>
        <v>_</v>
      </c>
      <c r="T9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143">
        <f>IF(Table2[[#This Row],[InterConf]]=1,IF(Table2[[#This Row],[InterDiv]]=0, 1, 0), 0)</f>
        <v>1</v>
      </c>
      <c r="W9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143"/>
      <c r="Y935" s="143"/>
      <c r="Z935" s="149">
        <f>IF(AND(Table2[[#This Row],[GameIsOver]]=1,Table2[[#This Row],[ActualHomeScore]]*Table2[[#This Row],[ActualAwayScore]]=0), 1,0)</f>
        <v>0</v>
      </c>
      <c r="AA9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5" s="143">
        <f>Table2[[#This Row],[ActualAwayScore]]-Table2[[#This Row],[PredictedAwayScore]]</f>
        <v>0</v>
      </c>
      <c r="AG935" s="143">
        <f>Table2[[#This Row],[ActualHomeScore]]-Table2[[#This Row],[PredictedHomeScore]]</f>
        <v>0</v>
      </c>
      <c r="AH935" s="143">
        <f t="shared" si="77"/>
        <v>0</v>
      </c>
      <c r="AI935" s="143">
        <f t="shared" si="78"/>
        <v>0</v>
      </c>
      <c r="AJ935" s="143"/>
      <c r="AK935" s="141"/>
      <c r="AL935" s="143">
        <f>IF(Table2[[#This Row],[GameIsOver]]=0,0,IF(Table2[[#This Row],[ActualWinner]]=Table2[[#This Row],[AwayTeam]], 1, 0))</f>
        <v>0</v>
      </c>
      <c r="AM935" s="143">
        <f>IF(Table2[[#This Row],[GameIsOver]]=0,0,IF(Table2[[#This Row],[ActualWinner]]=Table2[[#This Row],[HomeTeam]], 1, 0))</f>
        <v>0</v>
      </c>
      <c r="AN9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5" s="143" t="str">
        <f>INDEX(Sheet5!$B$2:$AG$33, MATCH(Table2[[#This Row],[AwayTeam]],Sheet5!$A$2:$A$33, 0), MATCH(Table2[[#This Row],[HomeTeam]],Sheet5!$A$2:$A$33, 0))</f>
        <v>0-1-0</v>
      </c>
      <c r="AP935" s="143" t="str">
        <f>INDEX(Sheet5!$B$2:$AG$33, MATCH(Table2[[#This Row],[HomeTeam]],Sheet5!$A$2:$A$33, 0), MATCH(Table2[[#This Row],[AwayTeam]],Sheet5!$A$2:$A$33, 0))</f>
        <v>1-0-0</v>
      </c>
      <c r="AQ935" s="143">
        <f>IF(Table2[[#This Row],[GameHasShutOut]], 1, 0)</f>
        <v>0</v>
      </c>
      <c r="AR935" s="143">
        <f>IF(Table2[[#This Row],[ActualAwayScore]] + Table2[[#This Row],[ActualHomeScore]] &gt;= 10, 1, 0)</f>
        <v>0</v>
      </c>
      <c r="AS935" s="143">
        <f>IF(ABS(Table2[[#This Row],[ActualAwayScore]]-Table2[[#This Row],[ActualHomeScore]])&gt;=5, 1, 0)</f>
        <v>0</v>
      </c>
      <c r="AT935" s="143">
        <f>IF(Table2[[#This Row],[ActualAwayScore]] + Table2[[#This Row],[ActualHomeScore]] &lt;= 3, 1, 0)</f>
        <v>1</v>
      </c>
      <c r="AU9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5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6" spans="1:49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7" spans="1:49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8" spans="1:49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9" spans="1:49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0" spans="1:49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9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1" spans="1:49" x14ac:dyDescent="0.25">
      <c r="A941" s="3"/>
      <c r="B941" s="3">
        <v>46081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2" spans="1:49" x14ac:dyDescent="0.25">
      <c r="A942" s="3"/>
      <c r="B942" s="3">
        <v>46081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3" spans="1:49" x14ac:dyDescent="0.25">
      <c r="A943" s="3"/>
      <c r="B943" s="3">
        <v>46081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4" spans="1:49" x14ac:dyDescent="0.25">
      <c r="A944" s="3"/>
      <c r="B944" s="3">
        <v>46081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5" spans="1:49" x14ac:dyDescent="0.25">
      <c r="A945" s="3"/>
      <c r="B945" s="3">
        <v>46081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6" spans="1:49" x14ac:dyDescent="0.25">
      <c r="A946" s="3"/>
      <c r="B946" s="3">
        <v>46081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6" s="2" t="str">
        <f>INDEX(Sheet5!$B$2:$AG$33, MATCH(Table2[[#This Row],[AwayTeam]],Sheet5!$A$2:$A$33, 0), MATCH(Table2[[#This Row],[HomeTeam]],Sheet5!$A$2:$A$33, 0))</f>
        <v>1-0-0</v>
      </c>
      <c r="AP946" s="2" t="str">
        <f>INDEX(Sheet5!$B$2:$AG$33, MATCH(Table2[[#This Row],[HomeTeam]],Sheet5!$A$2:$A$33, 0), MATCH(Table2[[#This Row],[AwayTeam]],Sheet5!$A$2:$A$33, 0))</f>
        <v>0-0-1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47" spans="1:49" x14ac:dyDescent="0.25">
      <c r="A947" s="3"/>
      <c r="B947" s="3">
        <v>46081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8" spans="1:49" x14ac:dyDescent="0.25">
      <c r="A948" s="141"/>
      <c r="B948" s="141">
        <v>46081</v>
      </c>
      <c r="C948" s="142">
        <v>2025020946</v>
      </c>
      <c r="D948" s="143" t="s">
        <v>24</v>
      </c>
      <c r="E948" s="143" t="s">
        <v>11</v>
      </c>
      <c r="F948" s="143"/>
      <c r="G948" s="143"/>
      <c r="H948" s="143" t="str">
        <f t="shared" si="74"/>
        <v>_</v>
      </c>
      <c r="I948" s="143"/>
      <c r="J948" s="143"/>
      <c r="K948" s="143"/>
      <c r="L948" s="143" t="str">
        <f t="shared" si="75"/>
        <v>_</v>
      </c>
      <c r="M948" s="143"/>
      <c r="N948" s="143">
        <f>IF(ISBLANK(Table2[[#This Row],[ActualResult]]), 0, 1)</f>
        <v>0</v>
      </c>
      <c r="O948" s="143" t="str">
        <f>IF(ISBLANK(Table2[[#This Row],[ActualResult]]), "_", IF(Table2[[#This Row],[ActualWinner]]=Table2[[#This Row],[PredictedWinner]], "Y", "N"))</f>
        <v>_</v>
      </c>
      <c r="P9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143"/>
      <c r="S948" s="143" t="str">
        <f t="shared" si="76"/>
        <v>_</v>
      </c>
      <c r="T9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143">
        <f>IF(Table2[[#This Row],[InterConf]]=1,IF(Table2[[#This Row],[InterDiv]]=0, 1, 0), 0)</f>
        <v>0</v>
      </c>
      <c r="W9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143"/>
      <c r="Y948" s="143"/>
      <c r="Z948" s="149">
        <f>IF(AND(Table2[[#This Row],[GameIsOver]]=1,Table2[[#This Row],[ActualHomeScore]]*Table2[[#This Row],[ActualAwayScore]]=0), 1,0)</f>
        <v>0</v>
      </c>
      <c r="AA9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8" s="143">
        <f>Table2[[#This Row],[ActualAwayScore]]-Table2[[#This Row],[PredictedAwayScore]]</f>
        <v>0</v>
      </c>
      <c r="AG948" s="143">
        <f>Table2[[#This Row],[ActualHomeScore]]-Table2[[#This Row],[PredictedHomeScore]]</f>
        <v>0</v>
      </c>
      <c r="AH948" s="143">
        <f t="shared" si="77"/>
        <v>0</v>
      </c>
      <c r="AI948" s="143">
        <f t="shared" si="78"/>
        <v>0</v>
      </c>
      <c r="AJ948" s="143"/>
      <c r="AK948" s="141"/>
      <c r="AL948" s="143">
        <f>IF(Table2[[#This Row],[GameIsOver]]=0,0,IF(Table2[[#This Row],[ActualWinner]]=Table2[[#This Row],[AwayTeam]], 1, 0))</f>
        <v>0</v>
      </c>
      <c r="AM948" s="143">
        <f>IF(Table2[[#This Row],[GameIsOver]]=0,0,IF(Table2[[#This Row],[ActualWinner]]=Table2[[#This Row],[HomeTeam]], 1, 0))</f>
        <v>0</v>
      </c>
      <c r="AN9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8" s="143" t="str">
        <f>INDEX(Sheet5!$B$2:$AG$33, MATCH(Table2[[#This Row],[AwayTeam]],Sheet5!$A$2:$A$33, 0), MATCH(Table2[[#This Row],[HomeTeam]],Sheet5!$A$2:$A$33, 0))</f>
        <v>0-0-0</v>
      </c>
      <c r="AP948" s="143" t="str">
        <f>INDEX(Sheet5!$B$2:$AG$33, MATCH(Table2[[#This Row],[HomeTeam]],Sheet5!$A$2:$A$33, 0), MATCH(Table2[[#This Row],[AwayTeam]],Sheet5!$A$2:$A$33, 0))</f>
        <v>0-0-0</v>
      </c>
      <c r="AQ948" s="143">
        <f>IF(Table2[[#This Row],[GameHasShutOut]], 1, 0)</f>
        <v>0</v>
      </c>
      <c r="AR948" s="143">
        <f>IF(Table2[[#This Row],[ActualAwayScore]] + Table2[[#This Row],[ActualHomeScore]] &gt;= 10, 1, 0)</f>
        <v>0</v>
      </c>
      <c r="AS948" s="143">
        <f>IF(ABS(Table2[[#This Row],[ActualAwayScore]]-Table2[[#This Row],[ActualHomeScore]])&gt;=5, 1, 0)</f>
        <v>0</v>
      </c>
      <c r="AT948" s="143">
        <f>IF(Table2[[#This Row],[ActualAwayScore]] + Table2[[#This Row],[ActualHomeScore]] &lt;= 3, 1, 0)</f>
        <v>1</v>
      </c>
      <c r="AU9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9" spans="1:49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0" spans="1:49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1" spans="1:49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2" spans="1:49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3" spans="1:49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4" spans="1:49" x14ac:dyDescent="0.25">
      <c r="A954" s="141"/>
      <c r="B954" s="141">
        <v>46082</v>
      </c>
      <c r="C954" s="142">
        <v>2025020952</v>
      </c>
      <c r="D954" s="143" t="s">
        <v>23</v>
      </c>
      <c r="E954" s="143" t="s">
        <v>44</v>
      </c>
      <c r="F954" s="143"/>
      <c r="G954" s="143"/>
      <c r="H954" s="143" t="str">
        <f t="shared" si="74"/>
        <v>_</v>
      </c>
      <c r="I954" s="143"/>
      <c r="J954" s="143"/>
      <c r="K954" s="143"/>
      <c r="L954" s="143" t="str">
        <f t="shared" si="75"/>
        <v>_</v>
      </c>
      <c r="M954" s="143"/>
      <c r="N954" s="143">
        <f>IF(ISBLANK(Table2[[#This Row],[ActualResult]]), 0, 1)</f>
        <v>0</v>
      </c>
      <c r="O954" s="143" t="str">
        <f>IF(ISBLANK(Table2[[#This Row],[ActualResult]]), "_", IF(Table2[[#This Row],[ActualWinner]]=Table2[[#This Row],[PredictedWinner]], "Y", "N"))</f>
        <v>_</v>
      </c>
      <c r="P9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143"/>
      <c r="S954" s="143" t="str">
        <f t="shared" si="76"/>
        <v>_</v>
      </c>
      <c r="T9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143">
        <f>IF(Table2[[#This Row],[InterConf]]=1,IF(Table2[[#This Row],[InterDiv]]=0, 1, 0), 0)</f>
        <v>0</v>
      </c>
      <c r="W9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143"/>
      <c r="Y954" s="143"/>
      <c r="Z954" s="149">
        <f>IF(AND(Table2[[#This Row],[GameIsOver]]=1,Table2[[#This Row],[ActualHomeScore]]*Table2[[#This Row],[ActualAwayScore]]=0), 1,0)</f>
        <v>0</v>
      </c>
      <c r="AA9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4" s="143">
        <f>Table2[[#This Row],[ActualAwayScore]]-Table2[[#This Row],[PredictedAwayScore]]</f>
        <v>0</v>
      </c>
      <c r="AG954" s="143">
        <f>Table2[[#This Row],[ActualHomeScore]]-Table2[[#This Row],[PredictedHomeScore]]</f>
        <v>0</v>
      </c>
      <c r="AH954" s="143">
        <f t="shared" si="77"/>
        <v>0</v>
      </c>
      <c r="AI954" s="143">
        <f t="shared" si="78"/>
        <v>0</v>
      </c>
      <c r="AJ954" s="143"/>
      <c r="AK954" s="141"/>
      <c r="AL954" s="143">
        <f>IF(Table2[[#This Row],[GameIsOver]]=0,0,IF(Table2[[#This Row],[ActualWinner]]=Table2[[#This Row],[AwayTeam]], 1, 0))</f>
        <v>0</v>
      </c>
      <c r="AM954" s="143">
        <f>IF(Table2[[#This Row],[GameIsOver]]=0,0,IF(Table2[[#This Row],[ActualWinner]]=Table2[[#This Row],[HomeTeam]], 1, 0))</f>
        <v>0</v>
      </c>
      <c r="AN9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4" s="143" t="str">
        <f>INDEX(Sheet5!$B$2:$AG$33, MATCH(Table2[[#This Row],[AwayTeam]],Sheet5!$A$2:$A$33, 0), MATCH(Table2[[#This Row],[HomeTeam]],Sheet5!$A$2:$A$33, 0))</f>
        <v>0-0-0</v>
      </c>
      <c r="AP954" s="143" t="str">
        <f>INDEX(Sheet5!$B$2:$AG$33, MATCH(Table2[[#This Row],[HomeTeam]],Sheet5!$A$2:$A$33, 0), MATCH(Table2[[#This Row],[AwayTeam]],Sheet5!$A$2:$A$33, 0))</f>
        <v>0-0-0</v>
      </c>
      <c r="AQ954" s="143">
        <f>IF(Table2[[#This Row],[GameHasShutOut]], 1, 0)</f>
        <v>0</v>
      </c>
      <c r="AR954" s="143">
        <f>IF(Table2[[#This Row],[ActualAwayScore]] + Table2[[#This Row],[ActualHomeScore]] &gt;= 10, 1, 0)</f>
        <v>0</v>
      </c>
      <c r="AS954" s="143">
        <f>IF(ABS(Table2[[#This Row],[ActualAwayScore]]-Table2[[#This Row],[ActualHomeScore]])&gt;=5, 1, 0)</f>
        <v>0</v>
      </c>
      <c r="AT954" s="143">
        <f>IF(Table2[[#This Row],[ActualAwayScore]] + Table2[[#This Row],[ActualHomeScore]] &lt;= 3, 1, 0)</f>
        <v>1</v>
      </c>
      <c r="AU9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55" spans="1:49" x14ac:dyDescent="0.25">
      <c r="A955" s="3"/>
      <c r="B955" s="3">
        <v>46083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6" spans="1:49" x14ac:dyDescent="0.25">
      <c r="A956" s="3"/>
      <c r="B956" s="3">
        <v>46083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7" spans="1:49" x14ac:dyDescent="0.25">
      <c r="A957" s="3"/>
      <c r="B957" s="3">
        <v>46083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8" spans="1:49" x14ac:dyDescent="0.25">
      <c r="A958" s="3"/>
      <c r="B958" s="3">
        <v>46083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9" spans="1:49" x14ac:dyDescent="0.25">
      <c r="A959" s="3"/>
      <c r="B959" s="3">
        <v>46083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0" spans="1:49" x14ac:dyDescent="0.25">
      <c r="A960" s="141"/>
      <c r="B960" s="141">
        <v>46083</v>
      </c>
      <c r="C960" s="142">
        <v>2025020958</v>
      </c>
      <c r="D960" s="143" t="s">
        <v>25</v>
      </c>
      <c r="E960" s="143" t="s">
        <v>27</v>
      </c>
      <c r="F960" s="143"/>
      <c r="G960" s="143"/>
      <c r="H960" s="143" t="str">
        <f t="shared" si="74"/>
        <v>_</v>
      </c>
      <c r="I960" s="143"/>
      <c r="J960" s="143"/>
      <c r="K960" s="143"/>
      <c r="L960" s="143" t="str">
        <f t="shared" si="75"/>
        <v>_</v>
      </c>
      <c r="M960" s="143"/>
      <c r="N960" s="143">
        <f>IF(ISBLANK(Table2[[#This Row],[ActualResult]]), 0, 1)</f>
        <v>0</v>
      </c>
      <c r="O960" s="143" t="str">
        <f>IF(ISBLANK(Table2[[#This Row],[ActualResult]]), "_", IF(Table2[[#This Row],[ActualWinner]]=Table2[[#This Row],[PredictedWinner]], "Y", "N"))</f>
        <v>_</v>
      </c>
      <c r="P96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143"/>
      <c r="S960" s="143" t="str">
        <f t="shared" si="76"/>
        <v>_</v>
      </c>
      <c r="T96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143">
        <f>IF(Table2[[#This Row],[InterConf]]=1,IF(Table2[[#This Row],[InterDiv]]=0, 1, 0), 0)</f>
        <v>1</v>
      </c>
      <c r="W96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143"/>
      <c r="Y960" s="143"/>
      <c r="Z960" s="149">
        <f>IF(AND(Table2[[#This Row],[GameIsOver]]=1,Table2[[#This Row],[ActualHomeScore]]*Table2[[#This Row],[ActualAwayScore]]=0), 1,0)</f>
        <v>0</v>
      </c>
      <c r="AA96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0" s="143">
        <f>Table2[[#This Row],[ActualAwayScore]]-Table2[[#This Row],[PredictedAwayScore]]</f>
        <v>0</v>
      </c>
      <c r="AG960" s="143">
        <f>Table2[[#This Row],[ActualHomeScore]]-Table2[[#This Row],[PredictedHomeScore]]</f>
        <v>0</v>
      </c>
      <c r="AH960" s="143">
        <f t="shared" si="77"/>
        <v>0</v>
      </c>
      <c r="AI960" s="143">
        <f t="shared" si="78"/>
        <v>0</v>
      </c>
      <c r="AJ960" s="143"/>
      <c r="AK960" s="141"/>
      <c r="AL960" s="143">
        <f>IF(Table2[[#This Row],[GameIsOver]]=0,0,IF(Table2[[#This Row],[ActualWinner]]=Table2[[#This Row],[AwayTeam]], 1, 0))</f>
        <v>0</v>
      </c>
      <c r="AM960" s="143">
        <f>IF(Table2[[#This Row],[GameIsOver]]=0,0,IF(Table2[[#This Row],[ActualWinner]]=Table2[[#This Row],[HomeTeam]], 1, 0))</f>
        <v>0</v>
      </c>
      <c r="AN96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60" s="143" t="str">
        <f>INDEX(Sheet5!$B$2:$AG$33, MATCH(Table2[[#This Row],[AwayTeam]],Sheet5!$A$2:$A$33, 0), MATCH(Table2[[#This Row],[HomeTeam]],Sheet5!$A$2:$A$33, 0))</f>
        <v>1-0-0</v>
      </c>
      <c r="AP960" s="143" t="str">
        <f>INDEX(Sheet5!$B$2:$AG$33, MATCH(Table2[[#This Row],[HomeTeam]],Sheet5!$A$2:$A$33, 0), MATCH(Table2[[#This Row],[AwayTeam]],Sheet5!$A$2:$A$33, 0))</f>
        <v>0-1-0</v>
      </c>
      <c r="AQ960" s="143">
        <f>IF(Table2[[#This Row],[GameHasShutOut]], 1, 0)</f>
        <v>0</v>
      </c>
      <c r="AR960" s="143">
        <f>IF(Table2[[#This Row],[ActualAwayScore]] + Table2[[#This Row],[ActualHomeScore]] &gt;= 10, 1, 0)</f>
        <v>0</v>
      </c>
      <c r="AS960" s="143">
        <f>IF(ABS(Table2[[#This Row],[ActualAwayScore]]-Table2[[#This Row],[ActualHomeScore]])&gt;=5, 1, 0)</f>
        <v>0</v>
      </c>
      <c r="AT960" s="143">
        <f>IF(Table2[[#This Row],[ActualAwayScore]] + Table2[[#This Row],[ActualHomeScore]] &lt;= 3, 1, 0)</f>
        <v>1</v>
      </c>
      <c r="AU96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1" spans="1:49" x14ac:dyDescent="0.25">
      <c r="A961" s="3"/>
      <c r="B961" s="3">
        <v>46084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2" spans="1:49" x14ac:dyDescent="0.25">
      <c r="A962" s="3"/>
      <c r="B962" s="3">
        <v>46084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3" spans="1:49" x14ac:dyDescent="0.25">
      <c r="A963" s="3"/>
      <c r="B963" s="3">
        <v>46084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4" spans="1:49" x14ac:dyDescent="0.25">
      <c r="A964" s="3"/>
      <c r="B964" s="3">
        <v>46084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5" spans="1:49" x14ac:dyDescent="0.25">
      <c r="A965" s="3"/>
      <c r="B965" s="3">
        <v>46084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6" spans="1:49" x14ac:dyDescent="0.25">
      <c r="A966" s="3"/>
      <c r="B966" s="3">
        <v>46084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7" spans="1:49" x14ac:dyDescent="0.25">
      <c r="A967" s="3"/>
      <c r="B967" s="3">
        <v>46084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68" spans="1:49" x14ac:dyDescent="0.25">
      <c r="A968" s="3"/>
      <c r="B968" s="3">
        <v>46084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9" spans="1:49" x14ac:dyDescent="0.25">
      <c r="A969" s="3"/>
      <c r="B969" s="3">
        <v>46084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0" spans="1:49" x14ac:dyDescent="0.25">
      <c r="A970" s="3"/>
      <c r="B970" s="3">
        <v>46084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1" spans="1:49" x14ac:dyDescent="0.25">
      <c r="A971" s="141"/>
      <c r="B971" s="141">
        <v>46084</v>
      </c>
      <c r="C971" s="142">
        <v>2025020969</v>
      </c>
      <c r="D971" s="143" t="s">
        <v>18</v>
      </c>
      <c r="E971" s="143" t="s">
        <v>37</v>
      </c>
      <c r="F971" s="143"/>
      <c r="G971" s="143"/>
      <c r="H971" s="143" t="str">
        <f t="shared" si="79"/>
        <v>_</v>
      </c>
      <c r="I971" s="143"/>
      <c r="J971" s="143"/>
      <c r="K971" s="143"/>
      <c r="L971" s="143" t="str">
        <f t="shared" si="80"/>
        <v>_</v>
      </c>
      <c r="M971" s="143"/>
      <c r="N971" s="143">
        <f>IF(ISBLANK(Table2[[#This Row],[ActualResult]]), 0, 1)</f>
        <v>0</v>
      </c>
      <c r="O971" s="143" t="str">
        <f>IF(ISBLANK(Table2[[#This Row],[ActualResult]]), "_", IF(Table2[[#This Row],[ActualWinner]]=Table2[[#This Row],[PredictedWinner]], "Y", "N"))</f>
        <v>_</v>
      </c>
      <c r="P9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143"/>
      <c r="S971" s="143" t="str">
        <f t="shared" si="81"/>
        <v>_</v>
      </c>
      <c r="T9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143">
        <f>IF(Table2[[#This Row],[InterConf]]=1,IF(Table2[[#This Row],[InterDiv]]=0, 1, 0), 0)</f>
        <v>0</v>
      </c>
      <c r="W9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143"/>
      <c r="Y971" s="143"/>
      <c r="Z971" s="149">
        <f>IF(AND(Table2[[#This Row],[GameIsOver]]=1,Table2[[#This Row],[ActualHomeScore]]*Table2[[#This Row],[ActualAwayScore]]=0), 1,0)</f>
        <v>0</v>
      </c>
      <c r="AA9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1" s="143">
        <f>Table2[[#This Row],[ActualAwayScore]]-Table2[[#This Row],[PredictedAwayScore]]</f>
        <v>0</v>
      </c>
      <c r="AG971" s="143">
        <f>Table2[[#This Row],[ActualHomeScore]]-Table2[[#This Row],[PredictedHomeScore]]</f>
        <v>0</v>
      </c>
      <c r="AH971" s="143">
        <f t="shared" si="82"/>
        <v>0</v>
      </c>
      <c r="AI971" s="143">
        <f t="shared" si="83"/>
        <v>0</v>
      </c>
      <c r="AJ971" s="143"/>
      <c r="AK971" s="141"/>
      <c r="AL971" s="143">
        <f>IF(Table2[[#This Row],[GameIsOver]]=0,0,IF(Table2[[#This Row],[ActualWinner]]=Table2[[#This Row],[AwayTeam]], 1, 0))</f>
        <v>0</v>
      </c>
      <c r="AM971" s="143">
        <f>IF(Table2[[#This Row],[GameIsOver]]=0,0,IF(Table2[[#This Row],[ActualWinner]]=Table2[[#This Row],[HomeTeam]], 1, 0))</f>
        <v>0</v>
      </c>
      <c r="AN9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1" s="143" t="str">
        <f>INDEX(Sheet5!$B$2:$AG$33, MATCH(Table2[[#This Row],[AwayTeam]],Sheet5!$A$2:$A$33, 0), MATCH(Table2[[#This Row],[HomeTeam]],Sheet5!$A$2:$A$33, 0))</f>
        <v>0-0-0</v>
      </c>
      <c r="AP971" s="143" t="str">
        <f>INDEX(Sheet5!$B$2:$AG$33, MATCH(Table2[[#This Row],[HomeTeam]],Sheet5!$A$2:$A$33, 0), MATCH(Table2[[#This Row],[AwayTeam]],Sheet5!$A$2:$A$33, 0))</f>
        <v>0-0-0</v>
      </c>
      <c r="AQ971" s="143">
        <f>IF(Table2[[#This Row],[GameHasShutOut]], 1, 0)</f>
        <v>0</v>
      </c>
      <c r="AR971" s="143">
        <f>IF(Table2[[#This Row],[ActualAwayScore]] + Table2[[#This Row],[ActualHomeScore]] &gt;= 10, 1, 0)</f>
        <v>0</v>
      </c>
      <c r="AS971" s="143">
        <f>IF(ABS(Table2[[#This Row],[ActualAwayScore]]-Table2[[#This Row],[ActualHomeScore]])&gt;=5, 1, 0)</f>
        <v>0</v>
      </c>
      <c r="AT971" s="143">
        <f>IF(Table2[[#This Row],[ActualAwayScore]] + Table2[[#This Row],[ActualHomeScore]] &lt;= 3, 1, 0)</f>
        <v>1</v>
      </c>
      <c r="AU97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2" spans="1:49" x14ac:dyDescent="0.25">
      <c r="A972" s="3"/>
      <c r="B972" s="3">
        <v>46085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3" spans="1:49" x14ac:dyDescent="0.25">
      <c r="A973" s="3"/>
      <c r="B973" s="3">
        <v>46085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4" spans="1:49" x14ac:dyDescent="0.25">
      <c r="A974" s="3"/>
      <c r="B974" s="3">
        <v>46085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5" spans="1:49" x14ac:dyDescent="0.25">
      <c r="A975" s="3"/>
      <c r="B975" s="3">
        <v>46085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5" s="2" t="str">
        <f>INDEX(Sheet5!$B$2:$AG$33, MATCH(Table2[[#This Row],[AwayTeam]],Sheet5!$A$2:$A$33, 0), MATCH(Table2[[#This Row],[HomeTeam]],Sheet5!$A$2:$A$33, 0))</f>
        <v>1-0-0</v>
      </c>
      <c r="AP975" s="2" t="str">
        <f>INDEX(Sheet5!$B$2:$AG$33, MATCH(Table2[[#This Row],[HomeTeam]],Sheet5!$A$2:$A$33, 0), MATCH(Table2[[#This Row],[AwayTeam]],Sheet5!$A$2:$A$33, 0))</f>
        <v>0-1-0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6" spans="1:49" x14ac:dyDescent="0.25">
      <c r="A976" s="141"/>
      <c r="B976" s="141">
        <v>46085</v>
      </c>
      <c r="C976" s="142">
        <v>2025020974</v>
      </c>
      <c r="D976" s="143" t="s">
        <v>12</v>
      </c>
      <c r="E976" s="143" t="s">
        <v>11</v>
      </c>
      <c r="F976" s="143"/>
      <c r="G976" s="143"/>
      <c r="H976" s="143" t="str">
        <f t="shared" si="79"/>
        <v>_</v>
      </c>
      <c r="I976" s="143"/>
      <c r="J976" s="143"/>
      <c r="K976" s="143"/>
      <c r="L976" s="143" t="str">
        <f t="shared" si="80"/>
        <v>_</v>
      </c>
      <c r="M976" s="143"/>
      <c r="N976" s="143">
        <f>IF(ISBLANK(Table2[[#This Row],[ActualResult]]), 0, 1)</f>
        <v>0</v>
      </c>
      <c r="O976" s="143" t="str">
        <f>IF(ISBLANK(Table2[[#This Row],[ActualResult]]), "_", IF(Table2[[#This Row],[ActualWinner]]=Table2[[#This Row],[PredictedWinner]], "Y", "N"))</f>
        <v>_</v>
      </c>
      <c r="P9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143"/>
      <c r="S976" s="143" t="str">
        <f t="shared" si="81"/>
        <v>_</v>
      </c>
      <c r="T9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143">
        <f>IF(Table2[[#This Row],[InterConf]]=1,IF(Table2[[#This Row],[InterDiv]]=0, 1, 0), 0)</f>
        <v>1</v>
      </c>
      <c r="W9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143"/>
      <c r="Y976" s="143"/>
      <c r="Z976" s="149">
        <f>IF(AND(Table2[[#This Row],[GameIsOver]]=1,Table2[[#This Row],[ActualHomeScore]]*Table2[[#This Row],[ActualAwayScore]]=0), 1,0)</f>
        <v>0</v>
      </c>
      <c r="AA9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6" s="143">
        <f>Table2[[#This Row],[ActualAwayScore]]-Table2[[#This Row],[PredictedAwayScore]]</f>
        <v>0</v>
      </c>
      <c r="AG976" s="143">
        <f>Table2[[#This Row],[ActualHomeScore]]-Table2[[#This Row],[PredictedHomeScore]]</f>
        <v>0</v>
      </c>
      <c r="AH976" s="143">
        <f t="shared" si="82"/>
        <v>0</v>
      </c>
      <c r="AI976" s="143">
        <f t="shared" si="83"/>
        <v>0</v>
      </c>
      <c r="AJ976" s="143"/>
      <c r="AK976" s="141"/>
      <c r="AL976" s="143">
        <f>IF(Table2[[#This Row],[GameIsOver]]=0,0,IF(Table2[[#This Row],[ActualWinner]]=Table2[[#This Row],[AwayTeam]], 1, 0))</f>
        <v>0</v>
      </c>
      <c r="AM976" s="143">
        <f>IF(Table2[[#This Row],[GameIsOver]]=0,0,IF(Table2[[#This Row],[ActualWinner]]=Table2[[#This Row],[HomeTeam]], 1, 0))</f>
        <v>0</v>
      </c>
      <c r="AN9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6" s="143" t="str">
        <f>INDEX(Sheet5!$B$2:$AG$33, MATCH(Table2[[#This Row],[AwayTeam]],Sheet5!$A$2:$A$33, 0), MATCH(Table2[[#This Row],[HomeTeam]],Sheet5!$A$2:$A$33, 0))</f>
        <v>0-0-1</v>
      </c>
      <c r="AP976" s="143" t="str">
        <f>INDEX(Sheet5!$B$2:$AG$33, MATCH(Table2[[#This Row],[HomeTeam]],Sheet5!$A$2:$A$33, 0), MATCH(Table2[[#This Row],[AwayTeam]],Sheet5!$A$2:$A$33, 0))</f>
        <v>1-0-0</v>
      </c>
      <c r="AQ976" s="143">
        <f>IF(Table2[[#This Row],[GameHasShutOut]], 1, 0)</f>
        <v>0</v>
      </c>
      <c r="AR976" s="143">
        <f>IF(Table2[[#This Row],[ActualAwayScore]] + Table2[[#This Row],[ActualHomeScore]] &gt;= 10, 1, 0)</f>
        <v>0</v>
      </c>
      <c r="AS976" s="143">
        <f>IF(ABS(Table2[[#This Row],[ActualAwayScore]]-Table2[[#This Row],[ActualHomeScore]])&gt;=5, 1, 0)</f>
        <v>0</v>
      </c>
      <c r="AT976" s="143">
        <f>IF(Table2[[#This Row],[ActualAwayScore]] + Table2[[#This Row],[ActualHomeScore]] &lt;= 3, 1, 0)</f>
        <v>1</v>
      </c>
      <c r="AU9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7" spans="1:49" x14ac:dyDescent="0.25">
      <c r="A977" s="3"/>
      <c r="B977" s="3">
        <v>46086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8" spans="1:49" x14ac:dyDescent="0.25">
      <c r="A978" s="3"/>
      <c r="B978" s="3">
        <v>46086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9" spans="1:49" x14ac:dyDescent="0.25">
      <c r="A979" s="3"/>
      <c r="B979" s="3">
        <v>46086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0" spans="1:49" x14ac:dyDescent="0.25">
      <c r="A980" s="3"/>
      <c r="B980" s="3">
        <v>46086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1" spans="1:49" x14ac:dyDescent="0.25">
      <c r="A981" s="3"/>
      <c r="B981" s="3">
        <v>46086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2" spans="1:49" x14ac:dyDescent="0.25">
      <c r="A982" s="3"/>
      <c r="B982" s="3">
        <v>46086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3" spans="1:49" x14ac:dyDescent="0.25">
      <c r="A983" s="3"/>
      <c r="B983" s="3">
        <v>46086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84" spans="1:49" x14ac:dyDescent="0.25">
      <c r="A984" s="141"/>
      <c r="B984" s="141">
        <v>46086</v>
      </c>
      <c r="C984" s="142">
        <v>2025020982</v>
      </c>
      <c r="D984" s="143" t="s">
        <v>32</v>
      </c>
      <c r="E984" s="143" t="s">
        <v>27</v>
      </c>
      <c r="F984" s="143"/>
      <c r="G984" s="143"/>
      <c r="H984" s="143" t="str">
        <f t="shared" si="79"/>
        <v>_</v>
      </c>
      <c r="I984" s="143"/>
      <c r="J984" s="143"/>
      <c r="K984" s="143"/>
      <c r="L984" s="143" t="str">
        <f t="shared" si="80"/>
        <v>_</v>
      </c>
      <c r="M984" s="143"/>
      <c r="N984" s="143">
        <f>IF(ISBLANK(Table2[[#This Row],[ActualResult]]), 0, 1)</f>
        <v>0</v>
      </c>
      <c r="O984" s="143" t="str">
        <f>IF(ISBLANK(Table2[[#This Row],[ActualResult]]), "_", IF(Table2[[#This Row],[ActualWinner]]=Table2[[#This Row],[PredictedWinner]], "Y", "N"))</f>
        <v>_</v>
      </c>
      <c r="P9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143"/>
      <c r="S984" s="143" t="str">
        <f t="shared" si="81"/>
        <v>_</v>
      </c>
      <c r="T9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143">
        <f>IF(Table2[[#This Row],[InterConf]]=1,IF(Table2[[#This Row],[InterDiv]]=0, 1, 0), 0)</f>
        <v>0</v>
      </c>
      <c r="W9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143"/>
      <c r="Y984" s="143"/>
      <c r="Z984" s="149">
        <f>IF(AND(Table2[[#This Row],[GameIsOver]]=1,Table2[[#This Row],[ActualHomeScore]]*Table2[[#This Row],[ActualAwayScore]]=0), 1,0)</f>
        <v>0</v>
      </c>
      <c r="AA9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4" s="143">
        <f>Table2[[#This Row],[ActualAwayScore]]-Table2[[#This Row],[PredictedAwayScore]]</f>
        <v>0</v>
      </c>
      <c r="AG984" s="143">
        <f>Table2[[#This Row],[ActualHomeScore]]-Table2[[#This Row],[PredictedHomeScore]]</f>
        <v>0</v>
      </c>
      <c r="AH984" s="143">
        <f t="shared" si="82"/>
        <v>0</v>
      </c>
      <c r="AI984" s="143">
        <f t="shared" si="83"/>
        <v>0</v>
      </c>
      <c r="AJ984" s="143"/>
      <c r="AK984" s="141"/>
      <c r="AL984" s="143">
        <f>IF(Table2[[#This Row],[GameIsOver]]=0,0,IF(Table2[[#This Row],[ActualWinner]]=Table2[[#This Row],[AwayTeam]], 1, 0))</f>
        <v>0</v>
      </c>
      <c r="AM984" s="143">
        <f>IF(Table2[[#This Row],[GameIsOver]]=0,0,IF(Table2[[#This Row],[ActualWinner]]=Table2[[#This Row],[HomeTeam]], 1, 0))</f>
        <v>0</v>
      </c>
      <c r="AN9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4" s="143" t="str">
        <f>INDEX(Sheet5!$B$2:$AG$33, MATCH(Table2[[#This Row],[AwayTeam]],Sheet5!$A$2:$A$33, 0), MATCH(Table2[[#This Row],[HomeTeam]],Sheet5!$A$2:$A$33, 0))</f>
        <v>0-0-0</v>
      </c>
      <c r="AP984" s="143" t="str">
        <f>INDEX(Sheet5!$B$2:$AG$33, MATCH(Table2[[#This Row],[HomeTeam]],Sheet5!$A$2:$A$33, 0), MATCH(Table2[[#This Row],[AwayTeam]],Sheet5!$A$2:$A$33, 0))</f>
        <v>0-0-0</v>
      </c>
      <c r="AQ984" s="143">
        <f>IF(Table2[[#This Row],[GameHasShutOut]], 1, 0)</f>
        <v>0</v>
      </c>
      <c r="AR984" s="143">
        <f>IF(Table2[[#This Row],[ActualAwayScore]] + Table2[[#This Row],[ActualHomeScore]] &gt;= 10, 1, 0)</f>
        <v>0</v>
      </c>
      <c r="AS984" s="143">
        <f>IF(ABS(Table2[[#This Row],[ActualAwayScore]]-Table2[[#This Row],[ActualHomeScore]])&gt;=5, 1, 0)</f>
        <v>0</v>
      </c>
      <c r="AT984" s="143">
        <f>IF(Table2[[#This Row],[ActualAwayScore]] + Table2[[#This Row],[ActualHomeScore]] &lt;= 3, 1, 0)</f>
        <v>1</v>
      </c>
      <c r="AU9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5" spans="1:49" x14ac:dyDescent="0.25">
      <c r="A985" s="3"/>
      <c r="B985" s="3">
        <v>46087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6" spans="1:49" x14ac:dyDescent="0.25">
      <c r="A986" s="3"/>
      <c r="B986" s="3">
        <v>46087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7" spans="1:49" x14ac:dyDescent="0.25">
      <c r="A987" s="3"/>
      <c r="B987" s="3">
        <v>46087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8" spans="1:49" x14ac:dyDescent="0.25">
      <c r="A988" s="3"/>
      <c r="B988" s="3">
        <v>46087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9" spans="1:49" x14ac:dyDescent="0.25">
      <c r="A989" s="3"/>
      <c r="B989" s="3">
        <v>46087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0" spans="1:49" x14ac:dyDescent="0.25">
      <c r="A990" s="3"/>
      <c r="B990" s="3">
        <v>46087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1" spans="1:49" x14ac:dyDescent="0.25">
      <c r="A991" s="141"/>
      <c r="B991" s="141">
        <v>46087</v>
      </c>
      <c r="C991" s="142">
        <v>2025020989</v>
      </c>
      <c r="D991" s="143" t="s">
        <v>12</v>
      </c>
      <c r="E991" s="143" t="s">
        <v>37</v>
      </c>
      <c r="F991" s="143"/>
      <c r="G991" s="143"/>
      <c r="H991" s="143" t="str">
        <f t="shared" si="79"/>
        <v>_</v>
      </c>
      <c r="I991" s="143"/>
      <c r="J991" s="143"/>
      <c r="K991" s="143"/>
      <c r="L991" s="143" t="str">
        <f t="shared" si="80"/>
        <v>_</v>
      </c>
      <c r="M991" s="143"/>
      <c r="N991" s="143">
        <f>IF(ISBLANK(Table2[[#This Row],[ActualResult]]), 0, 1)</f>
        <v>0</v>
      </c>
      <c r="O991" s="143" t="str">
        <f>IF(ISBLANK(Table2[[#This Row],[ActualResult]]), "_", IF(Table2[[#This Row],[ActualWinner]]=Table2[[#This Row],[PredictedWinner]], "Y", "N"))</f>
        <v>_</v>
      </c>
      <c r="P99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143"/>
      <c r="S991" s="143" t="str">
        <f t="shared" si="81"/>
        <v>_</v>
      </c>
      <c r="T99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143">
        <f>IF(Table2[[#This Row],[InterConf]]=1,IF(Table2[[#This Row],[InterDiv]]=0, 1, 0), 0)</f>
        <v>1</v>
      </c>
      <c r="W99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143"/>
      <c r="Y991" s="143"/>
      <c r="Z991" s="149">
        <f>IF(AND(Table2[[#This Row],[GameIsOver]]=1,Table2[[#This Row],[ActualHomeScore]]*Table2[[#This Row],[ActualAwayScore]]=0), 1,0)</f>
        <v>0</v>
      </c>
      <c r="AA99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1" s="143">
        <f>Table2[[#This Row],[ActualAwayScore]]-Table2[[#This Row],[PredictedAwayScore]]</f>
        <v>0</v>
      </c>
      <c r="AG991" s="143">
        <f>Table2[[#This Row],[ActualHomeScore]]-Table2[[#This Row],[PredictedHomeScore]]</f>
        <v>0</v>
      </c>
      <c r="AH991" s="143">
        <f t="shared" si="82"/>
        <v>0</v>
      </c>
      <c r="AI991" s="143">
        <f t="shared" si="83"/>
        <v>0</v>
      </c>
      <c r="AJ991" s="143"/>
      <c r="AK991" s="141"/>
      <c r="AL991" s="143">
        <f>IF(Table2[[#This Row],[GameIsOver]]=0,0,IF(Table2[[#This Row],[ActualWinner]]=Table2[[#This Row],[AwayTeam]], 1, 0))</f>
        <v>0</v>
      </c>
      <c r="AM991" s="143">
        <f>IF(Table2[[#This Row],[GameIsOver]]=0,0,IF(Table2[[#This Row],[ActualWinner]]=Table2[[#This Row],[HomeTeam]], 1, 0))</f>
        <v>0</v>
      </c>
      <c r="AN99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1" s="143" t="str">
        <f>INDEX(Sheet5!$B$2:$AG$33, MATCH(Table2[[#This Row],[AwayTeam]],Sheet5!$A$2:$A$33, 0), MATCH(Table2[[#This Row],[HomeTeam]],Sheet5!$A$2:$A$33, 0))</f>
        <v>0-0-0</v>
      </c>
      <c r="AP991" s="143" t="str">
        <f>INDEX(Sheet5!$B$2:$AG$33, MATCH(Table2[[#This Row],[HomeTeam]],Sheet5!$A$2:$A$33, 0), MATCH(Table2[[#This Row],[AwayTeam]],Sheet5!$A$2:$A$33, 0))</f>
        <v>0-0-0</v>
      </c>
      <c r="AQ991" s="143">
        <f>IF(Table2[[#This Row],[GameHasShutOut]], 1, 0)</f>
        <v>0</v>
      </c>
      <c r="AR991" s="143">
        <f>IF(Table2[[#This Row],[ActualAwayScore]] + Table2[[#This Row],[ActualHomeScore]] &gt;= 10, 1, 0)</f>
        <v>0</v>
      </c>
      <c r="AS991" s="143">
        <f>IF(ABS(Table2[[#This Row],[ActualAwayScore]]-Table2[[#This Row],[ActualHomeScore]])&gt;=5, 1, 0)</f>
        <v>0</v>
      </c>
      <c r="AT991" s="143">
        <f>IF(Table2[[#This Row],[ActualAwayScore]] + Table2[[#This Row],[ActualHomeScore]] &lt;= 3, 1, 0)</f>
        <v>1</v>
      </c>
      <c r="AU99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2" spans="1:49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3" spans="1:49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4" spans="1:49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5" spans="1:49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6" spans="1:49" x14ac:dyDescent="0.25">
      <c r="A996" s="3"/>
      <c r="B996" s="3">
        <v>46088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7" spans="1:49" x14ac:dyDescent="0.25">
      <c r="A997" s="3"/>
      <c r="B997" s="3">
        <v>46088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8" spans="1:49" x14ac:dyDescent="0.25">
      <c r="A998" s="3"/>
      <c r="B998" s="3">
        <v>46088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9" spans="1:49" x14ac:dyDescent="0.25">
      <c r="A999" s="3"/>
      <c r="B999" s="3">
        <v>46088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0" spans="1:49" x14ac:dyDescent="0.25">
      <c r="A1000" s="3"/>
      <c r="B1000" s="3">
        <v>46088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01" spans="1:49" x14ac:dyDescent="0.25">
      <c r="A1001" s="3"/>
      <c r="B1001" s="3">
        <v>46088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2" spans="1:49" x14ac:dyDescent="0.25">
      <c r="A1002" s="141"/>
      <c r="B1002" s="141">
        <v>46088</v>
      </c>
      <c r="C1002" s="142">
        <v>2025021000</v>
      </c>
      <c r="D1002" s="143" t="s">
        <v>29</v>
      </c>
      <c r="E1002" s="143" t="s">
        <v>11</v>
      </c>
      <c r="F1002" s="143"/>
      <c r="G1002" s="143"/>
      <c r="H1002" s="143" t="str">
        <f t="shared" si="79"/>
        <v>_</v>
      </c>
      <c r="I1002" s="143"/>
      <c r="J1002" s="143"/>
      <c r="K1002" s="143"/>
      <c r="L1002" s="143" t="str">
        <f t="shared" si="80"/>
        <v>_</v>
      </c>
      <c r="M1002" s="143"/>
      <c r="N1002" s="143">
        <f>IF(ISBLANK(Table2[[#This Row],[ActualResult]]), 0, 1)</f>
        <v>0</v>
      </c>
      <c r="O1002" s="143" t="str">
        <f>IF(ISBLANK(Table2[[#This Row],[ActualResult]]), "_", IF(Table2[[#This Row],[ActualWinner]]=Table2[[#This Row],[PredictedWinner]], "Y", "N"))</f>
        <v>_</v>
      </c>
      <c r="P10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143"/>
      <c r="S1002" s="143" t="str">
        <f t="shared" si="81"/>
        <v>_</v>
      </c>
      <c r="T10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143">
        <f>IF(Table2[[#This Row],[InterConf]]=1,IF(Table2[[#This Row],[InterDiv]]=0, 1, 0), 0)</f>
        <v>0</v>
      </c>
      <c r="W10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143"/>
      <c r="Y1002" s="143"/>
      <c r="Z1002" s="149">
        <f>IF(AND(Table2[[#This Row],[GameIsOver]]=1,Table2[[#This Row],[ActualHomeScore]]*Table2[[#This Row],[ActualAwayScore]]=0), 1,0)</f>
        <v>0</v>
      </c>
      <c r="AA10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2" s="143">
        <f>Table2[[#This Row],[ActualAwayScore]]-Table2[[#This Row],[PredictedAwayScore]]</f>
        <v>0</v>
      </c>
      <c r="AG1002" s="143">
        <f>Table2[[#This Row],[ActualHomeScore]]-Table2[[#This Row],[PredictedHomeScore]]</f>
        <v>0</v>
      </c>
      <c r="AH1002" s="143">
        <f t="shared" si="82"/>
        <v>0</v>
      </c>
      <c r="AI1002" s="143">
        <f t="shared" si="83"/>
        <v>0</v>
      </c>
      <c r="AJ1002" s="143"/>
      <c r="AK1002" s="141"/>
      <c r="AL1002" s="143">
        <f>IF(Table2[[#This Row],[GameIsOver]]=0,0,IF(Table2[[#This Row],[ActualWinner]]=Table2[[#This Row],[AwayTeam]], 1, 0))</f>
        <v>0</v>
      </c>
      <c r="AM1002" s="143">
        <f>IF(Table2[[#This Row],[GameIsOver]]=0,0,IF(Table2[[#This Row],[ActualWinner]]=Table2[[#This Row],[HomeTeam]], 1, 0))</f>
        <v>0</v>
      </c>
      <c r="AN10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2" s="143" t="str">
        <f>INDEX(Sheet5!$B$2:$AG$33, MATCH(Table2[[#This Row],[AwayTeam]],Sheet5!$A$2:$A$33, 0), MATCH(Table2[[#This Row],[HomeTeam]],Sheet5!$A$2:$A$33, 0))</f>
        <v>1-0-0</v>
      </c>
      <c r="AP1002" s="143" t="str">
        <f>INDEX(Sheet5!$B$2:$AG$33, MATCH(Table2[[#This Row],[HomeTeam]],Sheet5!$A$2:$A$33, 0), MATCH(Table2[[#This Row],[AwayTeam]],Sheet5!$A$2:$A$33, 0))</f>
        <v>0-0-1</v>
      </c>
      <c r="AQ1002" s="143">
        <f>IF(Table2[[#This Row],[GameHasShutOut]], 1, 0)</f>
        <v>0</v>
      </c>
      <c r="AR1002" s="143">
        <f>IF(Table2[[#This Row],[ActualAwayScore]] + Table2[[#This Row],[ActualHomeScore]] &gt;= 10, 1, 0)</f>
        <v>0</v>
      </c>
      <c r="AS1002" s="143">
        <f>IF(ABS(Table2[[#This Row],[ActualAwayScore]]-Table2[[#This Row],[ActualHomeScore]])&gt;=5, 1, 0)</f>
        <v>0</v>
      </c>
      <c r="AT1002" s="143">
        <f>IF(Table2[[#This Row],[ActualAwayScore]] + Table2[[#This Row],[ActualHomeScore]] &lt;= 3, 1, 0)</f>
        <v>1</v>
      </c>
      <c r="AU10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3" spans="1:49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4" spans="1:49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5" spans="1:49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6" spans="1:49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7" spans="1:49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8" spans="1:49" x14ac:dyDescent="0.25">
      <c r="A1008" s="3"/>
      <c r="B1008" s="3">
        <v>46089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9" spans="1:49" x14ac:dyDescent="0.25">
      <c r="A1009" s="141"/>
      <c r="B1009" s="141">
        <v>46089</v>
      </c>
      <c r="C1009" s="142">
        <v>2025021007</v>
      </c>
      <c r="D1009" s="143" t="s">
        <v>22</v>
      </c>
      <c r="E1009" s="143" t="s">
        <v>26</v>
      </c>
      <c r="F1009" s="143"/>
      <c r="G1009" s="143"/>
      <c r="H1009" s="143" t="str">
        <f t="shared" si="79"/>
        <v>_</v>
      </c>
      <c r="I1009" s="143"/>
      <c r="J1009" s="143"/>
      <c r="K1009" s="143"/>
      <c r="L1009" s="143" t="str">
        <f t="shared" si="80"/>
        <v>_</v>
      </c>
      <c r="M1009" s="143"/>
      <c r="N1009" s="143">
        <f>IF(ISBLANK(Table2[[#This Row],[ActualResult]]), 0, 1)</f>
        <v>0</v>
      </c>
      <c r="O1009" s="143" t="str">
        <f>IF(ISBLANK(Table2[[#This Row],[ActualResult]]), "_", IF(Table2[[#This Row],[ActualWinner]]=Table2[[#This Row],[PredictedWinner]], "Y", "N"))</f>
        <v>_</v>
      </c>
      <c r="P10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143"/>
      <c r="S1009" s="143" t="str">
        <f t="shared" si="81"/>
        <v>_</v>
      </c>
      <c r="T10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143">
        <f>IF(Table2[[#This Row],[InterConf]]=1,IF(Table2[[#This Row],[InterDiv]]=0, 1, 0), 0)</f>
        <v>0</v>
      </c>
      <c r="W10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143"/>
      <c r="Y1009" s="143"/>
      <c r="Z1009" s="149">
        <f>IF(AND(Table2[[#This Row],[GameIsOver]]=1,Table2[[#This Row],[ActualHomeScore]]*Table2[[#This Row],[ActualAwayScore]]=0), 1,0)</f>
        <v>0</v>
      </c>
      <c r="AA10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9" s="143">
        <f>Table2[[#This Row],[ActualAwayScore]]-Table2[[#This Row],[PredictedAwayScore]]</f>
        <v>0</v>
      </c>
      <c r="AG1009" s="143">
        <f>Table2[[#This Row],[ActualHomeScore]]-Table2[[#This Row],[PredictedHomeScore]]</f>
        <v>0</v>
      </c>
      <c r="AH1009" s="143">
        <f t="shared" si="82"/>
        <v>0</v>
      </c>
      <c r="AI1009" s="143">
        <f t="shared" si="83"/>
        <v>0</v>
      </c>
      <c r="AJ1009" s="143"/>
      <c r="AK1009" s="141"/>
      <c r="AL1009" s="143">
        <f>IF(Table2[[#This Row],[GameIsOver]]=0,0,IF(Table2[[#This Row],[ActualWinner]]=Table2[[#This Row],[AwayTeam]], 1, 0))</f>
        <v>0</v>
      </c>
      <c r="AM1009" s="143">
        <f>IF(Table2[[#This Row],[GameIsOver]]=0,0,IF(Table2[[#This Row],[ActualWinner]]=Table2[[#This Row],[HomeTeam]], 1, 0))</f>
        <v>0</v>
      </c>
      <c r="AN10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9" s="143" t="str">
        <f>INDEX(Sheet5!$B$2:$AG$33, MATCH(Table2[[#This Row],[AwayTeam]],Sheet5!$A$2:$A$33, 0), MATCH(Table2[[#This Row],[HomeTeam]],Sheet5!$A$2:$A$33, 0))</f>
        <v>0-0-0</v>
      </c>
      <c r="AP1009" s="143" t="str">
        <f>INDEX(Sheet5!$B$2:$AG$33, MATCH(Table2[[#This Row],[HomeTeam]],Sheet5!$A$2:$A$33, 0), MATCH(Table2[[#This Row],[AwayTeam]],Sheet5!$A$2:$A$33, 0))</f>
        <v>0-0-0</v>
      </c>
      <c r="AQ1009" s="143">
        <f>IF(Table2[[#This Row],[GameHasShutOut]], 1, 0)</f>
        <v>0</v>
      </c>
      <c r="AR1009" s="143">
        <f>IF(Table2[[#This Row],[ActualAwayScore]] + Table2[[#This Row],[ActualHomeScore]] &gt;= 10, 1, 0)</f>
        <v>0</v>
      </c>
      <c r="AS1009" s="143">
        <f>IF(ABS(Table2[[#This Row],[ActualAwayScore]]-Table2[[#This Row],[ActualHomeScore]])&gt;=5, 1, 0)</f>
        <v>0</v>
      </c>
      <c r="AT1009" s="143">
        <f>IF(Table2[[#This Row],[ActualAwayScore]] + Table2[[#This Row],[ActualHomeScore]] &lt;= 3, 1, 0)</f>
        <v>1</v>
      </c>
      <c r="AU10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0" spans="1:49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1" spans="1:49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12" spans="1:49" x14ac:dyDescent="0.25">
      <c r="A1012" s="3"/>
      <c r="B1012" s="3">
        <v>46090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3" spans="1:49" x14ac:dyDescent="0.25">
      <c r="A1013" s="141"/>
      <c r="B1013" s="141">
        <v>46090</v>
      </c>
      <c r="C1013" s="142">
        <v>2025021011</v>
      </c>
      <c r="D1013" s="143" t="s">
        <v>29</v>
      </c>
      <c r="E1013" s="143" t="s">
        <v>24</v>
      </c>
      <c r="F1013" s="143"/>
      <c r="G1013" s="143"/>
      <c r="H1013" s="143" t="str">
        <f t="shared" si="79"/>
        <v>_</v>
      </c>
      <c r="I1013" s="143"/>
      <c r="J1013" s="143"/>
      <c r="K1013" s="143"/>
      <c r="L1013" s="143" t="str">
        <f t="shared" si="80"/>
        <v>_</v>
      </c>
      <c r="M1013" s="143"/>
      <c r="N1013" s="143">
        <f>IF(ISBLANK(Table2[[#This Row],[ActualResult]]), 0, 1)</f>
        <v>0</v>
      </c>
      <c r="O1013" s="143" t="str">
        <f>IF(ISBLANK(Table2[[#This Row],[ActualResult]]), "_", IF(Table2[[#This Row],[ActualWinner]]=Table2[[#This Row],[PredictedWinner]], "Y", "N"))</f>
        <v>_</v>
      </c>
      <c r="P101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143"/>
      <c r="S1013" s="143" t="str">
        <f t="shared" si="81"/>
        <v>_</v>
      </c>
      <c r="T101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143">
        <f>IF(Table2[[#This Row],[InterConf]]=1,IF(Table2[[#This Row],[InterDiv]]=0, 1, 0), 0)</f>
        <v>0</v>
      </c>
      <c r="W101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143"/>
      <c r="Y1013" s="143"/>
      <c r="Z1013" s="149">
        <f>IF(AND(Table2[[#This Row],[GameIsOver]]=1,Table2[[#This Row],[ActualHomeScore]]*Table2[[#This Row],[ActualAwayScore]]=0), 1,0)</f>
        <v>0</v>
      </c>
      <c r="AA101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3" s="143">
        <f>Table2[[#This Row],[ActualAwayScore]]-Table2[[#This Row],[PredictedAwayScore]]</f>
        <v>0</v>
      </c>
      <c r="AG1013" s="143">
        <f>Table2[[#This Row],[ActualHomeScore]]-Table2[[#This Row],[PredictedHomeScore]]</f>
        <v>0</v>
      </c>
      <c r="AH1013" s="143">
        <f t="shared" si="82"/>
        <v>0</v>
      </c>
      <c r="AI1013" s="143">
        <f t="shared" si="83"/>
        <v>0</v>
      </c>
      <c r="AJ1013" s="143"/>
      <c r="AK1013" s="141"/>
      <c r="AL1013" s="143">
        <f>IF(Table2[[#This Row],[GameIsOver]]=0,0,IF(Table2[[#This Row],[ActualWinner]]=Table2[[#This Row],[AwayTeam]], 1, 0))</f>
        <v>0</v>
      </c>
      <c r="AM1013" s="143">
        <f>IF(Table2[[#This Row],[GameIsOver]]=0,0,IF(Table2[[#This Row],[ActualWinner]]=Table2[[#This Row],[HomeTeam]], 1, 0))</f>
        <v>0</v>
      </c>
      <c r="AN101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3" s="143" t="str">
        <f>INDEX(Sheet5!$B$2:$AG$33, MATCH(Table2[[#This Row],[AwayTeam]],Sheet5!$A$2:$A$33, 0), MATCH(Table2[[#This Row],[HomeTeam]],Sheet5!$A$2:$A$33, 0))</f>
        <v>0-0-0</v>
      </c>
      <c r="AP1013" s="143" t="str">
        <f>INDEX(Sheet5!$B$2:$AG$33, MATCH(Table2[[#This Row],[HomeTeam]],Sheet5!$A$2:$A$33, 0), MATCH(Table2[[#This Row],[AwayTeam]],Sheet5!$A$2:$A$33, 0))</f>
        <v>0-0-0</v>
      </c>
      <c r="AQ1013" s="143">
        <f>IF(Table2[[#This Row],[GameHasShutOut]], 1, 0)</f>
        <v>0</v>
      </c>
      <c r="AR1013" s="143">
        <f>IF(Table2[[#This Row],[ActualAwayScore]] + Table2[[#This Row],[ActualHomeScore]] &gt;= 10, 1, 0)</f>
        <v>0</v>
      </c>
      <c r="AS1013" s="143">
        <f>IF(ABS(Table2[[#This Row],[ActualAwayScore]]-Table2[[#This Row],[ActualHomeScore]])&gt;=5, 1, 0)</f>
        <v>0</v>
      </c>
      <c r="AT1013" s="143">
        <f>IF(Table2[[#This Row],[ActualAwayScore]] + Table2[[#This Row],[ActualHomeScore]] &lt;= 3, 1, 0)</f>
        <v>1</v>
      </c>
      <c r="AU101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4" spans="1:49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5" spans="1:49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6" spans="1:49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7" spans="1:49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8" spans="1:49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9" spans="1:49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20" spans="1:49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1" spans="1:49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2" spans="1:49" x14ac:dyDescent="0.25">
      <c r="A1022" s="3"/>
      <c r="B1022" s="3">
        <v>46091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3" spans="1:49" x14ac:dyDescent="0.25">
      <c r="A1023" s="3"/>
      <c r="B1023" s="3">
        <v>46091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4" spans="1:49" x14ac:dyDescent="0.25">
      <c r="A1024" s="3"/>
      <c r="B1024" s="3">
        <v>46091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5" spans="1:49" x14ac:dyDescent="0.25">
      <c r="A1025" s="3"/>
      <c r="B1025" s="3">
        <v>46091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0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6" spans="1:49" x14ac:dyDescent="0.25">
      <c r="A1026" s="141"/>
      <c r="B1026" s="141">
        <v>46091</v>
      </c>
      <c r="C1026" s="142">
        <v>2025021024</v>
      </c>
      <c r="D1026" s="143" t="s">
        <v>34</v>
      </c>
      <c r="E1026" s="143" t="s">
        <v>11</v>
      </c>
      <c r="F1026" s="143"/>
      <c r="G1026" s="143"/>
      <c r="H1026" s="143" t="str">
        <f t="shared" si="79"/>
        <v>_</v>
      </c>
      <c r="I1026" s="143"/>
      <c r="J1026" s="143"/>
      <c r="K1026" s="143"/>
      <c r="L1026" s="143" t="str">
        <f t="shared" si="80"/>
        <v>_</v>
      </c>
      <c r="M1026" s="143"/>
      <c r="N1026" s="143">
        <f>IF(ISBLANK(Table2[[#This Row],[ActualResult]]), 0, 1)</f>
        <v>0</v>
      </c>
      <c r="O1026" s="143" t="str">
        <f>IF(ISBLANK(Table2[[#This Row],[ActualResult]]), "_", IF(Table2[[#This Row],[ActualWinner]]=Table2[[#This Row],[PredictedWinner]], "Y", "N"))</f>
        <v>_</v>
      </c>
      <c r="P10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143"/>
      <c r="S1026" s="143" t="str">
        <f t="shared" si="81"/>
        <v>_</v>
      </c>
      <c r="T10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143">
        <f>IF(Table2[[#This Row],[InterConf]]=1,IF(Table2[[#This Row],[InterDiv]]=0, 1, 0), 0)</f>
        <v>1</v>
      </c>
      <c r="W10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143"/>
      <c r="Y1026" s="143"/>
      <c r="Z1026" s="149">
        <f>IF(AND(Table2[[#This Row],[GameIsOver]]=1,Table2[[#This Row],[ActualHomeScore]]*Table2[[#This Row],[ActualAwayScore]]=0), 1,0)</f>
        <v>0</v>
      </c>
      <c r="AA10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6" s="143">
        <f>Table2[[#This Row],[ActualAwayScore]]-Table2[[#This Row],[PredictedAwayScore]]</f>
        <v>0</v>
      </c>
      <c r="AG1026" s="143">
        <f>Table2[[#This Row],[ActualHomeScore]]-Table2[[#This Row],[PredictedHomeScore]]</f>
        <v>0</v>
      </c>
      <c r="AH1026" s="143">
        <f t="shared" si="82"/>
        <v>0</v>
      </c>
      <c r="AI1026" s="143">
        <f t="shared" si="83"/>
        <v>0</v>
      </c>
      <c r="AJ1026" s="143"/>
      <c r="AK1026" s="141"/>
      <c r="AL1026" s="143">
        <f>IF(Table2[[#This Row],[GameIsOver]]=0,0,IF(Table2[[#This Row],[ActualWinner]]=Table2[[#This Row],[AwayTeam]], 1, 0))</f>
        <v>0</v>
      </c>
      <c r="AM1026" s="143">
        <f>IF(Table2[[#This Row],[GameIsOver]]=0,0,IF(Table2[[#This Row],[ActualWinner]]=Table2[[#This Row],[HomeTeam]], 1, 0))</f>
        <v>0</v>
      </c>
      <c r="AN10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6" s="143" t="str">
        <f>INDEX(Sheet5!$B$2:$AG$33, MATCH(Table2[[#This Row],[AwayTeam]],Sheet5!$A$2:$A$33, 0), MATCH(Table2[[#This Row],[HomeTeam]],Sheet5!$A$2:$A$33, 0))</f>
        <v>0-0-0</v>
      </c>
      <c r="AP1026" s="143" t="str">
        <f>INDEX(Sheet5!$B$2:$AG$33, MATCH(Table2[[#This Row],[HomeTeam]],Sheet5!$A$2:$A$33, 0), MATCH(Table2[[#This Row],[AwayTeam]],Sheet5!$A$2:$A$33, 0))</f>
        <v>0-0-0</v>
      </c>
      <c r="AQ1026" s="143">
        <f>IF(Table2[[#This Row],[GameHasShutOut]], 1, 0)</f>
        <v>0</v>
      </c>
      <c r="AR1026" s="143">
        <f>IF(Table2[[#This Row],[ActualAwayScore]] + Table2[[#This Row],[ActualHomeScore]] &gt;= 10, 1, 0)</f>
        <v>0</v>
      </c>
      <c r="AS1026" s="143">
        <f>IF(ABS(Table2[[#This Row],[ActualAwayScore]]-Table2[[#This Row],[ActualHomeScore]])&gt;=5, 1, 0)</f>
        <v>0</v>
      </c>
      <c r="AT1026" s="143">
        <f>IF(Table2[[#This Row],[ActualAwayScore]] + Table2[[#This Row],[ActualHomeScore]] &lt;= 3, 1, 0)</f>
        <v>1</v>
      </c>
      <c r="AU10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7" spans="1:49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8" spans="1:49" x14ac:dyDescent="0.25">
      <c r="A1028" s="141"/>
      <c r="B1028" s="141">
        <v>46092</v>
      </c>
      <c r="C1028" s="142">
        <v>2025021026</v>
      </c>
      <c r="D1028" s="143" t="s">
        <v>43</v>
      </c>
      <c r="E1028" s="143" t="s">
        <v>42</v>
      </c>
      <c r="F1028" s="143"/>
      <c r="G1028" s="143"/>
      <c r="H1028" s="143" t="str">
        <f t="shared" si="84"/>
        <v>_</v>
      </c>
      <c r="I1028" s="143"/>
      <c r="J1028" s="143"/>
      <c r="K1028" s="143"/>
      <c r="L1028" s="143" t="str">
        <f t="shared" si="85"/>
        <v>_</v>
      </c>
      <c r="M1028" s="143"/>
      <c r="N1028" s="143">
        <f>IF(ISBLANK(Table2[[#This Row],[ActualResult]]), 0, 1)</f>
        <v>0</v>
      </c>
      <c r="O1028" s="143" t="str">
        <f>IF(ISBLANK(Table2[[#This Row],[ActualResult]]), "_", IF(Table2[[#This Row],[ActualWinner]]=Table2[[#This Row],[PredictedWinner]], "Y", "N"))</f>
        <v>_</v>
      </c>
      <c r="P10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143"/>
      <c r="S1028" s="143" t="str">
        <f t="shared" si="86"/>
        <v>_</v>
      </c>
      <c r="T10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143">
        <f>IF(Table2[[#This Row],[InterConf]]=1,IF(Table2[[#This Row],[InterDiv]]=0, 1, 0), 0)</f>
        <v>0</v>
      </c>
      <c r="W10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143"/>
      <c r="Y1028" s="143"/>
      <c r="Z1028" s="149">
        <f>IF(AND(Table2[[#This Row],[GameIsOver]]=1,Table2[[#This Row],[ActualHomeScore]]*Table2[[#This Row],[ActualAwayScore]]=0), 1,0)</f>
        <v>0</v>
      </c>
      <c r="AA10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143">
        <f>Table2[[#This Row],[ActualAwayScore]]-Table2[[#This Row],[PredictedAwayScore]]</f>
        <v>0</v>
      </c>
      <c r="AG1028" s="143">
        <f>Table2[[#This Row],[ActualHomeScore]]-Table2[[#This Row],[PredictedHomeScore]]</f>
        <v>0</v>
      </c>
      <c r="AH1028" s="143">
        <f t="shared" si="87"/>
        <v>0</v>
      </c>
      <c r="AI1028" s="143">
        <f t="shared" si="88"/>
        <v>0</v>
      </c>
      <c r="AJ1028" s="143"/>
      <c r="AK1028" s="141"/>
      <c r="AL1028" s="143">
        <f>IF(Table2[[#This Row],[GameIsOver]]=0,0,IF(Table2[[#This Row],[ActualWinner]]=Table2[[#This Row],[AwayTeam]], 1, 0))</f>
        <v>0</v>
      </c>
      <c r="AM1028" s="143">
        <f>IF(Table2[[#This Row],[GameIsOver]]=0,0,IF(Table2[[#This Row],[ActualWinner]]=Table2[[#This Row],[HomeTeam]], 1, 0))</f>
        <v>0</v>
      </c>
      <c r="AN10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8" s="143" t="str">
        <f>INDEX(Sheet5!$B$2:$AG$33, MATCH(Table2[[#This Row],[AwayTeam]],Sheet5!$A$2:$A$33, 0), MATCH(Table2[[#This Row],[HomeTeam]],Sheet5!$A$2:$A$33, 0))</f>
        <v>0-0-0</v>
      </c>
      <c r="AP1028" s="143" t="str">
        <f>INDEX(Sheet5!$B$2:$AG$33, MATCH(Table2[[#This Row],[HomeTeam]],Sheet5!$A$2:$A$33, 0), MATCH(Table2[[#This Row],[AwayTeam]],Sheet5!$A$2:$A$33, 0))</f>
        <v>0-0-0</v>
      </c>
      <c r="AQ1028" s="143">
        <f>IF(Table2[[#This Row],[GameHasShutOut]], 1, 0)</f>
        <v>0</v>
      </c>
      <c r="AR1028" s="143">
        <f>IF(Table2[[#This Row],[ActualAwayScore]] + Table2[[#This Row],[ActualHomeScore]] &gt;= 10, 1, 0)</f>
        <v>0</v>
      </c>
      <c r="AS1028" s="143">
        <f>IF(ABS(Table2[[#This Row],[ActualAwayScore]]-Table2[[#This Row],[ActualHomeScore]])&gt;=5, 1, 0)</f>
        <v>0</v>
      </c>
      <c r="AT1028" s="143">
        <f>IF(Table2[[#This Row],[ActualAwayScore]] + Table2[[#This Row],[ActualHomeScore]] &lt;= 3, 1, 0)</f>
        <v>1</v>
      </c>
      <c r="AU10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9" spans="1:49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0" spans="1:49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1" spans="1:49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2" spans="1:49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3" spans="1:49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4" spans="1:49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35" spans="1:49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6" spans="1:49" x14ac:dyDescent="0.25">
      <c r="A1036" s="3"/>
      <c r="B1036" s="3">
        <v>46093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7" spans="1:49" x14ac:dyDescent="0.25">
      <c r="A1037" s="3"/>
      <c r="B1037" s="3">
        <v>46093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8" spans="1:49" x14ac:dyDescent="0.25">
      <c r="A1038" s="3"/>
      <c r="B1038" s="3">
        <v>46093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9" spans="1:49" x14ac:dyDescent="0.25">
      <c r="A1039" s="3"/>
      <c r="B1039" s="3">
        <v>46093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0" spans="1:49" x14ac:dyDescent="0.25">
      <c r="A1040" s="3"/>
      <c r="B1040" s="3">
        <v>46093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1" spans="1:49" x14ac:dyDescent="0.25">
      <c r="A1041" s="3"/>
      <c r="B1041" s="3">
        <v>46093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2" spans="1:49" x14ac:dyDescent="0.25">
      <c r="A1042" s="141"/>
      <c r="B1042" s="141">
        <v>46093</v>
      </c>
      <c r="C1042" s="142">
        <v>2025021040</v>
      </c>
      <c r="D1042" s="143" t="s">
        <v>25</v>
      </c>
      <c r="E1042" s="143" t="s">
        <v>11</v>
      </c>
      <c r="F1042" s="143"/>
      <c r="G1042" s="143"/>
      <c r="H1042" s="143" t="str">
        <f t="shared" si="84"/>
        <v>_</v>
      </c>
      <c r="I1042" s="143"/>
      <c r="J1042" s="143"/>
      <c r="K1042" s="143"/>
      <c r="L1042" s="143" t="str">
        <f t="shared" si="85"/>
        <v>_</v>
      </c>
      <c r="M1042" s="143"/>
      <c r="N1042" s="143">
        <f>IF(ISBLANK(Table2[[#This Row],[ActualResult]]), 0, 1)</f>
        <v>0</v>
      </c>
      <c r="O1042" s="143" t="str">
        <f>IF(ISBLANK(Table2[[#This Row],[ActualResult]]), "_", IF(Table2[[#This Row],[ActualWinner]]=Table2[[#This Row],[PredictedWinner]], "Y", "N"))</f>
        <v>_</v>
      </c>
      <c r="P10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143"/>
      <c r="S1042" s="143" t="str">
        <f t="shared" si="86"/>
        <v>_</v>
      </c>
      <c r="T10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143">
        <f>IF(Table2[[#This Row],[InterConf]]=1,IF(Table2[[#This Row],[InterDiv]]=0, 1, 0), 0)</f>
        <v>1</v>
      </c>
      <c r="W10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143"/>
      <c r="Y1042" s="143"/>
      <c r="Z1042" s="149">
        <f>IF(AND(Table2[[#This Row],[GameIsOver]]=1,Table2[[#This Row],[ActualHomeScore]]*Table2[[#This Row],[ActualAwayScore]]=0), 1,0)</f>
        <v>0</v>
      </c>
      <c r="AA10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2" s="143">
        <f>Table2[[#This Row],[ActualAwayScore]]-Table2[[#This Row],[PredictedAwayScore]]</f>
        <v>0</v>
      </c>
      <c r="AG1042" s="143">
        <f>Table2[[#This Row],[ActualHomeScore]]-Table2[[#This Row],[PredictedHomeScore]]</f>
        <v>0</v>
      </c>
      <c r="AH1042" s="143">
        <f t="shared" si="87"/>
        <v>0</v>
      </c>
      <c r="AI1042" s="143">
        <f t="shared" si="88"/>
        <v>0</v>
      </c>
      <c r="AJ1042" s="143"/>
      <c r="AK1042" s="141"/>
      <c r="AL1042" s="143">
        <f>IF(Table2[[#This Row],[GameIsOver]]=0,0,IF(Table2[[#This Row],[ActualWinner]]=Table2[[#This Row],[AwayTeam]], 1, 0))</f>
        <v>0</v>
      </c>
      <c r="AM1042" s="143">
        <f>IF(Table2[[#This Row],[GameIsOver]]=0,0,IF(Table2[[#This Row],[ActualWinner]]=Table2[[#This Row],[HomeTeam]], 1, 0))</f>
        <v>0</v>
      </c>
      <c r="AN104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2" s="143" t="str">
        <f>INDEX(Sheet5!$B$2:$AG$33, MATCH(Table2[[#This Row],[AwayTeam]],Sheet5!$A$2:$A$33, 0), MATCH(Table2[[#This Row],[HomeTeam]],Sheet5!$A$2:$A$33, 0))</f>
        <v>1-0-0</v>
      </c>
      <c r="AP1042" s="143" t="str">
        <f>INDEX(Sheet5!$B$2:$AG$33, MATCH(Table2[[#This Row],[HomeTeam]],Sheet5!$A$2:$A$33, 0), MATCH(Table2[[#This Row],[AwayTeam]],Sheet5!$A$2:$A$33, 0))</f>
        <v>0-1-0</v>
      </c>
      <c r="AQ1042" s="143">
        <f>IF(Table2[[#This Row],[GameHasShutOut]], 1, 0)</f>
        <v>0</v>
      </c>
      <c r="AR1042" s="143">
        <f>IF(Table2[[#This Row],[ActualAwayScore]] + Table2[[#This Row],[ActualHomeScore]] &gt;= 10, 1, 0)</f>
        <v>0</v>
      </c>
      <c r="AS1042" s="143">
        <f>IF(ABS(Table2[[#This Row],[ActualAwayScore]]-Table2[[#This Row],[ActualHomeScore]])&gt;=5, 1, 0)</f>
        <v>0</v>
      </c>
      <c r="AT1042" s="143">
        <f>IF(Table2[[#This Row],[ActualAwayScore]] + Table2[[#This Row],[ActualHomeScore]] &lt;= 3, 1, 0)</f>
        <v>1</v>
      </c>
      <c r="AU10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3" spans="1:49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4" spans="1:49" x14ac:dyDescent="0.25">
      <c r="A1044" s="141"/>
      <c r="B1044" s="141">
        <v>46094</v>
      </c>
      <c r="C1044" s="142">
        <v>2025021042</v>
      </c>
      <c r="D1044" s="143" t="s">
        <v>22</v>
      </c>
      <c r="E1044" s="143" t="s">
        <v>12</v>
      </c>
      <c r="F1044" s="143"/>
      <c r="G1044" s="143"/>
      <c r="H1044" s="143" t="str">
        <f t="shared" si="84"/>
        <v>_</v>
      </c>
      <c r="I1044" s="143"/>
      <c r="J1044" s="143"/>
      <c r="K1044" s="143"/>
      <c r="L1044" s="143" t="str">
        <f t="shared" si="85"/>
        <v>_</v>
      </c>
      <c r="M1044" s="143"/>
      <c r="N1044" s="143">
        <f>IF(ISBLANK(Table2[[#This Row],[ActualResult]]), 0, 1)</f>
        <v>0</v>
      </c>
      <c r="O1044" s="143" t="str">
        <f>IF(ISBLANK(Table2[[#This Row],[ActualResult]]), "_", IF(Table2[[#This Row],[ActualWinner]]=Table2[[#This Row],[PredictedWinner]], "Y", "N"))</f>
        <v>_</v>
      </c>
      <c r="P10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143"/>
      <c r="S1044" s="143" t="str">
        <f t="shared" si="86"/>
        <v>_</v>
      </c>
      <c r="T10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143">
        <f>IF(Table2[[#This Row],[InterConf]]=1,IF(Table2[[#This Row],[InterDiv]]=0, 1, 0), 0)</f>
        <v>1</v>
      </c>
      <c r="W10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143"/>
      <c r="Y1044" s="143"/>
      <c r="Z1044" s="149">
        <f>IF(AND(Table2[[#This Row],[GameIsOver]]=1,Table2[[#This Row],[ActualHomeScore]]*Table2[[#This Row],[ActualAwayScore]]=0), 1,0)</f>
        <v>0</v>
      </c>
      <c r="AA10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4" s="143">
        <f>Table2[[#This Row],[ActualAwayScore]]-Table2[[#This Row],[PredictedAwayScore]]</f>
        <v>0</v>
      </c>
      <c r="AG1044" s="143">
        <f>Table2[[#This Row],[ActualHomeScore]]-Table2[[#This Row],[PredictedHomeScore]]</f>
        <v>0</v>
      </c>
      <c r="AH1044" s="143">
        <f t="shared" si="87"/>
        <v>0</v>
      </c>
      <c r="AI1044" s="143">
        <f t="shared" si="88"/>
        <v>0</v>
      </c>
      <c r="AJ1044" s="143"/>
      <c r="AK1044" s="141"/>
      <c r="AL1044" s="143">
        <f>IF(Table2[[#This Row],[GameIsOver]]=0,0,IF(Table2[[#This Row],[ActualWinner]]=Table2[[#This Row],[AwayTeam]], 1, 0))</f>
        <v>0</v>
      </c>
      <c r="AM1044" s="143">
        <f>IF(Table2[[#This Row],[GameIsOver]]=0,0,IF(Table2[[#This Row],[ActualWinner]]=Table2[[#This Row],[HomeTeam]], 1, 0))</f>
        <v>0</v>
      </c>
      <c r="AN10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4" s="143" t="str">
        <f>INDEX(Sheet5!$B$2:$AG$33, MATCH(Table2[[#This Row],[AwayTeam]],Sheet5!$A$2:$A$33, 0), MATCH(Table2[[#This Row],[HomeTeam]],Sheet5!$A$2:$A$33, 0))</f>
        <v>0-1-0</v>
      </c>
      <c r="AP1044" s="143" t="str">
        <f>INDEX(Sheet5!$B$2:$AG$33, MATCH(Table2[[#This Row],[HomeTeam]],Sheet5!$A$2:$A$33, 0), MATCH(Table2[[#This Row],[AwayTeam]],Sheet5!$A$2:$A$33, 0))</f>
        <v>1-0-0</v>
      </c>
      <c r="AQ1044" s="143">
        <f>IF(Table2[[#This Row],[GameHasShutOut]], 1, 0)</f>
        <v>0</v>
      </c>
      <c r="AR1044" s="143">
        <f>IF(Table2[[#This Row],[ActualAwayScore]] + Table2[[#This Row],[ActualHomeScore]] &gt;= 10, 1, 0)</f>
        <v>0</v>
      </c>
      <c r="AS1044" s="143">
        <f>IF(ABS(Table2[[#This Row],[ActualAwayScore]]-Table2[[#This Row],[ActualHomeScore]])&gt;=5, 1, 0)</f>
        <v>0</v>
      </c>
      <c r="AT1044" s="143">
        <f>IF(Table2[[#This Row],[ActualAwayScore]] + Table2[[#This Row],[ActualHomeScore]] &lt;= 3, 1, 0)</f>
        <v>1</v>
      </c>
      <c r="AU104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5" spans="1:49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6" spans="1:49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7" spans="1:49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8" spans="1:49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9" spans="1:49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0" spans="1:49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1" spans="1:49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2" spans="1:49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3" spans="1:49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5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54" spans="1:49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5" spans="1:49" x14ac:dyDescent="0.25">
      <c r="A1055" s="3"/>
      <c r="B1055" s="3">
        <v>46095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6" spans="1:49" x14ac:dyDescent="0.25">
      <c r="A1056" s="3"/>
      <c r="B1056" s="3">
        <v>46095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6" s="2" t="str">
        <f>INDEX(Sheet5!$B$2:$AG$33, MATCH(Table2[[#This Row],[AwayTeam]],Sheet5!$A$2:$A$33, 0), MATCH(Table2[[#This Row],[HomeTeam]],Sheet5!$A$2:$A$33, 0))</f>
        <v>0-0-1</v>
      </c>
      <c r="AP1056" s="2" t="str">
        <f>INDEX(Sheet5!$B$2:$AG$33, MATCH(Table2[[#This Row],[HomeTeam]],Sheet5!$A$2:$A$33, 0), MATCH(Table2[[#This Row],[AwayTeam]],Sheet5!$A$2:$A$33, 0))</f>
        <v>1-0-0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7" spans="1:49" x14ac:dyDescent="0.25">
      <c r="A1057" s="3"/>
      <c r="B1057" s="3">
        <v>46095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8" spans="1:49" x14ac:dyDescent="0.25">
      <c r="A1058" s="141"/>
      <c r="B1058" s="141">
        <v>46095</v>
      </c>
      <c r="C1058" s="142">
        <v>2025021056</v>
      </c>
      <c r="D1058" s="143" t="s">
        <v>16</v>
      </c>
      <c r="E1058" s="143" t="s">
        <v>26</v>
      </c>
      <c r="F1058" s="143"/>
      <c r="G1058" s="143"/>
      <c r="H1058" s="143" t="str">
        <f t="shared" si="84"/>
        <v>_</v>
      </c>
      <c r="I1058" s="143"/>
      <c r="J1058" s="143"/>
      <c r="K1058" s="143"/>
      <c r="L1058" s="143" t="str">
        <f t="shared" si="85"/>
        <v>_</v>
      </c>
      <c r="M1058" s="143"/>
      <c r="N1058" s="143">
        <f>IF(ISBLANK(Table2[[#This Row],[ActualResult]]), 0, 1)</f>
        <v>0</v>
      </c>
      <c r="O1058" s="143" t="str">
        <f>IF(ISBLANK(Table2[[#This Row],[ActualResult]]), "_", IF(Table2[[#This Row],[ActualWinner]]=Table2[[#This Row],[PredictedWinner]], "Y", "N"))</f>
        <v>_</v>
      </c>
      <c r="P10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143"/>
      <c r="S1058" s="143" t="str">
        <f t="shared" si="86"/>
        <v>_</v>
      </c>
      <c r="T10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143">
        <f>IF(Table2[[#This Row],[InterConf]]=1,IF(Table2[[#This Row],[InterDiv]]=0, 1, 0), 0)</f>
        <v>1</v>
      </c>
      <c r="W10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143"/>
      <c r="Y1058" s="143"/>
      <c r="Z1058" s="149">
        <f>IF(AND(Table2[[#This Row],[GameIsOver]]=1,Table2[[#This Row],[ActualHomeScore]]*Table2[[#This Row],[ActualAwayScore]]=0), 1,0)</f>
        <v>0</v>
      </c>
      <c r="AA10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8" s="143">
        <f>Table2[[#This Row],[ActualAwayScore]]-Table2[[#This Row],[PredictedAwayScore]]</f>
        <v>0</v>
      </c>
      <c r="AG1058" s="143">
        <f>Table2[[#This Row],[ActualHomeScore]]-Table2[[#This Row],[PredictedHomeScore]]</f>
        <v>0</v>
      </c>
      <c r="AH1058" s="143">
        <f t="shared" si="87"/>
        <v>0</v>
      </c>
      <c r="AI1058" s="143">
        <f t="shared" si="88"/>
        <v>0</v>
      </c>
      <c r="AJ1058" s="143"/>
      <c r="AK1058" s="141"/>
      <c r="AL1058" s="143">
        <f>IF(Table2[[#This Row],[GameIsOver]]=0,0,IF(Table2[[#This Row],[ActualWinner]]=Table2[[#This Row],[AwayTeam]], 1, 0))</f>
        <v>0</v>
      </c>
      <c r="AM1058" s="143">
        <f>IF(Table2[[#This Row],[GameIsOver]]=0,0,IF(Table2[[#This Row],[ActualWinner]]=Table2[[#This Row],[HomeTeam]], 1, 0))</f>
        <v>0</v>
      </c>
      <c r="AN10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8" s="143" t="str">
        <f>INDEX(Sheet5!$B$2:$AG$33, MATCH(Table2[[#This Row],[AwayTeam]],Sheet5!$A$2:$A$33, 0), MATCH(Table2[[#This Row],[HomeTeam]],Sheet5!$A$2:$A$33, 0))</f>
        <v>0-0-1</v>
      </c>
      <c r="AP1058" s="143" t="str">
        <f>INDEX(Sheet5!$B$2:$AG$33, MATCH(Table2[[#This Row],[HomeTeam]],Sheet5!$A$2:$A$33, 0), MATCH(Table2[[#This Row],[AwayTeam]],Sheet5!$A$2:$A$33, 0))</f>
        <v>1-0-0</v>
      </c>
      <c r="AQ1058" s="143">
        <f>IF(Table2[[#This Row],[GameHasShutOut]], 1, 0)</f>
        <v>0</v>
      </c>
      <c r="AR1058" s="143">
        <f>IF(Table2[[#This Row],[ActualAwayScore]] + Table2[[#This Row],[ActualHomeScore]] &gt;= 10, 1, 0)</f>
        <v>0</v>
      </c>
      <c r="AS1058" s="143">
        <f>IF(ABS(Table2[[#This Row],[ActualAwayScore]]-Table2[[#This Row],[ActualHomeScore]])&gt;=5, 1, 0)</f>
        <v>0</v>
      </c>
      <c r="AT1058" s="143">
        <f>IF(Table2[[#This Row],[ActualAwayScore]] + Table2[[#This Row],[ActualHomeScore]] &lt;= 3, 1, 0)</f>
        <v>1</v>
      </c>
      <c r="AU10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9" spans="1:49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0" spans="1:49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1" spans="1:49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2" spans="1:49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3" spans="1:49" x14ac:dyDescent="0.25">
      <c r="A1063" s="3"/>
      <c r="B1063" s="3">
        <v>46096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4" spans="1:49" x14ac:dyDescent="0.25">
      <c r="A1064" s="141"/>
      <c r="B1064" s="141">
        <v>46096</v>
      </c>
      <c r="C1064" s="142">
        <v>2025021062</v>
      </c>
      <c r="D1064" s="143" t="s">
        <v>13</v>
      </c>
      <c r="E1064" s="143" t="s">
        <v>11</v>
      </c>
      <c r="F1064" s="143"/>
      <c r="G1064" s="143"/>
      <c r="H1064" s="143" t="str">
        <f t="shared" si="84"/>
        <v>_</v>
      </c>
      <c r="I1064" s="143"/>
      <c r="J1064" s="143"/>
      <c r="K1064" s="143"/>
      <c r="L1064" s="143" t="str">
        <f t="shared" si="85"/>
        <v>_</v>
      </c>
      <c r="M1064" s="143"/>
      <c r="N1064" s="143">
        <f>IF(ISBLANK(Table2[[#This Row],[ActualResult]]), 0, 1)</f>
        <v>0</v>
      </c>
      <c r="O1064" s="143" t="str">
        <f>IF(ISBLANK(Table2[[#This Row],[ActualResult]]), "_", IF(Table2[[#This Row],[ActualWinner]]=Table2[[#This Row],[PredictedWinner]], "Y", "N"))</f>
        <v>_</v>
      </c>
      <c r="P106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143"/>
      <c r="S1064" s="143" t="str">
        <f t="shared" si="86"/>
        <v>_</v>
      </c>
      <c r="T106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143">
        <f>IF(Table2[[#This Row],[InterConf]]=1,IF(Table2[[#This Row],[InterDiv]]=0, 1, 0), 0)</f>
        <v>0</v>
      </c>
      <c r="W106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143"/>
      <c r="Y1064" s="143"/>
      <c r="Z1064" s="149">
        <f>IF(AND(Table2[[#This Row],[GameIsOver]]=1,Table2[[#This Row],[ActualHomeScore]]*Table2[[#This Row],[ActualAwayScore]]=0), 1,0)</f>
        <v>0</v>
      </c>
      <c r="AA106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4" s="143">
        <f>Table2[[#This Row],[ActualAwayScore]]-Table2[[#This Row],[PredictedAwayScore]]</f>
        <v>0</v>
      </c>
      <c r="AG1064" s="143">
        <f>Table2[[#This Row],[ActualHomeScore]]-Table2[[#This Row],[PredictedHomeScore]]</f>
        <v>0</v>
      </c>
      <c r="AH1064" s="143">
        <f t="shared" si="87"/>
        <v>0</v>
      </c>
      <c r="AI1064" s="143">
        <f t="shared" si="88"/>
        <v>0</v>
      </c>
      <c r="AJ1064" s="143"/>
      <c r="AK1064" s="141"/>
      <c r="AL1064" s="143">
        <f>IF(Table2[[#This Row],[GameIsOver]]=0,0,IF(Table2[[#This Row],[ActualWinner]]=Table2[[#This Row],[AwayTeam]], 1, 0))</f>
        <v>0</v>
      </c>
      <c r="AM1064" s="143">
        <f>IF(Table2[[#This Row],[GameIsOver]]=0,0,IF(Table2[[#This Row],[ActualWinner]]=Table2[[#This Row],[HomeTeam]], 1, 0))</f>
        <v>0</v>
      </c>
      <c r="AN106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4" s="143" t="str">
        <f>INDEX(Sheet5!$B$2:$AG$33, MATCH(Table2[[#This Row],[AwayTeam]],Sheet5!$A$2:$A$33, 0), MATCH(Table2[[#This Row],[HomeTeam]],Sheet5!$A$2:$A$33, 0))</f>
        <v>0-0-0</v>
      </c>
      <c r="AP1064" s="143" t="str">
        <f>INDEX(Sheet5!$B$2:$AG$33, MATCH(Table2[[#This Row],[HomeTeam]],Sheet5!$A$2:$A$33, 0), MATCH(Table2[[#This Row],[AwayTeam]],Sheet5!$A$2:$A$33, 0))</f>
        <v>0-0-0</v>
      </c>
      <c r="AQ1064" s="143">
        <f>IF(Table2[[#This Row],[GameHasShutOut]], 1, 0)</f>
        <v>0</v>
      </c>
      <c r="AR1064" s="143">
        <f>IF(Table2[[#This Row],[ActualAwayScore]] + Table2[[#This Row],[ActualHomeScore]] &gt;= 10, 1, 0)</f>
        <v>0</v>
      </c>
      <c r="AS1064" s="143">
        <f>IF(ABS(Table2[[#This Row],[ActualAwayScore]]-Table2[[#This Row],[ActualHomeScore]])&gt;=5, 1, 0)</f>
        <v>0</v>
      </c>
      <c r="AT1064" s="143">
        <f>IF(Table2[[#This Row],[ActualAwayScore]] + Table2[[#This Row],[ActualHomeScore]] &lt;= 3, 1, 0)</f>
        <v>1</v>
      </c>
      <c r="AU106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5" spans="1:49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66" spans="1:49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7" spans="1:49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8" spans="1:49" x14ac:dyDescent="0.25">
      <c r="A1068" s="3"/>
      <c r="B1068" s="3">
        <v>46097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9" spans="1:49" x14ac:dyDescent="0.25">
      <c r="A1069" s="141"/>
      <c r="B1069" s="141">
        <v>46097</v>
      </c>
      <c r="C1069" s="142">
        <v>2025021067</v>
      </c>
      <c r="D1069" s="143" t="s">
        <v>20</v>
      </c>
      <c r="E1069" s="143" t="s">
        <v>25</v>
      </c>
      <c r="F1069" s="143"/>
      <c r="G1069" s="143"/>
      <c r="H1069" s="143" t="str">
        <f t="shared" si="84"/>
        <v>_</v>
      </c>
      <c r="I1069" s="143"/>
      <c r="J1069" s="143"/>
      <c r="K1069" s="143"/>
      <c r="L1069" s="143" t="str">
        <f t="shared" si="85"/>
        <v>_</v>
      </c>
      <c r="M1069" s="143"/>
      <c r="N1069" s="143">
        <f>IF(ISBLANK(Table2[[#This Row],[ActualResult]]), 0, 1)</f>
        <v>0</v>
      </c>
      <c r="O1069" s="143" t="str">
        <f>IF(ISBLANK(Table2[[#This Row],[ActualResult]]), "_", IF(Table2[[#This Row],[ActualWinner]]=Table2[[#This Row],[PredictedWinner]], "Y", "N"))</f>
        <v>_</v>
      </c>
      <c r="P106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143"/>
      <c r="S1069" s="143" t="str">
        <f t="shared" si="86"/>
        <v>_</v>
      </c>
      <c r="T106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143">
        <f>IF(Table2[[#This Row],[InterConf]]=1,IF(Table2[[#This Row],[InterDiv]]=0, 1, 0), 0)</f>
        <v>0</v>
      </c>
      <c r="W106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143"/>
      <c r="Y1069" s="143"/>
      <c r="Z1069" s="149">
        <f>IF(AND(Table2[[#This Row],[GameIsOver]]=1,Table2[[#This Row],[ActualHomeScore]]*Table2[[#This Row],[ActualAwayScore]]=0), 1,0)</f>
        <v>0</v>
      </c>
      <c r="AA106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9" s="143">
        <f>Table2[[#This Row],[ActualAwayScore]]-Table2[[#This Row],[PredictedAwayScore]]</f>
        <v>0</v>
      </c>
      <c r="AG1069" s="143">
        <f>Table2[[#This Row],[ActualHomeScore]]-Table2[[#This Row],[PredictedHomeScore]]</f>
        <v>0</v>
      </c>
      <c r="AH1069" s="143">
        <f t="shared" si="87"/>
        <v>0</v>
      </c>
      <c r="AI1069" s="143">
        <f t="shared" si="88"/>
        <v>0</v>
      </c>
      <c r="AJ1069" s="143"/>
      <c r="AK1069" s="141"/>
      <c r="AL1069" s="143">
        <f>IF(Table2[[#This Row],[GameIsOver]]=0,0,IF(Table2[[#This Row],[ActualWinner]]=Table2[[#This Row],[AwayTeam]], 1, 0))</f>
        <v>0</v>
      </c>
      <c r="AM1069" s="143">
        <f>IF(Table2[[#This Row],[GameIsOver]]=0,0,IF(Table2[[#This Row],[ActualWinner]]=Table2[[#This Row],[HomeTeam]], 1, 0))</f>
        <v>0</v>
      </c>
      <c r="AN106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69" s="143" t="str">
        <f>INDEX(Sheet5!$B$2:$AG$33, MATCH(Table2[[#This Row],[AwayTeam]],Sheet5!$A$2:$A$33, 0), MATCH(Table2[[#This Row],[HomeTeam]],Sheet5!$A$2:$A$33, 0))</f>
        <v>0-0-0</v>
      </c>
      <c r="AP1069" s="143" t="str">
        <f>INDEX(Sheet5!$B$2:$AG$33, MATCH(Table2[[#This Row],[HomeTeam]],Sheet5!$A$2:$A$33, 0), MATCH(Table2[[#This Row],[AwayTeam]],Sheet5!$A$2:$A$33, 0))</f>
        <v>0-0-0</v>
      </c>
      <c r="AQ1069" s="143">
        <f>IF(Table2[[#This Row],[GameHasShutOut]], 1, 0)</f>
        <v>0</v>
      </c>
      <c r="AR1069" s="143">
        <f>IF(Table2[[#This Row],[ActualAwayScore]] + Table2[[#This Row],[ActualHomeScore]] &gt;= 10, 1, 0)</f>
        <v>0</v>
      </c>
      <c r="AS1069" s="143">
        <f>IF(ABS(Table2[[#This Row],[ActualAwayScore]]-Table2[[#This Row],[ActualHomeScore]])&gt;=5, 1, 0)</f>
        <v>0</v>
      </c>
      <c r="AT1069" s="143">
        <f>IF(Table2[[#This Row],[ActualAwayScore]] + Table2[[#This Row],[ActualHomeScore]] &lt;= 3, 1, 0)</f>
        <v>1</v>
      </c>
      <c r="AU106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0" spans="1:49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1" spans="1:49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2" spans="1:49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3" spans="1:49" x14ac:dyDescent="0.25">
      <c r="A1073" s="3"/>
      <c r="B1073" s="3">
        <v>46098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4" spans="1:49" x14ac:dyDescent="0.25">
      <c r="A1074" s="3"/>
      <c r="B1074" s="3">
        <v>46098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5" spans="1:49" x14ac:dyDescent="0.25">
      <c r="A1075" s="3"/>
      <c r="B1075" s="3">
        <v>46098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6" spans="1:49" x14ac:dyDescent="0.25">
      <c r="A1076" s="3"/>
      <c r="B1076" s="3">
        <v>46098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7" spans="1:49" x14ac:dyDescent="0.25">
      <c r="A1077" s="3"/>
      <c r="B1077" s="3">
        <v>46098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8" spans="1:49" x14ac:dyDescent="0.25">
      <c r="A1078" s="141"/>
      <c r="B1078" s="141">
        <v>46098</v>
      </c>
      <c r="C1078" s="142">
        <v>2025021076</v>
      </c>
      <c r="D1078" s="143" t="s">
        <v>40</v>
      </c>
      <c r="E1078" s="143" t="s">
        <v>11</v>
      </c>
      <c r="F1078" s="143"/>
      <c r="G1078" s="143"/>
      <c r="H1078" s="143" t="str">
        <f t="shared" si="84"/>
        <v>_</v>
      </c>
      <c r="I1078" s="143"/>
      <c r="J1078" s="143"/>
      <c r="K1078" s="143"/>
      <c r="L1078" s="143" t="str">
        <f t="shared" si="85"/>
        <v>_</v>
      </c>
      <c r="M1078" s="143"/>
      <c r="N1078" s="143">
        <f>IF(ISBLANK(Table2[[#This Row],[ActualResult]]), 0, 1)</f>
        <v>0</v>
      </c>
      <c r="O1078" s="143" t="str">
        <f>IF(ISBLANK(Table2[[#This Row],[ActualResult]]), "_", IF(Table2[[#This Row],[ActualWinner]]=Table2[[#This Row],[PredictedWinner]], "Y", "N"))</f>
        <v>_</v>
      </c>
      <c r="P10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143"/>
      <c r="S1078" s="143" t="str">
        <f t="shared" si="86"/>
        <v>_</v>
      </c>
      <c r="T10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143">
        <f>IF(Table2[[#This Row],[InterConf]]=1,IF(Table2[[#This Row],[InterDiv]]=0, 1, 0), 0)</f>
        <v>0</v>
      </c>
      <c r="W10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143"/>
      <c r="Y1078" s="143"/>
      <c r="Z1078" s="149">
        <f>IF(AND(Table2[[#This Row],[GameIsOver]]=1,Table2[[#This Row],[ActualHomeScore]]*Table2[[#This Row],[ActualAwayScore]]=0), 1,0)</f>
        <v>0</v>
      </c>
      <c r="AA10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8" s="143">
        <f>Table2[[#This Row],[ActualAwayScore]]-Table2[[#This Row],[PredictedAwayScore]]</f>
        <v>0</v>
      </c>
      <c r="AG1078" s="143">
        <f>Table2[[#This Row],[ActualHomeScore]]-Table2[[#This Row],[PredictedHomeScore]]</f>
        <v>0</v>
      </c>
      <c r="AH1078" s="143">
        <f t="shared" si="87"/>
        <v>0</v>
      </c>
      <c r="AI1078" s="143">
        <f t="shared" si="88"/>
        <v>0</v>
      </c>
      <c r="AJ1078" s="143"/>
      <c r="AK1078" s="141"/>
      <c r="AL1078" s="143">
        <f>IF(Table2[[#This Row],[GameIsOver]]=0,0,IF(Table2[[#This Row],[ActualWinner]]=Table2[[#This Row],[AwayTeam]], 1, 0))</f>
        <v>0</v>
      </c>
      <c r="AM1078" s="143">
        <f>IF(Table2[[#This Row],[GameIsOver]]=0,0,IF(Table2[[#This Row],[ActualWinner]]=Table2[[#This Row],[HomeTeam]], 1, 0))</f>
        <v>0</v>
      </c>
      <c r="AN10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8" s="143" t="str">
        <f>INDEX(Sheet5!$B$2:$AG$33, MATCH(Table2[[#This Row],[AwayTeam]],Sheet5!$A$2:$A$33, 0), MATCH(Table2[[#This Row],[HomeTeam]],Sheet5!$A$2:$A$33, 0))</f>
        <v>0-0-0</v>
      </c>
      <c r="AP1078" s="143" t="str">
        <f>INDEX(Sheet5!$B$2:$AG$33, MATCH(Table2[[#This Row],[HomeTeam]],Sheet5!$A$2:$A$33, 0), MATCH(Table2[[#This Row],[AwayTeam]],Sheet5!$A$2:$A$33, 0))</f>
        <v>0-0-0</v>
      </c>
      <c r="AQ1078" s="143">
        <f>IF(Table2[[#This Row],[GameHasShutOut]], 1, 0)</f>
        <v>0</v>
      </c>
      <c r="AR1078" s="143">
        <f>IF(Table2[[#This Row],[ActualAwayScore]] + Table2[[#This Row],[ActualHomeScore]] &gt;= 10, 1, 0)</f>
        <v>0</v>
      </c>
      <c r="AS1078" s="143">
        <f>IF(ABS(Table2[[#This Row],[ActualAwayScore]]-Table2[[#This Row],[ActualHomeScore]])&gt;=5, 1, 0)</f>
        <v>0</v>
      </c>
      <c r="AT1078" s="143">
        <f>IF(Table2[[#This Row],[ActualAwayScore]] + Table2[[#This Row],[ActualHomeScore]] &lt;= 3, 1, 0)</f>
        <v>1</v>
      </c>
      <c r="AU107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9" spans="1:49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0" spans="1:49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1" spans="1:49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2" spans="1:49" x14ac:dyDescent="0.25">
      <c r="A1082" s="3"/>
      <c r="B1082" s="3">
        <v>46099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3" spans="1:49" x14ac:dyDescent="0.25">
      <c r="A1083" s="3"/>
      <c r="B1083" s="3">
        <v>46099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84" spans="1:49" x14ac:dyDescent="0.25">
      <c r="A1084" s="141"/>
      <c r="B1084" s="141">
        <v>46099</v>
      </c>
      <c r="C1084" s="142">
        <v>2025021082</v>
      </c>
      <c r="D1084" s="143" t="s">
        <v>42</v>
      </c>
      <c r="E1084" s="143" t="s">
        <v>44</v>
      </c>
      <c r="F1084" s="143"/>
      <c r="G1084" s="143"/>
      <c r="H1084" s="143" t="str">
        <f t="shared" si="84"/>
        <v>_</v>
      </c>
      <c r="I1084" s="143"/>
      <c r="J1084" s="143"/>
      <c r="K1084" s="143"/>
      <c r="L1084" s="143" t="str">
        <f t="shared" si="85"/>
        <v>_</v>
      </c>
      <c r="M1084" s="143"/>
      <c r="N1084" s="143">
        <f>IF(ISBLANK(Table2[[#This Row],[ActualResult]]), 0, 1)</f>
        <v>0</v>
      </c>
      <c r="O1084" s="143" t="str">
        <f>IF(ISBLANK(Table2[[#This Row],[ActualResult]]), "_", IF(Table2[[#This Row],[ActualWinner]]=Table2[[#This Row],[PredictedWinner]], "Y", "N"))</f>
        <v>_</v>
      </c>
      <c r="P10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143"/>
      <c r="S1084" s="143" t="str">
        <f t="shared" si="86"/>
        <v>_</v>
      </c>
      <c r="T10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143">
        <f>IF(Table2[[#This Row],[InterConf]]=1,IF(Table2[[#This Row],[InterDiv]]=0, 1, 0), 0)</f>
        <v>0</v>
      </c>
      <c r="W10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143"/>
      <c r="Y1084" s="143"/>
      <c r="Z1084" s="149">
        <f>IF(AND(Table2[[#This Row],[GameIsOver]]=1,Table2[[#This Row],[ActualHomeScore]]*Table2[[#This Row],[ActualAwayScore]]=0), 1,0)</f>
        <v>0</v>
      </c>
      <c r="AA10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4" s="143">
        <f>Table2[[#This Row],[ActualAwayScore]]-Table2[[#This Row],[PredictedAwayScore]]</f>
        <v>0</v>
      </c>
      <c r="AG1084" s="143">
        <f>Table2[[#This Row],[ActualHomeScore]]-Table2[[#This Row],[PredictedHomeScore]]</f>
        <v>0</v>
      </c>
      <c r="AH1084" s="143">
        <f t="shared" si="87"/>
        <v>0</v>
      </c>
      <c r="AI1084" s="143">
        <f t="shared" si="88"/>
        <v>0</v>
      </c>
      <c r="AJ1084" s="143"/>
      <c r="AK1084" s="141"/>
      <c r="AL1084" s="143">
        <f>IF(Table2[[#This Row],[GameIsOver]]=0,0,IF(Table2[[#This Row],[ActualWinner]]=Table2[[#This Row],[AwayTeam]], 1, 0))</f>
        <v>0</v>
      </c>
      <c r="AM1084" s="143">
        <f>IF(Table2[[#This Row],[GameIsOver]]=0,0,IF(Table2[[#This Row],[ActualWinner]]=Table2[[#This Row],[HomeTeam]], 1, 0))</f>
        <v>0</v>
      </c>
      <c r="AN10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4" s="143" t="str">
        <f>INDEX(Sheet5!$B$2:$AG$33, MATCH(Table2[[#This Row],[AwayTeam]],Sheet5!$A$2:$A$33, 0), MATCH(Table2[[#This Row],[HomeTeam]],Sheet5!$A$2:$A$33, 0))</f>
        <v>0-0-0</v>
      </c>
      <c r="AP1084" s="143" t="str">
        <f>INDEX(Sheet5!$B$2:$AG$33, MATCH(Table2[[#This Row],[HomeTeam]],Sheet5!$A$2:$A$33, 0), MATCH(Table2[[#This Row],[AwayTeam]],Sheet5!$A$2:$A$33, 0))</f>
        <v>0-0-0</v>
      </c>
      <c r="AQ1084" s="143">
        <f>IF(Table2[[#This Row],[GameHasShutOut]], 1, 0)</f>
        <v>0</v>
      </c>
      <c r="AR1084" s="143">
        <f>IF(Table2[[#This Row],[ActualAwayScore]] + Table2[[#This Row],[ActualHomeScore]] &gt;= 10, 1, 0)</f>
        <v>0</v>
      </c>
      <c r="AS1084" s="143">
        <f>IF(ABS(Table2[[#This Row],[ActualAwayScore]]-Table2[[#This Row],[ActualHomeScore]])&gt;=5, 1, 0)</f>
        <v>0</v>
      </c>
      <c r="AT1084" s="143">
        <f>IF(Table2[[#This Row],[ActualAwayScore]] + Table2[[#This Row],[ActualHomeScore]] &lt;= 3, 1, 0)</f>
        <v>1</v>
      </c>
      <c r="AU10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5" spans="1:49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5" s="2" t="str">
        <f>INDEX(Sheet5!$B$2:$AG$33, MATCH(Table2[[#This Row],[AwayTeam]],Sheet5!$A$2:$A$33, 0), MATCH(Table2[[#This Row],[HomeTeam]],Sheet5!$A$2:$A$33, 0))</f>
        <v>0-1-0</v>
      </c>
      <c r="AP1085" s="2" t="str">
        <f>INDEX(Sheet5!$B$2:$AG$33, MATCH(Table2[[#This Row],[HomeTeam]],Sheet5!$A$2:$A$33, 0), MATCH(Table2[[#This Row],[AwayTeam]],Sheet5!$A$2:$A$33, 0))</f>
        <v>1-0-0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6" spans="1:49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7" spans="1:49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8" spans="1:49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9" spans="1:49" x14ac:dyDescent="0.25">
      <c r="A1089" s="3"/>
      <c r="B1089" s="3">
        <v>46100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0" spans="1:49" x14ac:dyDescent="0.25">
      <c r="A1090" s="3"/>
      <c r="B1090" s="3">
        <v>46100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1" spans="1:49" x14ac:dyDescent="0.25">
      <c r="A1091" s="3"/>
      <c r="B1091" s="3">
        <v>46100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2" spans="1:49" x14ac:dyDescent="0.25">
      <c r="A1092" s="3"/>
      <c r="B1092" s="3">
        <v>46100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3" spans="1:49" x14ac:dyDescent="0.25">
      <c r="A1093" s="3"/>
      <c r="B1093" s="3">
        <v>46100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4" spans="1:49" x14ac:dyDescent="0.25">
      <c r="A1094" s="3"/>
      <c r="B1094" s="3">
        <v>46100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5" spans="1:49" x14ac:dyDescent="0.25">
      <c r="A1095" s="141"/>
      <c r="B1095" s="141">
        <v>46100</v>
      </c>
      <c r="C1095" s="142">
        <v>2025021093</v>
      </c>
      <c r="D1095" s="143" t="s">
        <v>42</v>
      </c>
      <c r="E1095" s="143" t="s">
        <v>27</v>
      </c>
      <c r="F1095" s="143"/>
      <c r="G1095" s="143"/>
      <c r="H1095" s="143" t="str">
        <f t="shared" si="89"/>
        <v>_</v>
      </c>
      <c r="I1095" s="143"/>
      <c r="J1095" s="143"/>
      <c r="K1095" s="143"/>
      <c r="L1095" s="143" t="str">
        <f t="shared" si="90"/>
        <v>_</v>
      </c>
      <c r="M1095" s="143"/>
      <c r="N1095" s="143">
        <f>IF(ISBLANK(Table2[[#This Row],[ActualResult]]), 0, 1)</f>
        <v>0</v>
      </c>
      <c r="O1095" s="143" t="str">
        <f>IF(ISBLANK(Table2[[#This Row],[ActualResult]]), "_", IF(Table2[[#This Row],[ActualWinner]]=Table2[[#This Row],[PredictedWinner]], "Y", "N"))</f>
        <v>_</v>
      </c>
      <c r="P10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143"/>
      <c r="S1095" s="143" t="str">
        <f t="shared" si="91"/>
        <v>_</v>
      </c>
      <c r="T10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143">
        <f>IF(Table2[[#This Row],[InterConf]]=1,IF(Table2[[#This Row],[InterDiv]]=0, 1, 0), 0)</f>
        <v>0</v>
      </c>
      <c r="W10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143"/>
      <c r="Y1095" s="143"/>
      <c r="Z1095" s="149">
        <f>IF(AND(Table2[[#This Row],[GameIsOver]]=1,Table2[[#This Row],[ActualHomeScore]]*Table2[[#This Row],[ActualAwayScore]]=0), 1,0)</f>
        <v>0</v>
      </c>
      <c r="AA10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5" s="143">
        <f>Table2[[#This Row],[ActualAwayScore]]-Table2[[#This Row],[PredictedAwayScore]]</f>
        <v>0</v>
      </c>
      <c r="AG1095" s="143">
        <f>Table2[[#This Row],[ActualHomeScore]]-Table2[[#This Row],[PredictedHomeScore]]</f>
        <v>0</v>
      </c>
      <c r="AH1095" s="143">
        <f t="shared" si="92"/>
        <v>0</v>
      </c>
      <c r="AI1095" s="143">
        <f t="shared" si="93"/>
        <v>0</v>
      </c>
      <c r="AJ1095" s="143"/>
      <c r="AK1095" s="141"/>
      <c r="AL1095" s="143">
        <f>IF(Table2[[#This Row],[GameIsOver]]=0,0,IF(Table2[[#This Row],[ActualWinner]]=Table2[[#This Row],[AwayTeam]], 1, 0))</f>
        <v>0</v>
      </c>
      <c r="AM1095" s="143">
        <f>IF(Table2[[#This Row],[GameIsOver]]=0,0,IF(Table2[[#This Row],[ActualWinner]]=Table2[[#This Row],[HomeTeam]], 1, 0))</f>
        <v>0</v>
      </c>
      <c r="AN10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5" s="143" t="str">
        <f>INDEX(Sheet5!$B$2:$AG$33, MATCH(Table2[[#This Row],[AwayTeam]],Sheet5!$A$2:$A$33, 0), MATCH(Table2[[#This Row],[HomeTeam]],Sheet5!$A$2:$A$33, 0))</f>
        <v>0-0-0</v>
      </c>
      <c r="AP1095" s="143" t="str">
        <f>INDEX(Sheet5!$B$2:$AG$33, MATCH(Table2[[#This Row],[HomeTeam]],Sheet5!$A$2:$A$33, 0), MATCH(Table2[[#This Row],[AwayTeam]],Sheet5!$A$2:$A$33, 0))</f>
        <v>0-0-0</v>
      </c>
      <c r="AQ1095" s="143">
        <f>IF(Table2[[#This Row],[GameHasShutOut]], 1, 0)</f>
        <v>0</v>
      </c>
      <c r="AR1095" s="143">
        <f>IF(Table2[[#This Row],[ActualAwayScore]] + Table2[[#This Row],[ActualHomeScore]] &gt;= 10, 1, 0)</f>
        <v>0</v>
      </c>
      <c r="AS1095" s="143">
        <f>IF(ABS(Table2[[#This Row],[ActualAwayScore]]-Table2[[#This Row],[ActualHomeScore]])&gt;=5, 1, 0)</f>
        <v>0</v>
      </c>
      <c r="AT1095" s="143">
        <f>IF(Table2[[#This Row],[ActualAwayScore]] + Table2[[#This Row],[ActualHomeScore]] &lt;= 3, 1, 0)</f>
        <v>1</v>
      </c>
      <c r="AU10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6" spans="1:49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7" spans="1:49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8" spans="1:49" x14ac:dyDescent="0.25">
      <c r="A1098" s="3"/>
      <c r="B1098" s="3">
        <v>46101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9" spans="1:49" x14ac:dyDescent="0.25">
      <c r="A1099" s="3"/>
      <c r="B1099" s="3">
        <v>46101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00" spans="1:49" x14ac:dyDescent="0.25">
      <c r="A1100" s="141"/>
      <c r="B1100" s="141">
        <v>46101</v>
      </c>
      <c r="C1100" s="142">
        <v>2025021098</v>
      </c>
      <c r="D1100" s="143" t="s">
        <v>44</v>
      </c>
      <c r="E1100" s="143" t="s">
        <v>14</v>
      </c>
      <c r="F1100" s="143"/>
      <c r="G1100" s="143"/>
      <c r="H1100" s="143" t="str">
        <f t="shared" si="89"/>
        <v>_</v>
      </c>
      <c r="I1100" s="143"/>
      <c r="J1100" s="143"/>
      <c r="K1100" s="143"/>
      <c r="L1100" s="143" t="str">
        <f t="shared" si="90"/>
        <v>_</v>
      </c>
      <c r="M1100" s="143"/>
      <c r="N1100" s="143">
        <f>IF(ISBLANK(Table2[[#This Row],[ActualResult]]), 0, 1)</f>
        <v>0</v>
      </c>
      <c r="O1100" s="143" t="str">
        <f>IF(ISBLANK(Table2[[#This Row],[ActualResult]]), "_", IF(Table2[[#This Row],[ActualWinner]]=Table2[[#This Row],[PredictedWinner]], "Y", "N"))</f>
        <v>_</v>
      </c>
      <c r="P11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143"/>
      <c r="S1100" s="143" t="str">
        <f t="shared" si="91"/>
        <v>_</v>
      </c>
      <c r="T11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143">
        <f>IF(Table2[[#This Row],[InterConf]]=1,IF(Table2[[#This Row],[InterDiv]]=0, 1, 0), 0)</f>
        <v>1</v>
      </c>
      <c r="W11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143"/>
      <c r="Y1100" s="143"/>
      <c r="Z1100" s="149">
        <f>IF(AND(Table2[[#This Row],[GameIsOver]]=1,Table2[[#This Row],[ActualHomeScore]]*Table2[[#This Row],[ActualAwayScore]]=0), 1,0)</f>
        <v>0</v>
      </c>
      <c r="AA110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00" s="143">
        <f>Table2[[#This Row],[ActualAwayScore]]-Table2[[#This Row],[PredictedAwayScore]]</f>
        <v>0</v>
      </c>
      <c r="AG1100" s="143">
        <f>Table2[[#This Row],[ActualHomeScore]]-Table2[[#This Row],[PredictedHomeScore]]</f>
        <v>0</v>
      </c>
      <c r="AH1100" s="143">
        <f t="shared" si="92"/>
        <v>0</v>
      </c>
      <c r="AI1100" s="143">
        <f t="shared" si="93"/>
        <v>0</v>
      </c>
      <c r="AJ1100" s="143"/>
      <c r="AK1100" s="141"/>
      <c r="AL1100" s="143">
        <f>IF(Table2[[#This Row],[GameIsOver]]=0,0,IF(Table2[[#This Row],[ActualWinner]]=Table2[[#This Row],[AwayTeam]], 1, 0))</f>
        <v>0</v>
      </c>
      <c r="AM1100" s="143">
        <f>IF(Table2[[#This Row],[GameIsOver]]=0,0,IF(Table2[[#This Row],[ActualWinner]]=Table2[[#This Row],[HomeTeam]], 1, 0))</f>
        <v>0</v>
      </c>
      <c r="AN11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0" s="143" t="str">
        <f>INDEX(Sheet5!$B$2:$AG$33, MATCH(Table2[[#This Row],[AwayTeam]],Sheet5!$A$2:$A$33, 0), MATCH(Table2[[#This Row],[HomeTeam]],Sheet5!$A$2:$A$33, 0))</f>
        <v>1-1-0</v>
      </c>
      <c r="AP1100" s="143" t="str">
        <f>INDEX(Sheet5!$B$2:$AG$33, MATCH(Table2[[#This Row],[HomeTeam]],Sheet5!$A$2:$A$33, 0), MATCH(Table2[[#This Row],[AwayTeam]],Sheet5!$A$2:$A$33, 0))</f>
        <v>1-0-1</v>
      </c>
      <c r="AQ1100" s="143">
        <f>IF(Table2[[#This Row],[GameHasShutOut]], 1, 0)</f>
        <v>0</v>
      </c>
      <c r="AR1100" s="143">
        <f>IF(Table2[[#This Row],[ActualAwayScore]] + Table2[[#This Row],[ActualHomeScore]] &gt;= 10, 1, 0)</f>
        <v>0</v>
      </c>
      <c r="AS1100" s="143">
        <f>IF(ABS(Table2[[#This Row],[ActualAwayScore]]-Table2[[#This Row],[ActualHomeScore]])&gt;=5, 1, 0)</f>
        <v>0</v>
      </c>
      <c r="AT1100" s="143">
        <f>IF(Table2[[#This Row],[ActualAwayScore]] + Table2[[#This Row],[ActualHomeScore]] &lt;= 3, 1, 0)</f>
        <v>1</v>
      </c>
      <c r="AU110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1" spans="1:49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2" spans="1:49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3" spans="1:49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3" s="2" t="str">
        <f>INDEX(Sheet5!$B$2:$AG$33, MATCH(Table2[[#This Row],[AwayTeam]],Sheet5!$A$2:$A$33, 0), MATCH(Table2[[#This Row],[HomeTeam]],Sheet5!$A$2:$A$33, 0))</f>
        <v>1-1-0</v>
      </c>
      <c r="AP1103" s="2" t="str">
        <f>INDEX(Sheet5!$B$2:$AG$33, MATCH(Table2[[#This Row],[HomeTeam]],Sheet5!$A$2:$A$33, 0), MATCH(Table2[[#This Row],[AwayTeam]],Sheet5!$A$2:$A$33, 0))</f>
        <v>1-1-0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4" spans="1:49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5" spans="1:49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6" spans="1:49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7" spans="1:49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8" spans="1:49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9" spans="1:49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0" spans="1:49" x14ac:dyDescent="0.25">
      <c r="A1110" s="3"/>
      <c r="B1110" s="3">
        <v>46102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1" spans="1:49" x14ac:dyDescent="0.25">
      <c r="A1111" s="141"/>
      <c r="B1111" s="141">
        <v>46102</v>
      </c>
      <c r="C1111" s="142">
        <v>2025021109</v>
      </c>
      <c r="D1111" s="143" t="s">
        <v>40</v>
      </c>
      <c r="E1111" s="143" t="s">
        <v>22</v>
      </c>
      <c r="F1111" s="143"/>
      <c r="G1111" s="143"/>
      <c r="H1111" s="143" t="str">
        <f t="shared" si="89"/>
        <v>_</v>
      </c>
      <c r="I1111" s="143"/>
      <c r="J1111" s="143"/>
      <c r="K1111" s="143"/>
      <c r="L1111" s="143" t="str">
        <f t="shared" si="90"/>
        <v>_</v>
      </c>
      <c r="M1111" s="143"/>
      <c r="N1111" s="143">
        <f>IF(ISBLANK(Table2[[#This Row],[ActualResult]]), 0, 1)</f>
        <v>0</v>
      </c>
      <c r="O1111" s="143" t="str">
        <f>IF(ISBLANK(Table2[[#This Row],[ActualResult]]), "_", IF(Table2[[#This Row],[ActualWinner]]=Table2[[#This Row],[PredictedWinner]], "Y", "N"))</f>
        <v>_</v>
      </c>
      <c r="P11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143"/>
      <c r="S1111" s="143" t="str">
        <f t="shared" si="91"/>
        <v>_</v>
      </c>
      <c r="T11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143">
        <f>IF(Table2[[#This Row],[InterConf]]=1,IF(Table2[[#This Row],[InterDiv]]=0, 1, 0), 0)</f>
        <v>0</v>
      </c>
      <c r="W11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143"/>
      <c r="Y1111" s="143"/>
      <c r="Z1111" s="149">
        <f>IF(AND(Table2[[#This Row],[GameIsOver]]=1,Table2[[#This Row],[ActualHomeScore]]*Table2[[#This Row],[ActualAwayScore]]=0), 1,0)</f>
        <v>0</v>
      </c>
      <c r="AA11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1" s="143">
        <f>Table2[[#This Row],[ActualAwayScore]]-Table2[[#This Row],[PredictedAwayScore]]</f>
        <v>0</v>
      </c>
      <c r="AG1111" s="143">
        <f>Table2[[#This Row],[ActualHomeScore]]-Table2[[#This Row],[PredictedHomeScore]]</f>
        <v>0</v>
      </c>
      <c r="AH1111" s="143">
        <f t="shared" si="92"/>
        <v>0</v>
      </c>
      <c r="AI1111" s="143">
        <f t="shared" si="93"/>
        <v>0</v>
      </c>
      <c r="AJ1111" s="143"/>
      <c r="AK1111" s="141"/>
      <c r="AL1111" s="143">
        <f>IF(Table2[[#This Row],[GameIsOver]]=0,0,IF(Table2[[#This Row],[ActualWinner]]=Table2[[#This Row],[AwayTeam]], 1, 0))</f>
        <v>0</v>
      </c>
      <c r="AM1111" s="143">
        <f>IF(Table2[[#This Row],[GameIsOver]]=0,0,IF(Table2[[#This Row],[ActualWinner]]=Table2[[#This Row],[HomeTeam]], 1, 0))</f>
        <v>0</v>
      </c>
      <c r="AN11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1" s="143" t="str">
        <f>INDEX(Sheet5!$B$2:$AG$33, MATCH(Table2[[#This Row],[AwayTeam]],Sheet5!$A$2:$A$33, 0), MATCH(Table2[[#This Row],[HomeTeam]],Sheet5!$A$2:$A$33, 0))</f>
        <v>1-0-0</v>
      </c>
      <c r="AP1111" s="143" t="str">
        <f>INDEX(Sheet5!$B$2:$AG$33, MATCH(Table2[[#This Row],[HomeTeam]],Sheet5!$A$2:$A$33, 0), MATCH(Table2[[#This Row],[AwayTeam]],Sheet5!$A$2:$A$33, 0))</f>
        <v>0-0-1</v>
      </c>
      <c r="AQ1111" s="143">
        <f>IF(Table2[[#This Row],[GameHasShutOut]], 1, 0)</f>
        <v>0</v>
      </c>
      <c r="AR1111" s="143">
        <f>IF(Table2[[#This Row],[ActualAwayScore]] + Table2[[#This Row],[ActualHomeScore]] &gt;= 10, 1, 0)</f>
        <v>0</v>
      </c>
      <c r="AS1111" s="143">
        <f>IF(ABS(Table2[[#This Row],[ActualAwayScore]]-Table2[[#This Row],[ActualHomeScore]])&gt;=5, 1, 0)</f>
        <v>0</v>
      </c>
      <c r="AT1111" s="143">
        <f>IF(Table2[[#This Row],[ActualAwayScore]] + Table2[[#This Row],[ActualHomeScore]] &lt;= 3, 1, 0)</f>
        <v>1</v>
      </c>
      <c r="AU11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2" spans="1:49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3" spans="1:49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4" spans="1:49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5" spans="1:49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6" spans="1:49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7" spans="1:49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8" spans="1:49" x14ac:dyDescent="0.25">
      <c r="A1118" s="3"/>
      <c r="B1118" s="3">
        <v>46103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19" spans="1:49" x14ac:dyDescent="0.25">
      <c r="A1119" s="3"/>
      <c r="B1119" s="3">
        <v>46103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0" spans="1:49" x14ac:dyDescent="0.25">
      <c r="A1120" s="141"/>
      <c r="B1120" s="141">
        <v>46103</v>
      </c>
      <c r="C1120" s="142">
        <v>2025021118</v>
      </c>
      <c r="D1120" s="143" t="s">
        <v>27</v>
      </c>
      <c r="E1120" s="143" t="s">
        <v>14</v>
      </c>
      <c r="F1120" s="143"/>
      <c r="G1120" s="143"/>
      <c r="H1120" s="143" t="str">
        <f t="shared" si="89"/>
        <v>_</v>
      </c>
      <c r="I1120" s="143"/>
      <c r="J1120" s="143"/>
      <c r="K1120" s="143"/>
      <c r="L1120" s="143" t="str">
        <f t="shared" si="90"/>
        <v>_</v>
      </c>
      <c r="M1120" s="143"/>
      <c r="N1120" s="143">
        <f>IF(ISBLANK(Table2[[#This Row],[ActualResult]]), 0, 1)</f>
        <v>0</v>
      </c>
      <c r="O1120" s="143" t="str">
        <f>IF(ISBLANK(Table2[[#This Row],[ActualResult]]), "_", IF(Table2[[#This Row],[ActualWinner]]=Table2[[#This Row],[PredictedWinner]], "Y", "N"))</f>
        <v>_</v>
      </c>
      <c r="P11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143"/>
      <c r="S1120" s="143" t="str">
        <f t="shared" si="91"/>
        <v>_</v>
      </c>
      <c r="T11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143">
        <f>IF(Table2[[#This Row],[InterConf]]=1,IF(Table2[[#This Row],[InterDiv]]=0, 1, 0), 0)</f>
        <v>1</v>
      </c>
      <c r="W11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143"/>
      <c r="Y1120" s="143"/>
      <c r="Z1120" s="149">
        <f>IF(AND(Table2[[#This Row],[GameIsOver]]=1,Table2[[#This Row],[ActualHomeScore]]*Table2[[#This Row],[ActualAwayScore]]=0), 1,0)</f>
        <v>0</v>
      </c>
      <c r="AA11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20" s="143">
        <f>Table2[[#This Row],[ActualAwayScore]]-Table2[[#This Row],[PredictedAwayScore]]</f>
        <v>0</v>
      </c>
      <c r="AG1120" s="143">
        <f>Table2[[#This Row],[ActualHomeScore]]-Table2[[#This Row],[PredictedHomeScore]]</f>
        <v>0</v>
      </c>
      <c r="AH1120" s="143">
        <f t="shared" si="92"/>
        <v>0</v>
      </c>
      <c r="AI1120" s="143">
        <f t="shared" si="93"/>
        <v>0</v>
      </c>
      <c r="AJ1120" s="143"/>
      <c r="AK1120" s="141"/>
      <c r="AL1120" s="143">
        <f>IF(Table2[[#This Row],[GameIsOver]]=0,0,IF(Table2[[#This Row],[ActualWinner]]=Table2[[#This Row],[AwayTeam]], 1, 0))</f>
        <v>0</v>
      </c>
      <c r="AM1120" s="143">
        <f>IF(Table2[[#This Row],[GameIsOver]]=0,0,IF(Table2[[#This Row],[ActualWinner]]=Table2[[#This Row],[HomeTeam]], 1, 0))</f>
        <v>0</v>
      </c>
      <c r="AN11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0" s="143" t="str">
        <f>INDEX(Sheet5!$B$2:$AG$33, MATCH(Table2[[#This Row],[AwayTeam]],Sheet5!$A$2:$A$33, 0), MATCH(Table2[[#This Row],[HomeTeam]],Sheet5!$A$2:$A$33, 0))</f>
        <v>1-0-0</v>
      </c>
      <c r="AP1120" s="143" t="str">
        <f>INDEX(Sheet5!$B$2:$AG$33, MATCH(Table2[[#This Row],[HomeTeam]],Sheet5!$A$2:$A$33, 0), MATCH(Table2[[#This Row],[AwayTeam]],Sheet5!$A$2:$A$33, 0))</f>
        <v>0-1-0</v>
      </c>
      <c r="AQ1120" s="143">
        <f>IF(Table2[[#This Row],[GameHasShutOut]], 1, 0)</f>
        <v>0</v>
      </c>
      <c r="AR1120" s="143">
        <f>IF(Table2[[#This Row],[ActualAwayScore]] + Table2[[#This Row],[ActualHomeScore]] &gt;= 10, 1, 0)</f>
        <v>0</v>
      </c>
      <c r="AS1120" s="143">
        <f>IF(ABS(Table2[[#This Row],[ActualAwayScore]]-Table2[[#This Row],[ActualHomeScore]])&gt;=5, 1, 0)</f>
        <v>0</v>
      </c>
      <c r="AT1120" s="143">
        <f>IF(Table2[[#This Row],[ActualAwayScore]] + Table2[[#This Row],[ActualHomeScore]] &lt;= 3, 1, 0)</f>
        <v>1</v>
      </c>
      <c r="AU11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1" spans="1:49" x14ac:dyDescent="0.25">
      <c r="A1121" s="151"/>
      <c r="B1121" s="151">
        <v>46104</v>
      </c>
      <c r="C1121" s="152">
        <v>2025021119</v>
      </c>
      <c r="D1121" s="153" t="s">
        <v>29</v>
      </c>
      <c r="E1121" s="153" t="s">
        <v>19</v>
      </c>
      <c r="F1121" s="153"/>
      <c r="G1121" s="153"/>
      <c r="H1121" s="153" t="str">
        <f t="shared" si="89"/>
        <v>_</v>
      </c>
      <c r="I1121" s="153"/>
      <c r="J1121" s="153"/>
      <c r="K1121" s="153"/>
      <c r="L1121" s="153" t="str">
        <f t="shared" si="90"/>
        <v>_</v>
      </c>
      <c r="M1121" s="153"/>
      <c r="N1121" s="153">
        <f>IF(ISBLANK(Table2[[#This Row],[ActualResult]]), 0, 1)</f>
        <v>0</v>
      </c>
      <c r="O1121" s="153" t="str">
        <f>IF(ISBLANK(Table2[[#This Row],[ActualResult]]), "_", IF(Table2[[#This Row],[ActualWinner]]=Table2[[#This Row],[PredictedWinner]], "Y", "N"))</f>
        <v>_</v>
      </c>
      <c r="P1121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153"/>
      <c r="S1121" s="153" t="str">
        <f t="shared" si="91"/>
        <v>_</v>
      </c>
      <c r="T1121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153">
        <f>IF(Table2[[#This Row],[InterConf]]=1,IF(Table2[[#This Row],[InterDiv]]=0, 1, 0), 0)</f>
        <v>1</v>
      </c>
      <c r="W1121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153"/>
      <c r="Y1121" s="153"/>
      <c r="Z1121" s="154">
        <f>IF(AND(Table2[[#This Row],[GameIsOver]]=1,Table2[[#This Row],[ActualHomeScore]]*Table2[[#This Row],[ActualAwayScore]]=0), 1,0)</f>
        <v>0</v>
      </c>
      <c r="AA1121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1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1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153">
        <f>Table2[[#This Row],[ActualAwayScore]]-Table2[[#This Row],[PredictedAwayScore]]</f>
        <v>0</v>
      </c>
      <c r="AG1121" s="153">
        <f>Table2[[#This Row],[ActualHomeScore]]-Table2[[#This Row],[PredictedHomeScore]]</f>
        <v>0</v>
      </c>
      <c r="AH1121" s="153">
        <f t="shared" si="92"/>
        <v>0</v>
      </c>
      <c r="AI1121" s="153">
        <f t="shared" si="93"/>
        <v>0</v>
      </c>
      <c r="AJ1121" s="153"/>
      <c r="AK1121" s="151"/>
      <c r="AL1121" s="153">
        <f>IF(Table2[[#This Row],[GameIsOver]]=0,0,IF(Table2[[#This Row],[ActualWinner]]=Table2[[#This Row],[AwayTeam]], 1, 0))</f>
        <v>0</v>
      </c>
      <c r="AM1121" s="153">
        <f>IF(Table2[[#This Row],[GameIsOver]]=0,0,IF(Table2[[#This Row],[ActualWinner]]=Table2[[#This Row],[HomeTeam]], 1, 0))</f>
        <v>0</v>
      </c>
      <c r="AN1121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1" s="153" t="str">
        <f>INDEX(Sheet5!$B$2:$AG$33, MATCH(Table2[[#This Row],[AwayTeam]],Sheet5!$A$2:$A$33, 0), MATCH(Table2[[#This Row],[HomeTeam]],Sheet5!$A$2:$A$33, 0))</f>
        <v>0-1-0</v>
      </c>
      <c r="AP1121" s="153" t="str">
        <f>INDEX(Sheet5!$B$2:$AG$33, MATCH(Table2[[#This Row],[HomeTeam]],Sheet5!$A$2:$A$33, 0), MATCH(Table2[[#This Row],[AwayTeam]],Sheet5!$A$2:$A$33, 0))</f>
        <v>1-0-0</v>
      </c>
      <c r="AQ1121" s="153">
        <f>IF(Table2[[#This Row],[GameHasShutOut]], 1, 0)</f>
        <v>0</v>
      </c>
      <c r="AR1121" s="153">
        <f>IF(Table2[[#This Row],[ActualAwayScore]] + Table2[[#This Row],[ActualHomeScore]] &gt;= 10, 1, 0)</f>
        <v>0</v>
      </c>
      <c r="AS1121" s="153">
        <f>IF(ABS(Table2[[#This Row],[ActualAwayScore]]-Table2[[#This Row],[ActualHomeScore]])&gt;=5, 1, 0)</f>
        <v>0</v>
      </c>
      <c r="AT1121" s="153">
        <f>IF(Table2[[#This Row],[ActualAwayScore]] + Table2[[#This Row],[ActualHomeScore]] &lt;= 3, 1, 0)</f>
        <v>1</v>
      </c>
      <c r="AU1121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1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2" spans="1:49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3" spans="1:49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4" spans="1:49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5" spans="1:49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6" spans="1:49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7" spans="1:49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8" spans="1:49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9" spans="1:49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0" spans="1:49" x14ac:dyDescent="0.25">
      <c r="A1130" s="3"/>
      <c r="B1130" s="3">
        <v>46105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1" spans="1:49" x14ac:dyDescent="0.25">
      <c r="A1131" s="3"/>
      <c r="B1131" s="3">
        <v>46105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2" spans="1:49" x14ac:dyDescent="0.25">
      <c r="A1132" s="3"/>
      <c r="B1132" s="3">
        <v>46105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3" spans="1:49" x14ac:dyDescent="0.25">
      <c r="A1133" s="3"/>
      <c r="B1133" s="3">
        <v>46105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4" spans="1:49" x14ac:dyDescent="0.25">
      <c r="A1134" s="3"/>
      <c r="B1134" s="3">
        <v>46105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5" spans="1:49" x14ac:dyDescent="0.25">
      <c r="A1135" s="3"/>
      <c r="B1135" s="3">
        <v>46105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5" s="2" t="str">
        <f>INDEX(Sheet5!$B$2:$AG$33, MATCH(Table2[[#This Row],[AwayTeam]],Sheet5!$A$2:$A$33, 0), MATCH(Table2[[#This Row],[HomeTeam]],Sheet5!$A$2:$A$33, 0))</f>
        <v>0-0-1</v>
      </c>
      <c r="AP1135" s="2" t="str">
        <f>INDEX(Sheet5!$B$2:$AG$33, MATCH(Table2[[#This Row],[HomeTeam]],Sheet5!$A$2:$A$33, 0), MATCH(Table2[[#This Row],[AwayTeam]],Sheet5!$A$2:$A$33, 0))</f>
        <v>1-0-0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6" spans="1:49" x14ac:dyDescent="0.25">
      <c r="A1136" s="141"/>
      <c r="B1136" s="141">
        <v>46105</v>
      </c>
      <c r="C1136" s="142">
        <v>2025021134</v>
      </c>
      <c r="D1136" s="143" t="s">
        <v>44</v>
      </c>
      <c r="E1136" s="143" t="s">
        <v>24</v>
      </c>
      <c r="F1136" s="143"/>
      <c r="G1136" s="143"/>
      <c r="H1136" s="143" t="str">
        <f t="shared" si="89"/>
        <v>_</v>
      </c>
      <c r="I1136" s="143"/>
      <c r="J1136" s="143"/>
      <c r="K1136" s="143"/>
      <c r="L1136" s="143" t="str">
        <f t="shared" si="90"/>
        <v>_</v>
      </c>
      <c r="M1136" s="143"/>
      <c r="N1136" s="143">
        <f>IF(ISBLANK(Table2[[#This Row],[ActualResult]]), 0, 1)</f>
        <v>0</v>
      </c>
      <c r="O1136" s="143" t="str">
        <f>IF(ISBLANK(Table2[[#This Row],[ActualResult]]), "_", IF(Table2[[#This Row],[ActualWinner]]=Table2[[#This Row],[PredictedWinner]], "Y", "N"))</f>
        <v>_</v>
      </c>
      <c r="P11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143"/>
      <c r="S1136" s="143" t="str">
        <f t="shared" si="91"/>
        <v>_</v>
      </c>
      <c r="T11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143">
        <f>IF(Table2[[#This Row],[InterConf]]=1,IF(Table2[[#This Row],[InterDiv]]=0, 1, 0), 0)</f>
        <v>0</v>
      </c>
      <c r="W11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143"/>
      <c r="Y1136" s="143"/>
      <c r="Z1136" s="149">
        <f>IF(AND(Table2[[#This Row],[GameIsOver]]=1,Table2[[#This Row],[ActualHomeScore]]*Table2[[#This Row],[ActualAwayScore]]=0), 1,0)</f>
        <v>0</v>
      </c>
      <c r="AA11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6" s="143">
        <f>Table2[[#This Row],[ActualAwayScore]]-Table2[[#This Row],[PredictedAwayScore]]</f>
        <v>0</v>
      </c>
      <c r="AG1136" s="143">
        <f>Table2[[#This Row],[ActualHomeScore]]-Table2[[#This Row],[PredictedHomeScore]]</f>
        <v>0</v>
      </c>
      <c r="AH1136" s="143">
        <f t="shared" si="92"/>
        <v>0</v>
      </c>
      <c r="AI1136" s="143">
        <f t="shared" si="93"/>
        <v>0</v>
      </c>
      <c r="AJ1136" s="143"/>
      <c r="AK1136" s="141"/>
      <c r="AL1136" s="143">
        <f>IF(Table2[[#This Row],[GameIsOver]]=0,0,IF(Table2[[#This Row],[ActualWinner]]=Table2[[#This Row],[AwayTeam]], 1, 0))</f>
        <v>0</v>
      </c>
      <c r="AM1136" s="143">
        <f>IF(Table2[[#This Row],[GameIsOver]]=0,0,IF(Table2[[#This Row],[ActualWinner]]=Table2[[#This Row],[HomeTeam]], 1, 0))</f>
        <v>0</v>
      </c>
      <c r="AN11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6" s="143" t="str">
        <f>INDEX(Sheet5!$B$2:$AG$33, MATCH(Table2[[#This Row],[AwayTeam]],Sheet5!$A$2:$A$33, 0), MATCH(Table2[[#This Row],[HomeTeam]],Sheet5!$A$2:$A$33, 0))</f>
        <v>0-1-0</v>
      </c>
      <c r="AP1136" s="143" t="str">
        <f>INDEX(Sheet5!$B$2:$AG$33, MATCH(Table2[[#This Row],[HomeTeam]],Sheet5!$A$2:$A$33, 0), MATCH(Table2[[#This Row],[AwayTeam]],Sheet5!$A$2:$A$33, 0))</f>
        <v>1-0-0</v>
      </c>
      <c r="AQ1136" s="143">
        <f>IF(Table2[[#This Row],[GameHasShutOut]], 1, 0)</f>
        <v>0</v>
      </c>
      <c r="AR1136" s="143">
        <f>IF(Table2[[#This Row],[ActualAwayScore]] + Table2[[#This Row],[ActualHomeScore]] &gt;= 10, 1, 0)</f>
        <v>0</v>
      </c>
      <c r="AS1136" s="143">
        <f>IF(ABS(Table2[[#This Row],[ActualAwayScore]]-Table2[[#This Row],[ActualHomeScore]])&gt;=5, 1, 0)</f>
        <v>0</v>
      </c>
      <c r="AT1136" s="143">
        <f>IF(Table2[[#This Row],[ActualAwayScore]] + Table2[[#This Row],[ActualHomeScore]] &lt;= 3, 1, 0)</f>
        <v>1</v>
      </c>
      <c r="AU11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7" spans="1:49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8" spans="1:49" x14ac:dyDescent="0.25">
      <c r="A1138" s="141"/>
      <c r="B1138" s="141">
        <v>46106</v>
      </c>
      <c r="C1138" s="142">
        <v>2025021136</v>
      </c>
      <c r="D1138" s="143" t="s">
        <v>19</v>
      </c>
      <c r="E1138" s="143" t="s">
        <v>17</v>
      </c>
      <c r="F1138" s="143"/>
      <c r="G1138" s="143"/>
      <c r="H1138" s="143" t="str">
        <f t="shared" si="89"/>
        <v>_</v>
      </c>
      <c r="I1138" s="143"/>
      <c r="J1138" s="143"/>
      <c r="K1138" s="143"/>
      <c r="L1138" s="143" t="str">
        <f t="shared" si="90"/>
        <v>_</v>
      </c>
      <c r="M1138" s="143"/>
      <c r="N1138" s="143">
        <f>IF(ISBLANK(Table2[[#This Row],[ActualResult]]), 0, 1)</f>
        <v>0</v>
      </c>
      <c r="O1138" s="143" t="str">
        <f>IF(ISBLANK(Table2[[#This Row],[ActualResult]]), "_", IF(Table2[[#This Row],[ActualWinner]]=Table2[[#This Row],[PredictedWinner]], "Y", "N"))</f>
        <v>_</v>
      </c>
      <c r="P113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143"/>
      <c r="S1138" s="143" t="str">
        <f t="shared" si="91"/>
        <v>_</v>
      </c>
      <c r="T113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143">
        <f>IF(Table2[[#This Row],[InterConf]]=1,IF(Table2[[#This Row],[InterDiv]]=0, 1, 0), 0)</f>
        <v>1</v>
      </c>
      <c r="W113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143"/>
      <c r="Y1138" s="143"/>
      <c r="Z1138" s="149">
        <f>IF(AND(Table2[[#This Row],[GameIsOver]]=1,Table2[[#This Row],[ActualHomeScore]]*Table2[[#This Row],[ActualAwayScore]]=0), 1,0)</f>
        <v>0</v>
      </c>
      <c r="AA113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143">
        <f>Table2[[#This Row],[ActualAwayScore]]-Table2[[#This Row],[PredictedAwayScore]]</f>
        <v>0</v>
      </c>
      <c r="AG1138" s="143">
        <f>Table2[[#This Row],[ActualHomeScore]]-Table2[[#This Row],[PredictedHomeScore]]</f>
        <v>0</v>
      </c>
      <c r="AH1138" s="143">
        <f t="shared" si="92"/>
        <v>0</v>
      </c>
      <c r="AI1138" s="143">
        <f t="shared" si="93"/>
        <v>0</v>
      </c>
      <c r="AJ1138" s="143"/>
      <c r="AK1138" s="141"/>
      <c r="AL1138" s="143">
        <f>IF(Table2[[#This Row],[GameIsOver]]=0,0,IF(Table2[[#This Row],[ActualWinner]]=Table2[[#This Row],[AwayTeam]], 1, 0))</f>
        <v>0</v>
      </c>
      <c r="AM1138" s="143">
        <f>IF(Table2[[#This Row],[GameIsOver]]=0,0,IF(Table2[[#This Row],[ActualWinner]]=Table2[[#This Row],[HomeTeam]], 1, 0))</f>
        <v>0</v>
      </c>
      <c r="AN113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8" s="143" t="str">
        <f>INDEX(Sheet5!$B$2:$AG$33, MATCH(Table2[[#This Row],[AwayTeam]],Sheet5!$A$2:$A$33, 0), MATCH(Table2[[#This Row],[HomeTeam]],Sheet5!$A$2:$A$33, 0))</f>
        <v>0-0-1</v>
      </c>
      <c r="AP1138" s="143" t="str">
        <f>INDEX(Sheet5!$B$2:$AG$33, MATCH(Table2[[#This Row],[HomeTeam]],Sheet5!$A$2:$A$33, 0), MATCH(Table2[[#This Row],[AwayTeam]],Sheet5!$A$2:$A$33, 0))</f>
        <v>1-0-0</v>
      </c>
      <c r="AQ1138" s="143">
        <f>IF(Table2[[#This Row],[GameHasShutOut]], 1, 0)</f>
        <v>0</v>
      </c>
      <c r="AR1138" s="143">
        <f>IF(Table2[[#This Row],[ActualAwayScore]] + Table2[[#This Row],[ActualHomeScore]] &gt;= 10, 1, 0)</f>
        <v>0</v>
      </c>
      <c r="AS1138" s="143">
        <f>IF(ABS(Table2[[#This Row],[ActualAwayScore]]-Table2[[#This Row],[ActualHomeScore]])&gt;=5, 1, 0)</f>
        <v>0</v>
      </c>
      <c r="AT1138" s="143">
        <f>IF(Table2[[#This Row],[ActualAwayScore]] + Table2[[#This Row],[ActualHomeScore]] &lt;= 3, 1, 0)</f>
        <v>1</v>
      </c>
      <c r="AU113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9" spans="1:49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0" spans="1:49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1" spans="1:49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2" spans="1:49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3" spans="1:49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4" spans="1:49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5" spans="1:49" x14ac:dyDescent="0.25">
      <c r="A1145" s="3"/>
      <c r="B1145" s="3">
        <v>46107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6" spans="1:49" x14ac:dyDescent="0.25">
      <c r="A1146" s="3"/>
      <c r="B1146" s="3">
        <v>46107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7" spans="1:49" x14ac:dyDescent="0.25">
      <c r="A1147" s="3"/>
      <c r="B1147" s="3">
        <v>46107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8" spans="1:49" x14ac:dyDescent="0.25">
      <c r="A1148" s="3"/>
      <c r="B1148" s="3">
        <v>46107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9" spans="1:49" x14ac:dyDescent="0.25">
      <c r="A1149" s="3"/>
      <c r="B1149" s="3">
        <v>46107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50" spans="1:49" x14ac:dyDescent="0.25">
      <c r="A1150" s="3"/>
      <c r="B1150" s="3">
        <v>46107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1" spans="1:49" x14ac:dyDescent="0.25">
      <c r="A1151" s="141"/>
      <c r="B1151" s="141">
        <v>46107</v>
      </c>
      <c r="C1151" s="142">
        <v>2025021149</v>
      </c>
      <c r="D1151" s="143" t="s">
        <v>27</v>
      </c>
      <c r="E1151" s="143" t="s">
        <v>24</v>
      </c>
      <c r="F1151" s="143"/>
      <c r="G1151" s="143"/>
      <c r="H1151" s="143" t="str">
        <f t="shared" si="89"/>
        <v>_</v>
      </c>
      <c r="I1151" s="143"/>
      <c r="J1151" s="143"/>
      <c r="K1151" s="143"/>
      <c r="L1151" s="143" t="str">
        <f t="shared" si="90"/>
        <v>_</v>
      </c>
      <c r="M1151" s="143"/>
      <c r="N1151" s="143">
        <f>IF(ISBLANK(Table2[[#This Row],[ActualResult]]), 0, 1)</f>
        <v>0</v>
      </c>
      <c r="O1151" s="143" t="str">
        <f>IF(ISBLANK(Table2[[#This Row],[ActualResult]]), "_", IF(Table2[[#This Row],[ActualWinner]]=Table2[[#This Row],[PredictedWinner]], "Y", "N"))</f>
        <v>_</v>
      </c>
      <c r="P1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143"/>
      <c r="S1151" s="143" t="str">
        <f t="shared" si="91"/>
        <v>_</v>
      </c>
      <c r="T1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143">
        <f>IF(Table2[[#This Row],[InterConf]]=1,IF(Table2[[#This Row],[InterDiv]]=0, 1, 0), 0)</f>
        <v>0</v>
      </c>
      <c r="W1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143"/>
      <c r="Y1151" s="143"/>
      <c r="Z1151" s="149">
        <f>IF(AND(Table2[[#This Row],[GameIsOver]]=1,Table2[[#This Row],[ActualHomeScore]]*Table2[[#This Row],[ActualAwayScore]]=0), 1,0)</f>
        <v>0</v>
      </c>
      <c r="AA1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1" s="143">
        <f>Table2[[#This Row],[ActualAwayScore]]-Table2[[#This Row],[PredictedAwayScore]]</f>
        <v>0</v>
      </c>
      <c r="AG1151" s="143">
        <f>Table2[[#This Row],[ActualHomeScore]]-Table2[[#This Row],[PredictedHomeScore]]</f>
        <v>0</v>
      </c>
      <c r="AH1151" s="143">
        <f t="shared" si="92"/>
        <v>0</v>
      </c>
      <c r="AI1151" s="143">
        <f t="shared" si="93"/>
        <v>0</v>
      </c>
      <c r="AJ1151" s="143"/>
      <c r="AK1151" s="141"/>
      <c r="AL1151" s="143">
        <f>IF(Table2[[#This Row],[GameIsOver]]=0,0,IF(Table2[[#This Row],[ActualWinner]]=Table2[[#This Row],[AwayTeam]], 1, 0))</f>
        <v>0</v>
      </c>
      <c r="AM1151" s="143">
        <f>IF(Table2[[#This Row],[GameIsOver]]=0,0,IF(Table2[[#This Row],[ActualWinner]]=Table2[[#This Row],[HomeTeam]], 1, 0))</f>
        <v>0</v>
      </c>
      <c r="AN1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1" s="143" t="str">
        <f>INDEX(Sheet5!$B$2:$AG$33, MATCH(Table2[[#This Row],[AwayTeam]],Sheet5!$A$2:$A$33, 0), MATCH(Table2[[#This Row],[HomeTeam]],Sheet5!$A$2:$A$33, 0))</f>
        <v>1-0-0</v>
      </c>
      <c r="AP1151" s="143" t="str">
        <f>INDEX(Sheet5!$B$2:$AG$33, MATCH(Table2[[#This Row],[HomeTeam]],Sheet5!$A$2:$A$33, 0), MATCH(Table2[[#This Row],[AwayTeam]],Sheet5!$A$2:$A$33, 0))</f>
        <v>0-0-1</v>
      </c>
      <c r="AQ1151" s="143">
        <f>IF(Table2[[#This Row],[GameHasShutOut]], 1, 0)</f>
        <v>0</v>
      </c>
      <c r="AR1151" s="143">
        <f>IF(Table2[[#This Row],[ActualAwayScore]] + Table2[[#This Row],[ActualHomeScore]] &gt;= 10, 1, 0)</f>
        <v>0</v>
      </c>
      <c r="AS1151" s="143">
        <f>IF(ABS(Table2[[#This Row],[ActualAwayScore]]-Table2[[#This Row],[ActualHomeScore]])&gt;=5, 1, 0)</f>
        <v>0</v>
      </c>
      <c r="AT1151" s="143">
        <f>IF(Table2[[#This Row],[ActualAwayScore]] + Table2[[#This Row],[ActualHomeScore]] &lt;= 3, 1, 0)</f>
        <v>1</v>
      </c>
      <c r="AU115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2" spans="1:49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3" spans="1:49" x14ac:dyDescent="0.25">
      <c r="A1153" s="141"/>
      <c r="B1153" s="141">
        <v>46108</v>
      </c>
      <c r="C1153" s="142">
        <v>2025021151</v>
      </c>
      <c r="D1153" s="143" t="s">
        <v>16</v>
      </c>
      <c r="E1153" s="143" t="s">
        <v>19</v>
      </c>
      <c r="F1153" s="143"/>
      <c r="G1153" s="143"/>
      <c r="H1153" s="143" t="str">
        <f t="shared" si="89"/>
        <v>_</v>
      </c>
      <c r="I1153" s="143"/>
      <c r="J1153" s="143"/>
      <c r="K1153" s="143"/>
      <c r="L1153" s="143" t="str">
        <f t="shared" si="90"/>
        <v>_</v>
      </c>
      <c r="M1153" s="143"/>
      <c r="N1153" s="143">
        <f>IF(ISBLANK(Table2[[#This Row],[ActualResult]]), 0, 1)</f>
        <v>0</v>
      </c>
      <c r="O1153" s="143" t="str">
        <f>IF(ISBLANK(Table2[[#This Row],[ActualResult]]), "_", IF(Table2[[#This Row],[ActualWinner]]=Table2[[#This Row],[PredictedWinner]], "Y", "N"))</f>
        <v>_</v>
      </c>
      <c r="P11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143"/>
      <c r="S1153" s="143" t="str">
        <f t="shared" si="91"/>
        <v>_</v>
      </c>
      <c r="T11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143">
        <f>IF(Table2[[#This Row],[InterConf]]=1,IF(Table2[[#This Row],[InterDiv]]=0, 1, 0), 0)</f>
        <v>0</v>
      </c>
      <c r="W11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143"/>
      <c r="Y1153" s="143"/>
      <c r="Z1153" s="149">
        <f>IF(AND(Table2[[#This Row],[GameIsOver]]=1,Table2[[#This Row],[ActualHomeScore]]*Table2[[#This Row],[ActualAwayScore]]=0), 1,0)</f>
        <v>0</v>
      </c>
      <c r="AA11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143">
        <f>Table2[[#This Row],[ActualAwayScore]]-Table2[[#This Row],[PredictedAwayScore]]</f>
        <v>0</v>
      </c>
      <c r="AG1153" s="143">
        <f>Table2[[#This Row],[ActualHomeScore]]-Table2[[#This Row],[PredictedHomeScore]]</f>
        <v>0</v>
      </c>
      <c r="AH1153" s="143">
        <f t="shared" si="92"/>
        <v>0</v>
      </c>
      <c r="AI1153" s="143">
        <f t="shared" si="93"/>
        <v>0</v>
      </c>
      <c r="AJ1153" s="143"/>
      <c r="AK1153" s="141"/>
      <c r="AL1153" s="143">
        <f>IF(Table2[[#This Row],[GameIsOver]]=0,0,IF(Table2[[#This Row],[ActualWinner]]=Table2[[#This Row],[AwayTeam]], 1, 0))</f>
        <v>0</v>
      </c>
      <c r="AM1153" s="143">
        <f>IF(Table2[[#This Row],[GameIsOver]]=0,0,IF(Table2[[#This Row],[ActualWinner]]=Table2[[#This Row],[HomeTeam]], 1, 0))</f>
        <v>0</v>
      </c>
      <c r="AN11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3" s="143" t="str">
        <f>INDEX(Sheet5!$B$2:$AG$33, MATCH(Table2[[#This Row],[AwayTeam]],Sheet5!$A$2:$A$33, 0), MATCH(Table2[[#This Row],[HomeTeam]],Sheet5!$A$2:$A$33, 0))</f>
        <v>1-0-0</v>
      </c>
      <c r="AP1153" s="143" t="str">
        <f>INDEX(Sheet5!$B$2:$AG$33, MATCH(Table2[[#This Row],[HomeTeam]],Sheet5!$A$2:$A$33, 0), MATCH(Table2[[#This Row],[AwayTeam]],Sheet5!$A$2:$A$33, 0))</f>
        <v>0-1-0</v>
      </c>
      <c r="AQ1153" s="143">
        <f>IF(Table2[[#This Row],[GameHasShutOut]], 1, 0)</f>
        <v>0</v>
      </c>
      <c r="AR1153" s="143">
        <f>IF(Table2[[#This Row],[ActualAwayScore]] + Table2[[#This Row],[ActualHomeScore]] &gt;= 10, 1, 0)</f>
        <v>0</v>
      </c>
      <c r="AS1153" s="143">
        <f>IF(ABS(Table2[[#This Row],[ActualAwayScore]]-Table2[[#This Row],[ActualHomeScore]])&gt;=5, 1, 0)</f>
        <v>0</v>
      </c>
      <c r="AT1153" s="143">
        <f>IF(Table2[[#This Row],[ActualAwayScore]] + Table2[[#This Row],[ActualHomeScore]] &lt;= 3, 1, 0)</f>
        <v>1</v>
      </c>
      <c r="AU115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4" spans="1:49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5" spans="1:49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6" spans="1:49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7" spans="1:49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7" s="2" t="str">
        <f>INDEX(Sheet5!$B$2:$AG$33, MATCH(Table2[[#This Row],[AwayTeam]],Sheet5!$A$2:$A$33, 0), MATCH(Table2[[#This Row],[HomeTeam]],Sheet5!$A$2:$A$33, 0))</f>
        <v>1-0-0</v>
      </c>
      <c r="AP1157" s="2" t="str">
        <f>INDEX(Sheet5!$B$2:$AG$33, MATCH(Table2[[#This Row],[HomeTeam]],Sheet5!$A$2:$A$33, 0), MATCH(Table2[[#This Row],[AwayTeam]],Sheet5!$A$2:$A$33, 0))</f>
        <v>0-1-0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8" spans="1:49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9" spans="1:49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0" spans="1:49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1" spans="1:49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1" s="2" t="str">
        <f>INDEX(Sheet5!$B$2:$AG$33, MATCH(Table2[[#This Row],[AwayTeam]],Sheet5!$A$2:$A$33, 0), MATCH(Table2[[#This Row],[HomeTeam]],Sheet5!$A$2:$A$33, 0))</f>
        <v>0-1-0</v>
      </c>
      <c r="AP1161" s="2" t="str">
        <f>INDEX(Sheet5!$B$2:$AG$33, MATCH(Table2[[#This Row],[HomeTeam]],Sheet5!$A$2:$A$33, 0), MATCH(Table2[[#This Row],[AwayTeam]],Sheet5!$A$2:$A$33, 0))</f>
        <v>1-0-0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2" spans="1:49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3" spans="1:49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4" spans="1:49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5" spans="1:49" x14ac:dyDescent="0.25">
      <c r="A1165" s="3"/>
      <c r="B1165" s="3">
        <v>46109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6" spans="1:49" x14ac:dyDescent="0.25">
      <c r="A1166" s="3"/>
      <c r="B1166" s="3">
        <v>46109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7" spans="1:49" x14ac:dyDescent="0.25">
      <c r="A1167" s="3"/>
      <c r="B1167" s="3">
        <v>46109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68" spans="1:49" x14ac:dyDescent="0.25">
      <c r="A1168" s="141"/>
      <c r="B1168" s="141">
        <v>46109</v>
      </c>
      <c r="C1168" s="142">
        <v>2025021166</v>
      </c>
      <c r="D1168" s="143" t="s">
        <v>43</v>
      </c>
      <c r="E1168" s="143" t="s">
        <v>26</v>
      </c>
      <c r="F1168" s="143"/>
      <c r="G1168" s="143"/>
      <c r="H1168" s="143" t="str">
        <f t="shared" si="94"/>
        <v>_</v>
      </c>
      <c r="I1168" s="143"/>
      <c r="J1168" s="143"/>
      <c r="K1168" s="143"/>
      <c r="L1168" s="143" t="str">
        <f t="shared" si="95"/>
        <v>_</v>
      </c>
      <c r="M1168" s="143"/>
      <c r="N1168" s="143">
        <f>IF(ISBLANK(Table2[[#This Row],[ActualResult]]), 0, 1)</f>
        <v>0</v>
      </c>
      <c r="O1168" s="143" t="str">
        <f>IF(ISBLANK(Table2[[#This Row],[ActualResult]]), "_", IF(Table2[[#This Row],[ActualWinner]]=Table2[[#This Row],[PredictedWinner]], "Y", "N"))</f>
        <v>_</v>
      </c>
      <c r="P11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143"/>
      <c r="S1168" s="143" t="str">
        <f t="shared" si="96"/>
        <v>_</v>
      </c>
      <c r="T11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143">
        <f>IF(Table2[[#This Row],[InterConf]]=1,IF(Table2[[#This Row],[InterDiv]]=0, 1, 0), 0)</f>
        <v>0</v>
      </c>
      <c r="W11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143"/>
      <c r="Y1168" s="143"/>
      <c r="Z1168" s="149">
        <f>IF(AND(Table2[[#This Row],[GameIsOver]]=1,Table2[[#This Row],[ActualHomeScore]]*Table2[[#This Row],[ActualAwayScore]]=0), 1,0)</f>
        <v>0</v>
      </c>
      <c r="AA11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8" s="143">
        <f>Table2[[#This Row],[ActualAwayScore]]-Table2[[#This Row],[PredictedAwayScore]]</f>
        <v>0</v>
      </c>
      <c r="AG1168" s="143">
        <f>Table2[[#This Row],[ActualHomeScore]]-Table2[[#This Row],[PredictedHomeScore]]</f>
        <v>0</v>
      </c>
      <c r="AH1168" s="143">
        <f t="shared" si="97"/>
        <v>0</v>
      </c>
      <c r="AI1168" s="143">
        <f t="shared" si="98"/>
        <v>0</v>
      </c>
      <c r="AJ1168" s="143"/>
      <c r="AK1168" s="141"/>
      <c r="AL1168" s="143">
        <f>IF(Table2[[#This Row],[GameIsOver]]=0,0,IF(Table2[[#This Row],[ActualWinner]]=Table2[[#This Row],[AwayTeam]], 1, 0))</f>
        <v>0</v>
      </c>
      <c r="AM1168" s="143">
        <f>IF(Table2[[#This Row],[GameIsOver]]=0,0,IF(Table2[[#This Row],[ActualWinner]]=Table2[[#This Row],[HomeTeam]], 1, 0))</f>
        <v>0</v>
      </c>
      <c r="AN11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8" s="143" t="str">
        <f>INDEX(Sheet5!$B$2:$AG$33, MATCH(Table2[[#This Row],[AwayTeam]],Sheet5!$A$2:$A$33, 0), MATCH(Table2[[#This Row],[HomeTeam]],Sheet5!$A$2:$A$33, 0))</f>
        <v>0-0-0</v>
      </c>
      <c r="AP1168" s="143" t="str">
        <f>INDEX(Sheet5!$B$2:$AG$33, MATCH(Table2[[#This Row],[HomeTeam]],Sheet5!$A$2:$A$33, 0), MATCH(Table2[[#This Row],[AwayTeam]],Sheet5!$A$2:$A$33, 0))</f>
        <v>0-0-0</v>
      </c>
      <c r="AQ1168" s="143">
        <f>IF(Table2[[#This Row],[GameHasShutOut]], 1, 0)</f>
        <v>0</v>
      </c>
      <c r="AR1168" s="143">
        <f>IF(Table2[[#This Row],[ActualAwayScore]] + Table2[[#This Row],[ActualHomeScore]] &gt;= 10, 1, 0)</f>
        <v>0</v>
      </c>
      <c r="AS1168" s="143">
        <f>IF(ABS(Table2[[#This Row],[ActualAwayScore]]-Table2[[#This Row],[ActualHomeScore]])&gt;=5, 1, 0)</f>
        <v>0</v>
      </c>
      <c r="AT1168" s="143">
        <f>IF(Table2[[#This Row],[ActualAwayScore]] + Table2[[#This Row],[ActualHomeScore]] &lt;= 3, 1, 0)</f>
        <v>1</v>
      </c>
      <c r="AU11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9" spans="1:49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0" spans="1:49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1" spans="1:49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2" spans="1:49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3" spans="1:49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4" spans="1:49" x14ac:dyDescent="0.25">
      <c r="A1174" s="141"/>
      <c r="B1174" s="141">
        <v>46110</v>
      </c>
      <c r="C1174" s="142">
        <v>2025021172</v>
      </c>
      <c r="D1174" s="143" t="s">
        <v>33</v>
      </c>
      <c r="E1174" s="143" t="s">
        <v>42</v>
      </c>
      <c r="F1174" s="143"/>
      <c r="G1174" s="143"/>
      <c r="H1174" s="143" t="str">
        <f t="shared" si="94"/>
        <v>_</v>
      </c>
      <c r="I1174" s="143"/>
      <c r="J1174" s="143"/>
      <c r="K1174" s="143"/>
      <c r="L1174" s="143" t="str">
        <f t="shared" si="95"/>
        <v>_</v>
      </c>
      <c r="M1174" s="143"/>
      <c r="N1174" s="143">
        <f>IF(ISBLANK(Table2[[#This Row],[ActualResult]]), 0, 1)</f>
        <v>0</v>
      </c>
      <c r="O1174" s="143" t="str">
        <f>IF(ISBLANK(Table2[[#This Row],[ActualResult]]), "_", IF(Table2[[#This Row],[ActualWinner]]=Table2[[#This Row],[PredictedWinner]], "Y", "N"))</f>
        <v>_</v>
      </c>
      <c r="P11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143"/>
      <c r="S1174" s="143" t="str">
        <f t="shared" si="96"/>
        <v>_</v>
      </c>
      <c r="T11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143">
        <f>IF(Table2[[#This Row],[InterConf]]=1,IF(Table2[[#This Row],[InterDiv]]=0, 1, 0), 0)</f>
        <v>0</v>
      </c>
      <c r="W11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143"/>
      <c r="Y1174" s="143"/>
      <c r="Z1174" s="149">
        <f>IF(AND(Table2[[#This Row],[GameIsOver]]=1,Table2[[#This Row],[ActualHomeScore]]*Table2[[#This Row],[ActualAwayScore]]=0), 1,0)</f>
        <v>0</v>
      </c>
      <c r="AA11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143">
        <f>Table2[[#This Row],[ActualAwayScore]]-Table2[[#This Row],[PredictedAwayScore]]</f>
        <v>0</v>
      </c>
      <c r="AG1174" s="143">
        <f>Table2[[#This Row],[ActualHomeScore]]-Table2[[#This Row],[PredictedHomeScore]]</f>
        <v>0</v>
      </c>
      <c r="AH1174" s="143">
        <f t="shared" si="97"/>
        <v>0</v>
      </c>
      <c r="AI1174" s="143">
        <f t="shared" si="98"/>
        <v>0</v>
      </c>
      <c r="AJ1174" s="143"/>
      <c r="AK1174" s="141"/>
      <c r="AL1174" s="143">
        <f>IF(Table2[[#This Row],[GameIsOver]]=0,0,IF(Table2[[#This Row],[ActualWinner]]=Table2[[#This Row],[AwayTeam]], 1, 0))</f>
        <v>0</v>
      </c>
      <c r="AM1174" s="143">
        <f>IF(Table2[[#This Row],[GameIsOver]]=0,0,IF(Table2[[#This Row],[ActualWinner]]=Table2[[#This Row],[HomeTeam]], 1, 0))</f>
        <v>0</v>
      </c>
      <c r="AN11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4" s="143" t="str">
        <f>INDEX(Sheet5!$B$2:$AG$33, MATCH(Table2[[#This Row],[AwayTeam]],Sheet5!$A$2:$A$33, 0), MATCH(Table2[[#This Row],[HomeTeam]],Sheet5!$A$2:$A$33, 0))</f>
        <v>1-0-0</v>
      </c>
      <c r="AP1174" s="143" t="str">
        <f>INDEX(Sheet5!$B$2:$AG$33, MATCH(Table2[[#This Row],[HomeTeam]],Sheet5!$A$2:$A$33, 0), MATCH(Table2[[#This Row],[AwayTeam]],Sheet5!$A$2:$A$33, 0))</f>
        <v>0-1-0</v>
      </c>
      <c r="AQ1174" s="143">
        <f>IF(Table2[[#This Row],[GameHasShutOut]], 1, 0)</f>
        <v>0</v>
      </c>
      <c r="AR1174" s="143">
        <f>IF(Table2[[#This Row],[ActualAwayScore]] + Table2[[#This Row],[ActualHomeScore]] &gt;= 10, 1, 0)</f>
        <v>0</v>
      </c>
      <c r="AS1174" s="143">
        <f>IF(ABS(Table2[[#This Row],[ActualAwayScore]]-Table2[[#This Row],[ActualHomeScore]])&gt;=5, 1, 0)</f>
        <v>0</v>
      </c>
      <c r="AT1174" s="143">
        <f>IF(Table2[[#This Row],[ActualAwayScore]] + Table2[[#This Row],[ActualHomeScore]] &lt;= 3, 1, 0)</f>
        <v>1</v>
      </c>
      <c r="AU11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5" spans="1:49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6" spans="1:49" x14ac:dyDescent="0.25">
      <c r="A1176" s="3"/>
      <c r="B1176" s="3">
        <v>46111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6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7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77" spans="1:49" x14ac:dyDescent="0.25">
      <c r="A1177" s="3"/>
      <c r="B1177" s="3">
        <v>46111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8" spans="1:49" x14ac:dyDescent="0.25">
      <c r="A1178" s="3"/>
      <c r="B1178" s="3">
        <v>46111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9" spans="1:49" x14ac:dyDescent="0.25">
      <c r="A1179" s="141"/>
      <c r="B1179" s="141">
        <v>46111</v>
      </c>
      <c r="C1179" s="142">
        <v>2025021177</v>
      </c>
      <c r="D1179" s="143" t="s">
        <v>12</v>
      </c>
      <c r="E1179" s="143" t="s">
        <v>37</v>
      </c>
      <c r="F1179" s="143"/>
      <c r="G1179" s="143"/>
      <c r="H1179" s="143" t="str">
        <f t="shared" si="94"/>
        <v>_</v>
      </c>
      <c r="I1179" s="143"/>
      <c r="J1179" s="143"/>
      <c r="K1179" s="143"/>
      <c r="L1179" s="143" t="str">
        <f t="shared" si="95"/>
        <v>_</v>
      </c>
      <c r="M1179" s="143"/>
      <c r="N1179" s="143">
        <f>IF(ISBLANK(Table2[[#This Row],[ActualResult]]), 0, 1)</f>
        <v>0</v>
      </c>
      <c r="O1179" s="143" t="str">
        <f>IF(ISBLANK(Table2[[#This Row],[ActualResult]]), "_", IF(Table2[[#This Row],[ActualWinner]]=Table2[[#This Row],[PredictedWinner]], "Y", "N"))</f>
        <v>_</v>
      </c>
      <c r="P1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143"/>
      <c r="S1179" s="143" t="str">
        <f t="shared" si="96"/>
        <v>_</v>
      </c>
      <c r="T1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143">
        <f>IF(Table2[[#This Row],[InterConf]]=1,IF(Table2[[#This Row],[InterDiv]]=0, 1, 0), 0)</f>
        <v>1</v>
      </c>
      <c r="W1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143"/>
      <c r="Y1179" s="143"/>
      <c r="Z1179" s="149">
        <f>IF(AND(Table2[[#This Row],[GameIsOver]]=1,Table2[[#This Row],[ActualHomeScore]]*Table2[[#This Row],[ActualAwayScore]]=0), 1,0)</f>
        <v>0</v>
      </c>
      <c r="AA117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9" s="143">
        <f>Table2[[#This Row],[ActualAwayScore]]-Table2[[#This Row],[PredictedAwayScore]]</f>
        <v>0</v>
      </c>
      <c r="AG1179" s="143">
        <f>Table2[[#This Row],[ActualHomeScore]]-Table2[[#This Row],[PredictedHomeScore]]</f>
        <v>0</v>
      </c>
      <c r="AH1179" s="143">
        <f t="shared" si="97"/>
        <v>0</v>
      </c>
      <c r="AI1179" s="143">
        <f t="shared" si="98"/>
        <v>0</v>
      </c>
      <c r="AJ1179" s="143"/>
      <c r="AK1179" s="141"/>
      <c r="AL1179" s="143">
        <f>IF(Table2[[#This Row],[GameIsOver]]=0,0,IF(Table2[[#This Row],[ActualWinner]]=Table2[[#This Row],[AwayTeam]], 1, 0))</f>
        <v>0</v>
      </c>
      <c r="AM1179" s="143">
        <f>IF(Table2[[#This Row],[GameIsOver]]=0,0,IF(Table2[[#This Row],[ActualWinner]]=Table2[[#This Row],[HomeTeam]], 1, 0))</f>
        <v>0</v>
      </c>
      <c r="AN1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9" s="143" t="str">
        <f>INDEX(Sheet5!$B$2:$AG$33, MATCH(Table2[[#This Row],[AwayTeam]],Sheet5!$A$2:$A$33, 0), MATCH(Table2[[#This Row],[HomeTeam]],Sheet5!$A$2:$A$33, 0))</f>
        <v>0-0-0</v>
      </c>
      <c r="AP1179" s="143" t="str">
        <f>INDEX(Sheet5!$B$2:$AG$33, MATCH(Table2[[#This Row],[HomeTeam]],Sheet5!$A$2:$A$33, 0), MATCH(Table2[[#This Row],[AwayTeam]],Sheet5!$A$2:$A$33, 0))</f>
        <v>0-0-0</v>
      </c>
      <c r="AQ1179" s="143">
        <f>IF(Table2[[#This Row],[GameHasShutOut]], 1, 0)</f>
        <v>0</v>
      </c>
      <c r="AR1179" s="143">
        <f>IF(Table2[[#This Row],[ActualAwayScore]] + Table2[[#This Row],[ActualHomeScore]] &gt;= 10, 1, 0)</f>
        <v>0</v>
      </c>
      <c r="AS1179" s="143">
        <f>IF(ABS(Table2[[#This Row],[ActualAwayScore]]-Table2[[#This Row],[ActualHomeScore]])&gt;=5, 1, 0)</f>
        <v>0</v>
      </c>
      <c r="AT1179" s="143">
        <f>IF(Table2[[#This Row],[ActualAwayScore]] + Table2[[#This Row],[ActualHomeScore]] &lt;= 3, 1, 0)</f>
        <v>1</v>
      </c>
      <c r="AU117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0" spans="1:49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1" spans="1:49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2" spans="1:49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3" spans="1:49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4" spans="1:49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5" spans="1:49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6" spans="1:49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7" spans="1:49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8" spans="1:49" x14ac:dyDescent="0.25">
      <c r="A1188" s="3"/>
      <c r="B1188" s="3">
        <v>46112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9" spans="1:49" x14ac:dyDescent="0.25">
      <c r="A1189" s="141"/>
      <c r="B1189" s="141">
        <v>46112</v>
      </c>
      <c r="C1189" s="142">
        <v>2025021187</v>
      </c>
      <c r="D1189" s="143" t="s">
        <v>11</v>
      </c>
      <c r="E1189" s="143" t="s">
        <v>22</v>
      </c>
      <c r="F1189" s="143"/>
      <c r="G1189" s="143"/>
      <c r="H1189" s="143" t="str">
        <f t="shared" si="94"/>
        <v>_</v>
      </c>
      <c r="I1189" s="143"/>
      <c r="J1189" s="143"/>
      <c r="K1189" s="143"/>
      <c r="L1189" s="143" t="str">
        <f t="shared" si="95"/>
        <v>_</v>
      </c>
      <c r="M1189" s="143"/>
      <c r="N1189" s="143">
        <f>IF(ISBLANK(Table2[[#This Row],[ActualResult]]), 0, 1)</f>
        <v>0</v>
      </c>
      <c r="O1189" s="143" t="str">
        <f>IF(ISBLANK(Table2[[#This Row],[ActualResult]]), "_", IF(Table2[[#This Row],[ActualWinner]]=Table2[[#This Row],[PredictedWinner]], "Y", "N"))</f>
        <v>_</v>
      </c>
      <c r="P11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143"/>
      <c r="S1189" s="143" t="str">
        <f t="shared" si="96"/>
        <v>_</v>
      </c>
      <c r="T11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143">
        <f>IF(Table2[[#This Row],[InterConf]]=1,IF(Table2[[#This Row],[InterDiv]]=0, 1, 0), 0)</f>
        <v>0</v>
      </c>
      <c r="W11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143"/>
      <c r="Y1189" s="143"/>
      <c r="Z1189" s="149">
        <f>IF(AND(Table2[[#This Row],[GameIsOver]]=1,Table2[[#This Row],[ActualHomeScore]]*Table2[[#This Row],[ActualAwayScore]]=0), 1,0)</f>
        <v>0</v>
      </c>
      <c r="AA11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9" s="143">
        <f>Table2[[#This Row],[ActualAwayScore]]-Table2[[#This Row],[PredictedAwayScore]]</f>
        <v>0</v>
      </c>
      <c r="AG1189" s="143">
        <f>Table2[[#This Row],[ActualHomeScore]]-Table2[[#This Row],[PredictedHomeScore]]</f>
        <v>0</v>
      </c>
      <c r="AH1189" s="143">
        <f t="shared" si="97"/>
        <v>0</v>
      </c>
      <c r="AI1189" s="143">
        <f t="shared" si="98"/>
        <v>0</v>
      </c>
      <c r="AJ1189" s="143"/>
      <c r="AK1189" s="141"/>
      <c r="AL1189" s="143">
        <f>IF(Table2[[#This Row],[GameIsOver]]=0,0,IF(Table2[[#This Row],[ActualWinner]]=Table2[[#This Row],[AwayTeam]], 1, 0))</f>
        <v>0</v>
      </c>
      <c r="AM1189" s="143">
        <f>IF(Table2[[#This Row],[GameIsOver]]=0,0,IF(Table2[[#This Row],[ActualWinner]]=Table2[[#This Row],[HomeTeam]], 1, 0))</f>
        <v>0</v>
      </c>
      <c r="AN11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9" s="143" t="str">
        <f>INDEX(Sheet5!$B$2:$AG$33, MATCH(Table2[[#This Row],[AwayTeam]],Sheet5!$A$2:$A$33, 0), MATCH(Table2[[#This Row],[HomeTeam]],Sheet5!$A$2:$A$33, 0))</f>
        <v>1-2-0</v>
      </c>
      <c r="AP1189" s="143" t="str">
        <f>INDEX(Sheet5!$B$2:$AG$33, MATCH(Table2[[#This Row],[HomeTeam]],Sheet5!$A$2:$A$33, 0), MATCH(Table2[[#This Row],[AwayTeam]],Sheet5!$A$2:$A$33, 0))</f>
        <v>2-1-0</v>
      </c>
      <c r="AQ1189" s="143">
        <f>IF(Table2[[#This Row],[GameHasShutOut]], 1, 0)</f>
        <v>0</v>
      </c>
      <c r="AR1189" s="143">
        <f>IF(Table2[[#This Row],[ActualAwayScore]] + Table2[[#This Row],[ActualHomeScore]] &gt;= 10, 1, 0)</f>
        <v>0</v>
      </c>
      <c r="AS1189" s="143">
        <f>IF(ABS(Table2[[#This Row],[ActualAwayScore]]-Table2[[#This Row],[ActualHomeScore]])&gt;=5, 1, 0)</f>
        <v>0</v>
      </c>
      <c r="AT1189" s="143">
        <f>IF(Table2[[#This Row],[ActualAwayScore]] + Table2[[#This Row],[ActualHomeScore]] &lt;= 3, 1, 0)</f>
        <v>1</v>
      </c>
      <c r="AU11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0" spans="1:49" x14ac:dyDescent="0.25">
      <c r="A1190" s="3"/>
      <c r="B1190" s="3">
        <v>46113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0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1" spans="1:49" x14ac:dyDescent="0.25">
      <c r="A1191" s="3"/>
      <c r="B1191" s="3">
        <v>46113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2" spans="1:49" x14ac:dyDescent="0.25">
      <c r="A1192" s="141"/>
      <c r="B1192" s="141">
        <v>46113</v>
      </c>
      <c r="C1192" s="142">
        <v>2025021190</v>
      </c>
      <c r="D1192" s="143" t="s">
        <v>44</v>
      </c>
      <c r="E1192" s="143" t="s">
        <v>37</v>
      </c>
      <c r="F1192" s="143"/>
      <c r="G1192" s="143"/>
      <c r="H1192" s="143" t="str">
        <f t="shared" si="94"/>
        <v>_</v>
      </c>
      <c r="I1192" s="143"/>
      <c r="J1192" s="143"/>
      <c r="K1192" s="143"/>
      <c r="L1192" s="143" t="str">
        <f t="shared" si="95"/>
        <v>_</v>
      </c>
      <c r="M1192" s="143"/>
      <c r="N1192" s="143">
        <f>IF(ISBLANK(Table2[[#This Row],[ActualResult]]), 0, 1)</f>
        <v>0</v>
      </c>
      <c r="O1192" s="143" t="str">
        <f>IF(ISBLANK(Table2[[#This Row],[ActualResult]]), "_", IF(Table2[[#This Row],[ActualWinner]]=Table2[[#This Row],[PredictedWinner]], "Y", "N"))</f>
        <v>_</v>
      </c>
      <c r="P11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143"/>
      <c r="S1192" s="143" t="str">
        <f t="shared" si="96"/>
        <v>_</v>
      </c>
      <c r="T11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143">
        <f>IF(Table2[[#This Row],[InterConf]]=1,IF(Table2[[#This Row],[InterDiv]]=0, 1, 0), 0)</f>
        <v>0</v>
      </c>
      <c r="W11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143"/>
      <c r="Y1192" s="143"/>
      <c r="Z1192" s="149">
        <f>IF(AND(Table2[[#This Row],[GameIsOver]]=1,Table2[[#This Row],[ActualHomeScore]]*Table2[[#This Row],[ActualAwayScore]]=0), 1,0)</f>
        <v>0</v>
      </c>
      <c r="AA11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2" s="143">
        <f>Table2[[#This Row],[ActualAwayScore]]-Table2[[#This Row],[PredictedAwayScore]]</f>
        <v>0</v>
      </c>
      <c r="AG1192" s="143">
        <f>Table2[[#This Row],[ActualHomeScore]]-Table2[[#This Row],[PredictedHomeScore]]</f>
        <v>0</v>
      </c>
      <c r="AH1192" s="143">
        <f t="shared" si="97"/>
        <v>0</v>
      </c>
      <c r="AI1192" s="143">
        <f t="shared" si="98"/>
        <v>0</v>
      </c>
      <c r="AJ1192" s="143"/>
      <c r="AK1192" s="141"/>
      <c r="AL1192" s="143">
        <f>IF(Table2[[#This Row],[GameIsOver]]=0,0,IF(Table2[[#This Row],[ActualWinner]]=Table2[[#This Row],[AwayTeam]], 1, 0))</f>
        <v>0</v>
      </c>
      <c r="AM1192" s="143">
        <f>IF(Table2[[#This Row],[GameIsOver]]=0,0,IF(Table2[[#This Row],[ActualWinner]]=Table2[[#This Row],[HomeTeam]], 1, 0))</f>
        <v>0</v>
      </c>
      <c r="AN11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2" s="143" t="str">
        <f>INDEX(Sheet5!$B$2:$AG$33, MATCH(Table2[[#This Row],[AwayTeam]],Sheet5!$A$2:$A$33, 0), MATCH(Table2[[#This Row],[HomeTeam]],Sheet5!$A$2:$A$33, 0))</f>
        <v>1-0-0</v>
      </c>
      <c r="AP1192" s="143" t="str">
        <f>INDEX(Sheet5!$B$2:$AG$33, MATCH(Table2[[#This Row],[HomeTeam]],Sheet5!$A$2:$A$33, 0), MATCH(Table2[[#This Row],[AwayTeam]],Sheet5!$A$2:$A$33, 0))</f>
        <v>0-0-1</v>
      </c>
      <c r="AQ1192" s="143">
        <f>IF(Table2[[#This Row],[GameHasShutOut]], 1, 0)</f>
        <v>0</v>
      </c>
      <c r="AR1192" s="143">
        <f>IF(Table2[[#This Row],[ActualAwayScore]] + Table2[[#This Row],[ActualHomeScore]] &gt;= 10, 1, 0)</f>
        <v>0</v>
      </c>
      <c r="AS1192" s="143">
        <f>IF(ABS(Table2[[#This Row],[ActualAwayScore]]-Table2[[#This Row],[ActualHomeScore]])&gt;=5, 1, 0)</f>
        <v>0</v>
      </c>
      <c r="AT1192" s="143">
        <f>IF(Table2[[#This Row],[ActualAwayScore]] + Table2[[#This Row],[ActualHomeScore]] &lt;= 3, 1, 0)</f>
        <v>1</v>
      </c>
      <c r="AU11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3" spans="1:49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4" spans="1:49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5" spans="1:49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6" spans="1:49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7" spans="1:49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7" s="2" t="str">
        <f>INDEX(Sheet5!$B$2:$AG$33, MATCH(Table2[[#This Row],[AwayTeam]],Sheet5!$A$2:$A$33, 0), MATCH(Table2[[#This Row],[HomeTeam]],Sheet5!$A$2:$A$33, 0))</f>
        <v>0-1-1</v>
      </c>
      <c r="AP1197" s="2" t="str">
        <f>INDEX(Sheet5!$B$2:$AG$33, MATCH(Table2[[#This Row],[HomeTeam]],Sheet5!$A$2:$A$33, 0), MATCH(Table2[[#This Row],[AwayTeam]],Sheet5!$A$2:$A$33, 0))</f>
        <v>2-0-0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8" spans="1:49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9" spans="1:49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0" spans="1:49" x14ac:dyDescent="0.25">
      <c r="A1200" s="3"/>
      <c r="B1200" s="3">
        <v>46114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1" spans="1:49" x14ac:dyDescent="0.25">
      <c r="A1201" s="3"/>
      <c r="B1201" s="3">
        <v>46114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2" spans="1:49" x14ac:dyDescent="0.25">
      <c r="A1202" s="3"/>
      <c r="B1202" s="3">
        <v>46114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3" spans="1:49" x14ac:dyDescent="0.25">
      <c r="A1203" s="3"/>
      <c r="B1203" s="3">
        <v>46114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04" spans="1:49" x14ac:dyDescent="0.25">
      <c r="A1204" s="3"/>
      <c r="B1204" s="3">
        <v>46114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4" s="2" t="str">
        <f>INDEX(Sheet5!$B$2:$AG$33, MATCH(Table2[[#This Row],[AwayTeam]],Sheet5!$A$2:$A$33, 0), MATCH(Table2[[#This Row],[HomeTeam]],Sheet5!$A$2:$A$33, 0))</f>
        <v>0-0-1</v>
      </c>
      <c r="AP1204" s="2" t="str">
        <f>INDEX(Sheet5!$B$2:$AG$33, MATCH(Table2[[#This Row],[HomeTeam]],Sheet5!$A$2:$A$33, 0), MATCH(Table2[[#This Row],[AwayTeam]],Sheet5!$A$2:$A$33, 0))</f>
        <v>1-0-0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5" spans="1:49" x14ac:dyDescent="0.25">
      <c r="A1205" s="3"/>
      <c r="B1205" s="3">
        <v>46114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5" s="2" t="str">
        <f>INDEX(Sheet5!$B$2:$AG$33, MATCH(Table2[[#This Row],[AwayTeam]],Sheet5!$A$2:$A$33, 0), MATCH(Table2[[#This Row],[HomeTeam]],Sheet5!$A$2:$A$33, 0))</f>
        <v>1-0-0</v>
      </c>
      <c r="AP1205" s="2" t="str">
        <f>INDEX(Sheet5!$B$2:$AG$33, MATCH(Table2[[#This Row],[HomeTeam]],Sheet5!$A$2:$A$33, 0), MATCH(Table2[[#This Row],[AwayTeam]],Sheet5!$A$2:$A$33, 0))</f>
        <v>0-1-0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6" spans="1:49" x14ac:dyDescent="0.25">
      <c r="A1206" s="141"/>
      <c r="B1206" s="141">
        <v>46114</v>
      </c>
      <c r="C1206" s="142">
        <v>2025021204</v>
      </c>
      <c r="D1206" s="143" t="s">
        <v>34</v>
      </c>
      <c r="E1206" s="143" t="s">
        <v>27</v>
      </c>
      <c r="F1206" s="143"/>
      <c r="G1206" s="143"/>
      <c r="H1206" s="143" t="str">
        <f t="shared" si="94"/>
        <v>_</v>
      </c>
      <c r="I1206" s="143"/>
      <c r="J1206" s="143"/>
      <c r="K1206" s="143"/>
      <c r="L1206" s="143" t="str">
        <f t="shared" si="95"/>
        <v>_</v>
      </c>
      <c r="M1206" s="143"/>
      <c r="N1206" s="143">
        <f>IF(ISBLANK(Table2[[#This Row],[ActualResult]]), 0, 1)</f>
        <v>0</v>
      </c>
      <c r="O1206" s="143" t="str">
        <f>IF(ISBLANK(Table2[[#This Row],[ActualResult]]), "_", IF(Table2[[#This Row],[ActualWinner]]=Table2[[#This Row],[PredictedWinner]], "Y", "N"))</f>
        <v>_</v>
      </c>
      <c r="P120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143"/>
      <c r="S1206" s="143" t="str">
        <f t="shared" si="96"/>
        <v>_</v>
      </c>
      <c r="T120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143">
        <f>IF(Table2[[#This Row],[InterConf]]=1,IF(Table2[[#This Row],[InterDiv]]=0, 1, 0), 0)</f>
        <v>1</v>
      </c>
      <c r="W120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143"/>
      <c r="Y1206" s="143"/>
      <c r="Z1206" s="149">
        <f>IF(AND(Table2[[#This Row],[GameIsOver]]=1,Table2[[#This Row],[ActualHomeScore]]*Table2[[#This Row],[ActualAwayScore]]=0), 1,0)</f>
        <v>0</v>
      </c>
      <c r="AA120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6" s="143">
        <f>Table2[[#This Row],[ActualAwayScore]]-Table2[[#This Row],[PredictedAwayScore]]</f>
        <v>0</v>
      </c>
      <c r="AG1206" s="143">
        <f>Table2[[#This Row],[ActualHomeScore]]-Table2[[#This Row],[PredictedHomeScore]]</f>
        <v>0</v>
      </c>
      <c r="AH1206" s="143">
        <f t="shared" si="97"/>
        <v>0</v>
      </c>
      <c r="AI1206" s="143">
        <f t="shared" si="98"/>
        <v>0</v>
      </c>
      <c r="AJ1206" s="143"/>
      <c r="AK1206" s="141"/>
      <c r="AL1206" s="143">
        <f>IF(Table2[[#This Row],[GameIsOver]]=0,0,IF(Table2[[#This Row],[ActualWinner]]=Table2[[#This Row],[AwayTeam]], 1, 0))</f>
        <v>0</v>
      </c>
      <c r="AM1206" s="143">
        <f>IF(Table2[[#This Row],[GameIsOver]]=0,0,IF(Table2[[#This Row],[ActualWinner]]=Table2[[#This Row],[HomeTeam]], 1, 0))</f>
        <v>0</v>
      </c>
      <c r="AN120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6" s="143" t="str">
        <f>INDEX(Sheet5!$B$2:$AG$33, MATCH(Table2[[#This Row],[AwayTeam]],Sheet5!$A$2:$A$33, 0), MATCH(Table2[[#This Row],[HomeTeam]],Sheet5!$A$2:$A$33, 0))</f>
        <v>1-0-0</v>
      </c>
      <c r="AP1206" s="143" t="str">
        <f>INDEX(Sheet5!$B$2:$AG$33, MATCH(Table2[[#This Row],[HomeTeam]],Sheet5!$A$2:$A$33, 0), MATCH(Table2[[#This Row],[AwayTeam]],Sheet5!$A$2:$A$33, 0))</f>
        <v>0-0-1</v>
      </c>
      <c r="AQ1206" s="143">
        <f>IF(Table2[[#This Row],[GameHasShutOut]], 1, 0)</f>
        <v>0</v>
      </c>
      <c r="AR1206" s="143">
        <f>IF(Table2[[#This Row],[ActualAwayScore]] + Table2[[#This Row],[ActualHomeScore]] &gt;= 10, 1, 0)</f>
        <v>0</v>
      </c>
      <c r="AS1206" s="143">
        <f>IF(ABS(Table2[[#This Row],[ActualAwayScore]]-Table2[[#This Row],[ActualHomeScore]])&gt;=5, 1, 0)</f>
        <v>0</v>
      </c>
      <c r="AT1206" s="143">
        <f>IF(Table2[[#This Row],[ActualAwayScore]] + Table2[[#This Row],[ActualHomeScore]] &lt;= 3, 1, 0)</f>
        <v>1</v>
      </c>
      <c r="AU120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7" spans="1:49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8" spans="1:49" x14ac:dyDescent="0.25">
      <c r="A1208" s="141"/>
      <c r="B1208" s="141">
        <v>46115</v>
      </c>
      <c r="C1208" s="142">
        <v>2025021206</v>
      </c>
      <c r="D1208" s="143" t="s">
        <v>12</v>
      </c>
      <c r="E1208" s="143" t="s">
        <v>44</v>
      </c>
      <c r="F1208" s="143"/>
      <c r="G1208" s="143"/>
      <c r="H1208" s="143" t="str">
        <f t="shared" si="94"/>
        <v>_</v>
      </c>
      <c r="I1208" s="143"/>
      <c r="J1208" s="143"/>
      <c r="K1208" s="143"/>
      <c r="L1208" s="143" t="str">
        <f t="shared" si="95"/>
        <v>_</v>
      </c>
      <c r="M1208" s="143"/>
      <c r="N1208" s="143">
        <f>IF(ISBLANK(Table2[[#This Row],[ActualResult]]), 0, 1)</f>
        <v>0</v>
      </c>
      <c r="O1208" s="143" t="str">
        <f>IF(ISBLANK(Table2[[#This Row],[ActualResult]]), "_", IF(Table2[[#This Row],[ActualWinner]]=Table2[[#This Row],[PredictedWinner]], "Y", "N"))</f>
        <v>_</v>
      </c>
      <c r="P12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143"/>
      <c r="S1208" s="143" t="str">
        <f t="shared" si="96"/>
        <v>_</v>
      </c>
      <c r="T12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143">
        <f>IF(Table2[[#This Row],[InterConf]]=1,IF(Table2[[#This Row],[InterDiv]]=0, 1, 0), 0)</f>
        <v>1</v>
      </c>
      <c r="W12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143"/>
      <c r="Y1208" s="143"/>
      <c r="Z1208" s="149">
        <f>IF(AND(Table2[[#This Row],[GameIsOver]]=1,Table2[[#This Row],[ActualHomeScore]]*Table2[[#This Row],[ActualAwayScore]]=0), 1,0)</f>
        <v>0</v>
      </c>
      <c r="AA12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8" s="143">
        <f>Table2[[#This Row],[ActualAwayScore]]-Table2[[#This Row],[PredictedAwayScore]]</f>
        <v>0</v>
      </c>
      <c r="AG1208" s="143">
        <f>Table2[[#This Row],[ActualHomeScore]]-Table2[[#This Row],[PredictedHomeScore]]</f>
        <v>0</v>
      </c>
      <c r="AH1208" s="143">
        <f t="shared" si="97"/>
        <v>0</v>
      </c>
      <c r="AI1208" s="143">
        <f t="shared" si="98"/>
        <v>0</v>
      </c>
      <c r="AJ1208" s="143"/>
      <c r="AK1208" s="141"/>
      <c r="AL1208" s="143">
        <f>IF(Table2[[#This Row],[GameIsOver]]=0,0,IF(Table2[[#This Row],[ActualWinner]]=Table2[[#This Row],[AwayTeam]], 1, 0))</f>
        <v>0</v>
      </c>
      <c r="AM1208" s="143">
        <f>IF(Table2[[#This Row],[GameIsOver]]=0,0,IF(Table2[[#This Row],[ActualWinner]]=Table2[[#This Row],[HomeTeam]], 1, 0))</f>
        <v>0</v>
      </c>
      <c r="AN12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8" s="143" t="str">
        <f>INDEX(Sheet5!$B$2:$AG$33, MATCH(Table2[[#This Row],[AwayTeam]],Sheet5!$A$2:$A$33, 0), MATCH(Table2[[#This Row],[HomeTeam]],Sheet5!$A$2:$A$33, 0))</f>
        <v>0-1-0</v>
      </c>
      <c r="AP1208" s="143" t="str">
        <f>INDEX(Sheet5!$B$2:$AG$33, MATCH(Table2[[#This Row],[HomeTeam]],Sheet5!$A$2:$A$33, 0), MATCH(Table2[[#This Row],[AwayTeam]],Sheet5!$A$2:$A$33, 0))</f>
        <v>1-0-0</v>
      </c>
      <c r="AQ1208" s="143">
        <f>IF(Table2[[#This Row],[GameHasShutOut]], 1, 0)</f>
        <v>0</v>
      </c>
      <c r="AR1208" s="143">
        <f>IF(Table2[[#This Row],[ActualAwayScore]] + Table2[[#This Row],[ActualHomeScore]] &gt;= 10, 1, 0)</f>
        <v>0</v>
      </c>
      <c r="AS1208" s="143">
        <f>IF(ABS(Table2[[#This Row],[ActualAwayScore]]-Table2[[#This Row],[ActualHomeScore]])&gt;=5, 1, 0)</f>
        <v>0</v>
      </c>
      <c r="AT1208" s="143">
        <f>IF(Table2[[#This Row],[ActualAwayScore]] + Table2[[#This Row],[ActualHomeScore]] &lt;= 3, 1, 0)</f>
        <v>1</v>
      </c>
      <c r="AU12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9" spans="1:49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0" spans="1:49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0" s="2" t="str">
        <f>INDEX(Sheet5!$B$2:$AG$33, MATCH(Table2[[#This Row],[AwayTeam]],Sheet5!$A$2:$A$33, 0), MATCH(Table2[[#This Row],[HomeTeam]],Sheet5!$A$2:$A$33, 0))</f>
        <v>1-0-0</v>
      </c>
      <c r="AP1210" s="2" t="str">
        <f>INDEX(Sheet5!$B$2:$AG$33, MATCH(Table2[[#This Row],[HomeTeam]],Sheet5!$A$2:$A$33, 0), MATCH(Table2[[#This Row],[AwayTeam]],Sheet5!$A$2:$A$33, 0))</f>
        <v>0-1-0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1" spans="1:49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2" spans="1:49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3" spans="1:49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4" spans="1:49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5" spans="1:49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6" spans="1:49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7" spans="1:49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8" spans="1:49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9" spans="1:49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0" spans="1:49" x14ac:dyDescent="0.25">
      <c r="A1220" s="3"/>
      <c r="B1220" s="3">
        <v>46116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1" spans="1:49" x14ac:dyDescent="0.25">
      <c r="A1221" s="3"/>
      <c r="B1221" s="3">
        <v>46116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2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22" spans="1:49" x14ac:dyDescent="0.25">
      <c r="A1222" s="3"/>
      <c r="B1222" s="3">
        <v>46116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3" spans="1:49" x14ac:dyDescent="0.25">
      <c r="A1223" s="141"/>
      <c r="B1223" s="141">
        <v>46116</v>
      </c>
      <c r="C1223" s="142">
        <v>2025021221</v>
      </c>
      <c r="D1223" s="143" t="s">
        <v>16</v>
      </c>
      <c r="E1223" s="143" t="s">
        <v>11</v>
      </c>
      <c r="F1223" s="143"/>
      <c r="G1223" s="143"/>
      <c r="H1223" s="143" t="str">
        <f t="shared" si="99"/>
        <v>_</v>
      </c>
      <c r="I1223" s="143"/>
      <c r="J1223" s="143"/>
      <c r="K1223" s="143"/>
      <c r="L1223" s="143" t="str">
        <f t="shared" si="100"/>
        <v>_</v>
      </c>
      <c r="M1223" s="143"/>
      <c r="N1223" s="143">
        <f>IF(ISBLANK(Table2[[#This Row],[ActualResult]]), 0, 1)</f>
        <v>0</v>
      </c>
      <c r="O1223" s="143" t="str">
        <f>IF(ISBLANK(Table2[[#This Row],[ActualResult]]), "_", IF(Table2[[#This Row],[ActualWinner]]=Table2[[#This Row],[PredictedWinner]], "Y", "N"))</f>
        <v>_</v>
      </c>
      <c r="P12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143"/>
      <c r="S1223" s="143" t="str">
        <f t="shared" si="101"/>
        <v>_</v>
      </c>
      <c r="T12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143">
        <f>IF(Table2[[#This Row],[InterConf]]=1,IF(Table2[[#This Row],[InterDiv]]=0, 1, 0), 0)</f>
        <v>1</v>
      </c>
      <c r="W12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143"/>
      <c r="Y1223" s="143"/>
      <c r="Z1223" s="149">
        <f>IF(AND(Table2[[#This Row],[GameIsOver]]=1,Table2[[#This Row],[ActualHomeScore]]*Table2[[#This Row],[ActualAwayScore]]=0), 1,0)</f>
        <v>0</v>
      </c>
      <c r="AA12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3" s="143">
        <f>Table2[[#This Row],[ActualAwayScore]]-Table2[[#This Row],[PredictedAwayScore]]</f>
        <v>0</v>
      </c>
      <c r="AG1223" s="143">
        <f>Table2[[#This Row],[ActualHomeScore]]-Table2[[#This Row],[PredictedHomeScore]]</f>
        <v>0</v>
      </c>
      <c r="AH1223" s="143">
        <f t="shared" si="102"/>
        <v>0</v>
      </c>
      <c r="AI1223" s="143">
        <f t="shared" si="103"/>
        <v>0</v>
      </c>
      <c r="AJ1223" s="143"/>
      <c r="AK1223" s="141"/>
      <c r="AL1223" s="143">
        <f>IF(Table2[[#This Row],[GameIsOver]]=0,0,IF(Table2[[#This Row],[ActualWinner]]=Table2[[#This Row],[AwayTeam]], 1, 0))</f>
        <v>0</v>
      </c>
      <c r="AM1223" s="143">
        <f>IF(Table2[[#This Row],[GameIsOver]]=0,0,IF(Table2[[#This Row],[ActualWinner]]=Table2[[#This Row],[HomeTeam]], 1, 0))</f>
        <v>0</v>
      </c>
      <c r="AN12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3" s="143" t="str">
        <f>INDEX(Sheet5!$B$2:$AG$33, MATCH(Table2[[#This Row],[AwayTeam]],Sheet5!$A$2:$A$33, 0), MATCH(Table2[[#This Row],[HomeTeam]],Sheet5!$A$2:$A$33, 0))</f>
        <v>0-2-0</v>
      </c>
      <c r="AP1223" s="143" t="str">
        <f>INDEX(Sheet5!$B$2:$AG$33, MATCH(Table2[[#This Row],[HomeTeam]],Sheet5!$A$2:$A$33, 0), MATCH(Table2[[#This Row],[AwayTeam]],Sheet5!$A$2:$A$33, 0))</f>
        <v>2-0-0</v>
      </c>
      <c r="AQ1223" s="143">
        <f>IF(Table2[[#This Row],[GameHasShutOut]], 1, 0)</f>
        <v>0</v>
      </c>
      <c r="AR1223" s="143">
        <f>IF(Table2[[#This Row],[ActualAwayScore]] + Table2[[#This Row],[ActualHomeScore]] &gt;= 10, 1, 0)</f>
        <v>0</v>
      </c>
      <c r="AS1223" s="143">
        <f>IF(ABS(Table2[[#This Row],[ActualAwayScore]]-Table2[[#This Row],[ActualHomeScore]])&gt;=5, 1, 0)</f>
        <v>0</v>
      </c>
      <c r="AT1223" s="143">
        <f>IF(Table2[[#This Row],[ActualAwayScore]] + Table2[[#This Row],[ActualHomeScore]] &lt;= 3, 1, 0)</f>
        <v>1</v>
      </c>
      <c r="AU122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4" spans="1:49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5" spans="1:49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6" spans="1:49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7" spans="1:49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8" spans="1:49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9" spans="1:49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0" spans="1:49" x14ac:dyDescent="0.25">
      <c r="A1230" s="141"/>
      <c r="B1230" s="141">
        <v>46117</v>
      </c>
      <c r="C1230" s="142">
        <v>2025021228</v>
      </c>
      <c r="D1230" s="143" t="s">
        <v>12</v>
      </c>
      <c r="E1230" s="143" t="s">
        <v>25</v>
      </c>
      <c r="F1230" s="143"/>
      <c r="G1230" s="143"/>
      <c r="H1230" s="143" t="str">
        <f t="shared" si="99"/>
        <v>_</v>
      </c>
      <c r="I1230" s="143"/>
      <c r="J1230" s="143"/>
      <c r="K1230" s="143"/>
      <c r="L1230" s="143" t="str">
        <f t="shared" si="100"/>
        <v>_</v>
      </c>
      <c r="M1230" s="143"/>
      <c r="N1230" s="143">
        <f>IF(ISBLANK(Table2[[#This Row],[ActualResult]]), 0, 1)</f>
        <v>0</v>
      </c>
      <c r="O1230" s="143" t="str">
        <f>IF(ISBLANK(Table2[[#This Row],[ActualResult]]), "_", IF(Table2[[#This Row],[ActualWinner]]=Table2[[#This Row],[PredictedWinner]], "Y", "N"))</f>
        <v>_</v>
      </c>
      <c r="P12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143"/>
      <c r="S1230" s="143" t="str">
        <f t="shared" si="101"/>
        <v>_</v>
      </c>
      <c r="T12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143">
        <f>IF(Table2[[#This Row],[InterConf]]=1,IF(Table2[[#This Row],[InterDiv]]=0, 1, 0), 0)</f>
        <v>0</v>
      </c>
      <c r="W12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143"/>
      <c r="Y1230" s="143"/>
      <c r="Z1230" s="149">
        <f>IF(AND(Table2[[#This Row],[GameIsOver]]=1,Table2[[#This Row],[ActualHomeScore]]*Table2[[#This Row],[ActualAwayScore]]=0), 1,0)</f>
        <v>0</v>
      </c>
      <c r="AA12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30" s="143">
        <f>Table2[[#This Row],[ActualAwayScore]]-Table2[[#This Row],[PredictedAwayScore]]</f>
        <v>0</v>
      </c>
      <c r="AG1230" s="143">
        <f>Table2[[#This Row],[ActualHomeScore]]-Table2[[#This Row],[PredictedHomeScore]]</f>
        <v>0</v>
      </c>
      <c r="AH1230" s="143">
        <f t="shared" si="102"/>
        <v>0</v>
      </c>
      <c r="AI1230" s="143">
        <f t="shared" si="103"/>
        <v>0</v>
      </c>
      <c r="AJ1230" s="143"/>
      <c r="AK1230" s="141"/>
      <c r="AL1230" s="143">
        <f>IF(Table2[[#This Row],[GameIsOver]]=0,0,IF(Table2[[#This Row],[ActualWinner]]=Table2[[#This Row],[AwayTeam]], 1, 0))</f>
        <v>0</v>
      </c>
      <c r="AM1230" s="143">
        <f>IF(Table2[[#This Row],[GameIsOver]]=0,0,IF(Table2[[#This Row],[ActualWinner]]=Table2[[#This Row],[HomeTeam]], 1, 0))</f>
        <v>0</v>
      </c>
      <c r="AN12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0" s="143" t="str">
        <f>INDEX(Sheet5!$B$2:$AG$33, MATCH(Table2[[#This Row],[AwayTeam]],Sheet5!$A$2:$A$33, 0), MATCH(Table2[[#This Row],[HomeTeam]],Sheet5!$A$2:$A$33, 0))</f>
        <v>0-0-0</v>
      </c>
      <c r="AP1230" s="143" t="str">
        <f>INDEX(Sheet5!$B$2:$AG$33, MATCH(Table2[[#This Row],[HomeTeam]],Sheet5!$A$2:$A$33, 0), MATCH(Table2[[#This Row],[AwayTeam]],Sheet5!$A$2:$A$33, 0))</f>
        <v>0-0-0</v>
      </c>
      <c r="AQ1230" s="143">
        <f>IF(Table2[[#This Row],[GameHasShutOut]], 1, 0)</f>
        <v>0</v>
      </c>
      <c r="AR1230" s="143">
        <f>IF(Table2[[#This Row],[ActualAwayScore]] + Table2[[#This Row],[ActualHomeScore]] &gt;= 10, 1, 0)</f>
        <v>0</v>
      </c>
      <c r="AS1230" s="143">
        <f>IF(ABS(Table2[[#This Row],[ActualAwayScore]]-Table2[[#This Row],[ActualHomeScore]])&gt;=5, 1, 0)</f>
        <v>0</v>
      </c>
      <c r="AT1230" s="143">
        <f>IF(Table2[[#This Row],[ActualAwayScore]] + Table2[[#This Row],[ActualHomeScore]] &lt;= 3, 1, 0)</f>
        <v>1</v>
      </c>
      <c r="AU123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1" spans="1:49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2" spans="1:49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3" spans="1:49" x14ac:dyDescent="0.25">
      <c r="A1233" s="3"/>
      <c r="B1233" s="3">
        <v>46118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4" spans="1:49" x14ac:dyDescent="0.25">
      <c r="A1234" s="141"/>
      <c r="B1234" s="141">
        <v>46118</v>
      </c>
      <c r="C1234" s="142">
        <v>2025021232</v>
      </c>
      <c r="D1234" s="143" t="s">
        <v>34</v>
      </c>
      <c r="E1234" s="143" t="s">
        <v>27</v>
      </c>
      <c r="F1234" s="143"/>
      <c r="G1234" s="143"/>
      <c r="H1234" s="143" t="str">
        <f t="shared" si="99"/>
        <v>_</v>
      </c>
      <c r="I1234" s="143"/>
      <c r="J1234" s="143"/>
      <c r="K1234" s="143"/>
      <c r="L1234" s="143" t="str">
        <f t="shared" si="100"/>
        <v>_</v>
      </c>
      <c r="M1234" s="143"/>
      <c r="N1234" s="143">
        <f>IF(ISBLANK(Table2[[#This Row],[ActualResult]]), 0, 1)</f>
        <v>0</v>
      </c>
      <c r="O1234" s="143" t="str">
        <f>IF(ISBLANK(Table2[[#This Row],[ActualResult]]), "_", IF(Table2[[#This Row],[ActualWinner]]=Table2[[#This Row],[PredictedWinner]], "Y", "N"))</f>
        <v>_</v>
      </c>
      <c r="P123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143"/>
      <c r="S1234" s="143" t="str">
        <f t="shared" si="101"/>
        <v>_</v>
      </c>
      <c r="T123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143">
        <f>IF(Table2[[#This Row],[InterConf]]=1,IF(Table2[[#This Row],[InterDiv]]=0, 1, 0), 0)</f>
        <v>1</v>
      </c>
      <c r="W123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143"/>
      <c r="Y1234" s="143"/>
      <c r="Z1234" s="149">
        <f>IF(AND(Table2[[#This Row],[GameIsOver]]=1,Table2[[#This Row],[ActualHomeScore]]*Table2[[#This Row],[ActualAwayScore]]=0), 1,0)</f>
        <v>0</v>
      </c>
      <c r="AA123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4" s="143">
        <f>Table2[[#This Row],[ActualAwayScore]]-Table2[[#This Row],[PredictedAwayScore]]</f>
        <v>0</v>
      </c>
      <c r="AG1234" s="143">
        <f>Table2[[#This Row],[ActualHomeScore]]-Table2[[#This Row],[PredictedHomeScore]]</f>
        <v>0</v>
      </c>
      <c r="AH1234" s="143">
        <f t="shared" si="102"/>
        <v>0</v>
      </c>
      <c r="AI1234" s="143">
        <f t="shared" si="103"/>
        <v>0</v>
      </c>
      <c r="AJ1234" s="143"/>
      <c r="AK1234" s="141"/>
      <c r="AL1234" s="143">
        <f>IF(Table2[[#This Row],[GameIsOver]]=0,0,IF(Table2[[#This Row],[ActualWinner]]=Table2[[#This Row],[AwayTeam]], 1, 0))</f>
        <v>0</v>
      </c>
      <c r="AM1234" s="143">
        <f>IF(Table2[[#This Row],[GameIsOver]]=0,0,IF(Table2[[#This Row],[ActualWinner]]=Table2[[#This Row],[HomeTeam]], 1, 0))</f>
        <v>0</v>
      </c>
      <c r="AN123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4" s="143" t="str">
        <f>INDEX(Sheet5!$B$2:$AG$33, MATCH(Table2[[#This Row],[AwayTeam]],Sheet5!$A$2:$A$33, 0), MATCH(Table2[[#This Row],[HomeTeam]],Sheet5!$A$2:$A$33, 0))</f>
        <v>1-0-0</v>
      </c>
      <c r="AP1234" s="143" t="str">
        <f>INDEX(Sheet5!$B$2:$AG$33, MATCH(Table2[[#This Row],[HomeTeam]],Sheet5!$A$2:$A$33, 0), MATCH(Table2[[#This Row],[AwayTeam]],Sheet5!$A$2:$A$33, 0))</f>
        <v>0-0-1</v>
      </c>
      <c r="AQ1234" s="143">
        <f>IF(Table2[[#This Row],[GameHasShutOut]], 1, 0)</f>
        <v>0</v>
      </c>
      <c r="AR1234" s="143">
        <f>IF(Table2[[#This Row],[ActualAwayScore]] + Table2[[#This Row],[ActualHomeScore]] &gt;= 10, 1, 0)</f>
        <v>0</v>
      </c>
      <c r="AS1234" s="143">
        <f>IF(ABS(Table2[[#This Row],[ActualAwayScore]]-Table2[[#This Row],[ActualHomeScore]])&gt;=5, 1, 0)</f>
        <v>0</v>
      </c>
      <c r="AT1234" s="143">
        <f>IF(Table2[[#This Row],[ActualAwayScore]] + Table2[[#This Row],[ActualHomeScore]] &lt;= 3, 1, 0)</f>
        <v>1</v>
      </c>
      <c r="AU123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5" spans="1:49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6" spans="1:49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7" spans="1:49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8" spans="1:49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9" spans="1:49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0" spans="1:49" x14ac:dyDescent="0.25">
      <c r="A1240" s="3"/>
      <c r="B1240" s="3">
        <v>46119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1" spans="1:49" x14ac:dyDescent="0.25">
      <c r="A1241" s="3"/>
      <c r="B1241" s="3">
        <v>46119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42" spans="1:49" x14ac:dyDescent="0.25">
      <c r="A1242" s="3"/>
      <c r="B1242" s="3">
        <v>46119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3" spans="1:49" x14ac:dyDescent="0.25">
      <c r="A1243" s="3"/>
      <c r="B1243" s="3">
        <v>46119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4" spans="1:49" x14ac:dyDescent="0.25">
      <c r="A1244" s="3"/>
      <c r="B1244" s="3">
        <v>46119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5" spans="1:49" x14ac:dyDescent="0.25">
      <c r="A1245" s="141"/>
      <c r="B1245" s="141">
        <v>46119</v>
      </c>
      <c r="C1245" s="142">
        <v>2025021243</v>
      </c>
      <c r="D1245" s="143" t="s">
        <v>34</v>
      </c>
      <c r="E1245" s="143" t="s">
        <v>44</v>
      </c>
      <c r="F1245" s="143"/>
      <c r="G1245" s="143"/>
      <c r="H1245" s="143" t="str">
        <f t="shared" si="99"/>
        <v>_</v>
      </c>
      <c r="I1245" s="143"/>
      <c r="J1245" s="143"/>
      <c r="K1245" s="143"/>
      <c r="L1245" s="143" t="str">
        <f t="shared" si="100"/>
        <v>_</v>
      </c>
      <c r="M1245" s="143"/>
      <c r="N1245" s="143">
        <f>IF(ISBLANK(Table2[[#This Row],[ActualResult]]), 0, 1)</f>
        <v>0</v>
      </c>
      <c r="O1245" s="143" t="str">
        <f>IF(ISBLANK(Table2[[#This Row],[ActualResult]]), "_", IF(Table2[[#This Row],[ActualWinner]]=Table2[[#This Row],[PredictedWinner]], "Y", "N"))</f>
        <v>_</v>
      </c>
      <c r="P1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143"/>
      <c r="S1245" s="143" t="str">
        <f t="shared" si="101"/>
        <v>_</v>
      </c>
      <c r="T1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143">
        <f>IF(Table2[[#This Row],[InterConf]]=1,IF(Table2[[#This Row],[InterDiv]]=0, 1, 0), 0)</f>
        <v>1</v>
      </c>
      <c r="W1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143"/>
      <c r="Y1245" s="143"/>
      <c r="Z1245" s="149">
        <f>IF(AND(Table2[[#This Row],[GameIsOver]]=1,Table2[[#This Row],[ActualHomeScore]]*Table2[[#This Row],[ActualAwayScore]]=0), 1,0)</f>
        <v>0</v>
      </c>
      <c r="AA1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5" s="143">
        <f>Table2[[#This Row],[ActualAwayScore]]-Table2[[#This Row],[PredictedAwayScore]]</f>
        <v>0</v>
      </c>
      <c r="AG1245" s="143">
        <f>Table2[[#This Row],[ActualHomeScore]]-Table2[[#This Row],[PredictedHomeScore]]</f>
        <v>0</v>
      </c>
      <c r="AH1245" s="143">
        <f t="shared" si="102"/>
        <v>0</v>
      </c>
      <c r="AI1245" s="143">
        <f t="shared" si="103"/>
        <v>0</v>
      </c>
      <c r="AJ1245" s="143"/>
      <c r="AK1245" s="141"/>
      <c r="AL1245" s="143">
        <f>IF(Table2[[#This Row],[GameIsOver]]=0,0,IF(Table2[[#This Row],[ActualWinner]]=Table2[[#This Row],[AwayTeam]], 1, 0))</f>
        <v>0</v>
      </c>
      <c r="AM1245" s="143">
        <f>IF(Table2[[#This Row],[GameIsOver]]=0,0,IF(Table2[[#This Row],[ActualWinner]]=Table2[[#This Row],[HomeTeam]], 1, 0))</f>
        <v>0</v>
      </c>
      <c r="AN1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5" s="143" t="str">
        <f>INDEX(Sheet5!$B$2:$AG$33, MATCH(Table2[[#This Row],[AwayTeam]],Sheet5!$A$2:$A$33, 0), MATCH(Table2[[#This Row],[HomeTeam]],Sheet5!$A$2:$A$33, 0))</f>
        <v>0-1-0</v>
      </c>
      <c r="AP1245" s="143" t="str">
        <f>INDEX(Sheet5!$B$2:$AG$33, MATCH(Table2[[#This Row],[HomeTeam]],Sheet5!$A$2:$A$33, 0), MATCH(Table2[[#This Row],[AwayTeam]],Sheet5!$A$2:$A$33, 0))</f>
        <v>1-0-0</v>
      </c>
      <c r="AQ1245" s="143">
        <f>IF(Table2[[#This Row],[GameHasShutOut]], 1, 0)</f>
        <v>0</v>
      </c>
      <c r="AR1245" s="143">
        <f>IF(Table2[[#This Row],[ActualAwayScore]] + Table2[[#This Row],[ActualHomeScore]] &gt;= 10, 1, 0)</f>
        <v>0</v>
      </c>
      <c r="AS1245" s="143">
        <f>IF(ABS(Table2[[#This Row],[ActualAwayScore]]-Table2[[#This Row],[ActualHomeScore]])&gt;=5, 1, 0)</f>
        <v>0</v>
      </c>
      <c r="AT1245" s="143">
        <f>IF(Table2[[#This Row],[ActualAwayScore]] + Table2[[#This Row],[ActualHomeScore]] &lt;= 3, 1, 0)</f>
        <v>1</v>
      </c>
      <c r="AU1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6" spans="1:49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7" spans="1:49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8" spans="1:49" x14ac:dyDescent="0.25">
      <c r="A1248" s="141"/>
      <c r="B1248" s="141">
        <v>46120</v>
      </c>
      <c r="C1248" s="142">
        <v>2025021246</v>
      </c>
      <c r="D1248" s="143" t="s">
        <v>22</v>
      </c>
      <c r="E1248" s="143" t="s">
        <v>37</v>
      </c>
      <c r="F1248" s="143"/>
      <c r="G1248" s="143"/>
      <c r="H1248" s="143" t="str">
        <f t="shared" si="99"/>
        <v>_</v>
      </c>
      <c r="I1248" s="143"/>
      <c r="J1248" s="143"/>
      <c r="K1248" s="143"/>
      <c r="L1248" s="143" t="str">
        <f t="shared" si="100"/>
        <v>_</v>
      </c>
      <c r="M1248" s="143"/>
      <c r="N1248" s="143">
        <f>IF(ISBLANK(Table2[[#This Row],[ActualResult]]), 0, 1)</f>
        <v>0</v>
      </c>
      <c r="O1248" s="143" t="str">
        <f>IF(ISBLANK(Table2[[#This Row],[ActualResult]]), "_", IF(Table2[[#This Row],[ActualWinner]]=Table2[[#This Row],[PredictedWinner]], "Y", "N"))</f>
        <v>_</v>
      </c>
      <c r="P12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143"/>
      <c r="S1248" s="143" t="str">
        <f t="shared" si="101"/>
        <v>_</v>
      </c>
      <c r="T12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143">
        <f>IF(Table2[[#This Row],[InterConf]]=1,IF(Table2[[#This Row],[InterDiv]]=0, 1, 0), 0)</f>
        <v>0</v>
      </c>
      <c r="W12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143"/>
      <c r="Y1248" s="143"/>
      <c r="Z1248" s="149">
        <f>IF(AND(Table2[[#This Row],[GameIsOver]]=1,Table2[[#This Row],[ActualHomeScore]]*Table2[[#This Row],[ActualAwayScore]]=0), 1,0)</f>
        <v>0</v>
      </c>
      <c r="AA12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8" s="143">
        <f>Table2[[#This Row],[ActualAwayScore]]-Table2[[#This Row],[PredictedAwayScore]]</f>
        <v>0</v>
      </c>
      <c r="AG1248" s="143">
        <f>Table2[[#This Row],[ActualHomeScore]]-Table2[[#This Row],[PredictedHomeScore]]</f>
        <v>0</v>
      </c>
      <c r="AH1248" s="143">
        <f t="shared" si="102"/>
        <v>0</v>
      </c>
      <c r="AI1248" s="143">
        <f t="shared" si="103"/>
        <v>0</v>
      </c>
      <c r="AJ1248" s="143"/>
      <c r="AK1248" s="141"/>
      <c r="AL1248" s="143">
        <f>IF(Table2[[#This Row],[GameIsOver]]=0,0,IF(Table2[[#This Row],[ActualWinner]]=Table2[[#This Row],[AwayTeam]], 1, 0))</f>
        <v>0</v>
      </c>
      <c r="AM1248" s="143">
        <f>IF(Table2[[#This Row],[GameIsOver]]=0,0,IF(Table2[[#This Row],[ActualWinner]]=Table2[[#This Row],[HomeTeam]], 1, 0))</f>
        <v>0</v>
      </c>
      <c r="AN12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8" s="143" t="str">
        <f>INDEX(Sheet5!$B$2:$AG$33, MATCH(Table2[[#This Row],[AwayTeam]],Sheet5!$A$2:$A$33, 0), MATCH(Table2[[#This Row],[HomeTeam]],Sheet5!$A$2:$A$33, 0))</f>
        <v>0-0-0</v>
      </c>
      <c r="AP1248" s="143" t="str">
        <f>INDEX(Sheet5!$B$2:$AG$33, MATCH(Table2[[#This Row],[HomeTeam]],Sheet5!$A$2:$A$33, 0), MATCH(Table2[[#This Row],[AwayTeam]],Sheet5!$A$2:$A$33, 0))</f>
        <v>0-0-0</v>
      </c>
      <c r="AQ1248" s="143">
        <f>IF(Table2[[#This Row],[GameHasShutOut]], 1, 0)</f>
        <v>0</v>
      </c>
      <c r="AR1248" s="143">
        <f>IF(Table2[[#This Row],[ActualAwayScore]] + Table2[[#This Row],[ActualHomeScore]] &gt;= 10, 1, 0)</f>
        <v>0</v>
      </c>
      <c r="AS1248" s="143">
        <f>IF(ABS(Table2[[#This Row],[ActualAwayScore]]-Table2[[#This Row],[ActualHomeScore]])&gt;=5, 1, 0)</f>
        <v>0</v>
      </c>
      <c r="AT1248" s="143">
        <f>IF(Table2[[#This Row],[ActualAwayScore]] + Table2[[#This Row],[ActualHomeScore]] &lt;= 3, 1, 0)</f>
        <v>1</v>
      </c>
      <c r="AU12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9" spans="1:49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0" spans="1:49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1" spans="1:49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2" spans="1:49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3" spans="1:49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4" spans="1:49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5" spans="1:49" x14ac:dyDescent="0.25">
      <c r="A1255" s="3"/>
      <c r="B1255" s="3">
        <v>46121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6" spans="1:49" x14ac:dyDescent="0.25">
      <c r="A1256" s="3"/>
      <c r="B1256" s="3">
        <v>46121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6" s="2" t="str">
        <f>INDEX(Sheet5!$B$2:$AG$33, MATCH(Table2[[#This Row],[AwayTeam]],Sheet5!$A$2:$A$33, 0), MATCH(Table2[[#This Row],[HomeTeam]],Sheet5!$A$2:$A$33, 0))</f>
        <v>1-1-0</v>
      </c>
      <c r="AP1256" s="2" t="str">
        <f>INDEX(Sheet5!$B$2:$AG$33, MATCH(Table2[[#This Row],[HomeTeam]],Sheet5!$A$2:$A$33, 0), MATCH(Table2[[#This Row],[AwayTeam]],Sheet5!$A$2:$A$33, 0))</f>
        <v>1-1-0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7" spans="1:49" x14ac:dyDescent="0.25">
      <c r="A1257" s="3"/>
      <c r="B1257" s="3">
        <v>46121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8" spans="1:49" x14ac:dyDescent="0.25">
      <c r="A1258" s="3"/>
      <c r="B1258" s="3">
        <v>46121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25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59" spans="1:49" x14ac:dyDescent="0.25">
      <c r="A1259" s="3"/>
      <c r="B1259" s="3">
        <v>46121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0" spans="1:49" x14ac:dyDescent="0.25">
      <c r="A1260" s="3"/>
      <c r="B1260" s="3">
        <v>46121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1" spans="1:49" x14ac:dyDescent="0.25">
      <c r="A1261" s="3"/>
      <c r="B1261" s="3">
        <v>46121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2" spans="1:49" x14ac:dyDescent="0.25">
      <c r="A1262" s="141"/>
      <c r="B1262" s="141">
        <v>46121</v>
      </c>
      <c r="C1262" s="142">
        <v>2025021260</v>
      </c>
      <c r="D1262" s="143" t="s">
        <v>24</v>
      </c>
      <c r="E1262" s="143" t="s">
        <v>27</v>
      </c>
      <c r="F1262" s="143"/>
      <c r="G1262" s="143"/>
      <c r="H1262" s="143" t="str">
        <f t="shared" si="99"/>
        <v>_</v>
      </c>
      <c r="I1262" s="143"/>
      <c r="J1262" s="143"/>
      <c r="K1262" s="143"/>
      <c r="L1262" s="143" t="str">
        <f t="shared" si="100"/>
        <v>_</v>
      </c>
      <c r="M1262" s="143"/>
      <c r="N1262" s="143">
        <f>IF(ISBLANK(Table2[[#This Row],[ActualResult]]), 0, 1)</f>
        <v>0</v>
      </c>
      <c r="O1262" s="143" t="str">
        <f>IF(ISBLANK(Table2[[#This Row],[ActualResult]]), "_", IF(Table2[[#This Row],[ActualWinner]]=Table2[[#This Row],[PredictedWinner]], "Y", "N"))</f>
        <v>_</v>
      </c>
      <c r="P12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143"/>
      <c r="S1262" s="143" t="str">
        <f t="shared" si="101"/>
        <v>_</v>
      </c>
      <c r="T12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143">
        <f>IF(Table2[[#This Row],[InterConf]]=1,IF(Table2[[#This Row],[InterDiv]]=0, 1, 0), 0)</f>
        <v>0</v>
      </c>
      <c r="W12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143"/>
      <c r="Y1262" s="143"/>
      <c r="Z1262" s="149">
        <f>IF(AND(Table2[[#This Row],[GameIsOver]]=1,Table2[[#This Row],[ActualHomeScore]]*Table2[[#This Row],[ActualAwayScore]]=0), 1,0)</f>
        <v>0</v>
      </c>
      <c r="AA12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2" s="143">
        <f>Table2[[#This Row],[ActualAwayScore]]-Table2[[#This Row],[PredictedAwayScore]]</f>
        <v>0</v>
      </c>
      <c r="AG1262" s="143">
        <f>Table2[[#This Row],[ActualHomeScore]]-Table2[[#This Row],[PredictedHomeScore]]</f>
        <v>0</v>
      </c>
      <c r="AH1262" s="143">
        <f t="shared" si="102"/>
        <v>0</v>
      </c>
      <c r="AI1262" s="143">
        <f t="shared" si="103"/>
        <v>0</v>
      </c>
      <c r="AJ1262" s="143"/>
      <c r="AK1262" s="141"/>
      <c r="AL1262" s="143">
        <f>IF(Table2[[#This Row],[GameIsOver]]=0,0,IF(Table2[[#This Row],[ActualWinner]]=Table2[[#This Row],[AwayTeam]], 1, 0))</f>
        <v>0</v>
      </c>
      <c r="AM1262" s="143">
        <f>IF(Table2[[#This Row],[GameIsOver]]=0,0,IF(Table2[[#This Row],[ActualWinner]]=Table2[[#This Row],[HomeTeam]], 1, 0))</f>
        <v>0</v>
      </c>
      <c r="AN12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2" s="143" t="str">
        <f>INDEX(Sheet5!$B$2:$AG$33, MATCH(Table2[[#This Row],[AwayTeam]],Sheet5!$A$2:$A$33, 0), MATCH(Table2[[#This Row],[HomeTeam]],Sheet5!$A$2:$A$33, 0))</f>
        <v>0-0-1</v>
      </c>
      <c r="AP1262" s="143" t="str">
        <f>INDEX(Sheet5!$B$2:$AG$33, MATCH(Table2[[#This Row],[HomeTeam]],Sheet5!$A$2:$A$33, 0), MATCH(Table2[[#This Row],[AwayTeam]],Sheet5!$A$2:$A$33, 0))</f>
        <v>1-0-0</v>
      </c>
      <c r="AQ1262" s="143">
        <f>IF(Table2[[#This Row],[GameHasShutOut]], 1, 0)</f>
        <v>0</v>
      </c>
      <c r="AR1262" s="143">
        <f>IF(Table2[[#This Row],[ActualAwayScore]] + Table2[[#This Row],[ActualHomeScore]] &gt;= 10, 1, 0)</f>
        <v>0</v>
      </c>
      <c r="AS1262" s="143">
        <f>IF(ABS(Table2[[#This Row],[ActualAwayScore]]-Table2[[#This Row],[ActualHomeScore]])&gt;=5, 1, 0)</f>
        <v>0</v>
      </c>
      <c r="AT1262" s="143">
        <f>IF(Table2[[#This Row],[ActualAwayScore]] + Table2[[#This Row],[ActualHomeScore]] &lt;= 3, 1, 0)</f>
        <v>1</v>
      </c>
      <c r="AU126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3" spans="1:49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4" spans="1:49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5" spans="1:49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6" spans="1:49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7" spans="1:49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8" spans="1:49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8" s="2" t="str">
        <f>INDEX(Sheet5!$B$2:$AG$33, MATCH(Table2[[#This Row],[AwayTeam]],Sheet5!$A$2:$A$33, 0), MATCH(Table2[[#This Row],[HomeTeam]],Sheet5!$A$2:$A$33, 0))</f>
        <v>1-1-0</v>
      </c>
      <c r="AP1268" s="2" t="str">
        <f>INDEX(Sheet5!$B$2:$AG$33, MATCH(Table2[[#This Row],[HomeTeam]],Sheet5!$A$2:$A$33, 0), MATCH(Table2[[#This Row],[AwayTeam]],Sheet5!$A$2:$A$33, 0))</f>
        <v>1-1-0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9" spans="1:49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0" spans="1:49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1" spans="1:49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2" spans="1:49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3" spans="1:49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4" spans="1:49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5" spans="1:49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76" spans="1:49" x14ac:dyDescent="0.25">
      <c r="A1276" s="3"/>
      <c r="B1276" s="3">
        <v>46123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7" spans="1:49" x14ac:dyDescent="0.25">
      <c r="A1277" s="141"/>
      <c r="B1277" s="141">
        <v>46123</v>
      </c>
      <c r="C1277" s="142">
        <v>2025021275</v>
      </c>
      <c r="D1277" s="143" t="s">
        <v>24</v>
      </c>
      <c r="E1277" s="143" t="s">
        <v>37</v>
      </c>
      <c r="F1277" s="143"/>
      <c r="G1277" s="143"/>
      <c r="H1277" s="143" t="str">
        <f t="shared" si="99"/>
        <v>_</v>
      </c>
      <c r="I1277" s="143"/>
      <c r="J1277" s="143"/>
      <c r="K1277" s="143"/>
      <c r="L1277" s="143" t="str">
        <f t="shared" si="100"/>
        <v>_</v>
      </c>
      <c r="M1277" s="143"/>
      <c r="N1277" s="143">
        <f>IF(ISBLANK(Table2[[#This Row],[ActualResult]]), 0, 1)</f>
        <v>0</v>
      </c>
      <c r="O1277" s="143" t="str">
        <f>IF(ISBLANK(Table2[[#This Row],[ActualResult]]), "_", IF(Table2[[#This Row],[ActualWinner]]=Table2[[#This Row],[PredictedWinner]], "Y", "N"))</f>
        <v>_</v>
      </c>
      <c r="P12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143"/>
      <c r="S1277" s="143" t="str">
        <f t="shared" si="101"/>
        <v>_</v>
      </c>
      <c r="T12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143">
        <f>IF(Table2[[#This Row],[InterConf]]=1,IF(Table2[[#This Row],[InterDiv]]=0, 1, 0), 0)</f>
        <v>0</v>
      </c>
      <c r="W12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143"/>
      <c r="Y1277" s="143"/>
      <c r="Z1277" s="149">
        <f>IF(AND(Table2[[#This Row],[GameIsOver]]=1,Table2[[#This Row],[ActualHomeScore]]*Table2[[#This Row],[ActualAwayScore]]=0), 1,0)</f>
        <v>0</v>
      </c>
      <c r="AA12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7" s="143">
        <f>Table2[[#This Row],[ActualAwayScore]]-Table2[[#This Row],[PredictedAwayScore]]</f>
        <v>0</v>
      </c>
      <c r="AG1277" s="143">
        <f>Table2[[#This Row],[ActualHomeScore]]-Table2[[#This Row],[PredictedHomeScore]]</f>
        <v>0</v>
      </c>
      <c r="AH1277" s="143">
        <f t="shared" si="102"/>
        <v>0</v>
      </c>
      <c r="AI1277" s="143">
        <f t="shared" si="103"/>
        <v>0</v>
      </c>
      <c r="AJ1277" s="143"/>
      <c r="AK1277" s="141"/>
      <c r="AL1277" s="143">
        <f>IF(Table2[[#This Row],[GameIsOver]]=0,0,IF(Table2[[#This Row],[ActualWinner]]=Table2[[#This Row],[AwayTeam]], 1, 0))</f>
        <v>0</v>
      </c>
      <c r="AM1277" s="143">
        <f>IF(Table2[[#This Row],[GameIsOver]]=0,0,IF(Table2[[#This Row],[ActualWinner]]=Table2[[#This Row],[HomeTeam]], 1, 0))</f>
        <v>0</v>
      </c>
      <c r="AN12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7" s="143" t="str">
        <f>INDEX(Sheet5!$B$2:$AG$33, MATCH(Table2[[#This Row],[AwayTeam]],Sheet5!$A$2:$A$33, 0), MATCH(Table2[[#This Row],[HomeTeam]],Sheet5!$A$2:$A$33, 0))</f>
        <v>0-1-0</v>
      </c>
      <c r="AP1277" s="143" t="str">
        <f>INDEX(Sheet5!$B$2:$AG$33, MATCH(Table2[[#This Row],[HomeTeam]],Sheet5!$A$2:$A$33, 0), MATCH(Table2[[#This Row],[AwayTeam]],Sheet5!$A$2:$A$33, 0))</f>
        <v>1-0-0</v>
      </c>
      <c r="AQ1277" s="143">
        <f>IF(Table2[[#This Row],[GameHasShutOut]], 1, 0)</f>
        <v>0</v>
      </c>
      <c r="AR1277" s="143">
        <f>IF(Table2[[#This Row],[ActualAwayScore]] + Table2[[#This Row],[ActualHomeScore]] &gt;= 10, 1, 0)</f>
        <v>0</v>
      </c>
      <c r="AS1277" s="143">
        <f>IF(ABS(Table2[[#This Row],[ActualAwayScore]]-Table2[[#This Row],[ActualHomeScore]])&gt;=5, 1, 0)</f>
        <v>0</v>
      </c>
      <c r="AT1277" s="143">
        <f>IF(Table2[[#This Row],[ActualAwayScore]] + Table2[[#This Row],[ActualHomeScore]] &lt;= 3, 1, 0)</f>
        <v>1</v>
      </c>
      <c r="AU12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8" spans="1:49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9" spans="1:49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0" spans="1:49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1" spans="1:49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2" spans="1:49" x14ac:dyDescent="0.25">
      <c r="A1282" s="3"/>
      <c r="B1282" s="3">
        <v>46124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3" spans="1:49" x14ac:dyDescent="0.25">
      <c r="A1283" s="141"/>
      <c r="B1283" s="141">
        <v>46124</v>
      </c>
      <c r="C1283" s="142">
        <v>2025021281</v>
      </c>
      <c r="D1283" s="143" t="s">
        <v>14</v>
      </c>
      <c r="E1283" s="143" t="s">
        <v>23</v>
      </c>
      <c r="F1283" s="143"/>
      <c r="G1283" s="143"/>
      <c r="H1283" s="143" t="str">
        <f t="shared" ref="H1283:H1314" si="104">IF(AND(ISBLANK($F1283),ISBLANK($G1283)),"_",IF($F1283&gt;$G1283,$D1283,$E1283))</f>
        <v>_</v>
      </c>
      <c r="I1283" s="143"/>
      <c r="J1283" s="143"/>
      <c r="K1283" s="143"/>
      <c r="L1283" s="143" t="str">
        <f t="shared" ref="L1283:L1314" si="105">IF(OR($J1283=$K1283,AND(ISBLANK($J1283),ISBLANK($K1283))),"_",IF($J1283&gt;$K1283,$D1283,$E1283))</f>
        <v>_</v>
      </c>
      <c r="M1283" s="143"/>
      <c r="N1283" s="143">
        <f>IF(ISBLANK(Table2[[#This Row],[ActualResult]]), 0, 1)</f>
        <v>0</v>
      </c>
      <c r="O1283" s="143" t="str">
        <f>IF(ISBLANK(Table2[[#This Row],[ActualResult]]), "_", IF(Table2[[#This Row],[ActualWinner]]=Table2[[#This Row],[PredictedWinner]], "Y", "N"))</f>
        <v>_</v>
      </c>
      <c r="P12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143"/>
      <c r="S1283" s="143" t="str">
        <f t="shared" ref="S1283:S1314" si="106">IF($L1283="_", "_", IF($L1283=$D1283,$E1283,$D1283))</f>
        <v>_</v>
      </c>
      <c r="T12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143">
        <f>IF(Table2[[#This Row],[InterConf]]=1,IF(Table2[[#This Row],[InterDiv]]=0, 1, 0), 0)</f>
        <v>1</v>
      </c>
      <c r="W12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143"/>
      <c r="Y1283" s="143"/>
      <c r="Z1283" s="149">
        <f>IF(AND(Table2[[#This Row],[GameIsOver]]=1,Table2[[#This Row],[ActualHomeScore]]*Table2[[#This Row],[ActualAwayScore]]=0), 1,0)</f>
        <v>0</v>
      </c>
      <c r="AA12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3" s="143">
        <f>Table2[[#This Row],[ActualAwayScore]]-Table2[[#This Row],[PredictedAwayScore]]</f>
        <v>0</v>
      </c>
      <c r="AG1283" s="143">
        <f>Table2[[#This Row],[ActualHomeScore]]-Table2[[#This Row],[PredictedHomeScore]]</f>
        <v>0</v>
      </c>
      <c r="AH1283" s="143">
        <f t="shared" ref="AH1283:AH1314" si="107">SUMIF($B$3:$B$1315, $B1283, $AF$3:$AF$1315)</f>
        <v>0</v>
      </c>
      <c r="AI1283" s="143">
        <f t="shared" ref="AI1283:AI1314" si="108">SUMIF($B$3:$B$1315, $B1283, $AG$3:$AG$1315)</f>
        <v>0</v>
      </c>
      <c r="AJ1283" s="143"/>
      <c r="AK1283" s="141"/>
      <c r="AL1283" s="143">
        <f>IF(Table2[[#This Row],[GameIsOver]]=0,0,IF(Table2[[#This Row],[ActualWinner]]=Table2[[#This Row],[AwayTeam]], 1, 0))</f>
        <v>0</v>
      </c>
      <c r="AM1283" s="143">
        <f>IF(Table2[[#This Row],[GameIsOver]]=0,0,IF(Table2[[#This Row],[ActualWinner]]=Table2[[#This Row],[HomeTeam]], 1, 0))</f>
        <v>0</v>
      </c>
      <c r="AN12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3" s="143" t="str">
        <f>INDEX(Sheet5!$B$2:$AG$33, MATCH(Table2[[#This Row],[AwayTeam]],Sheet5!$A$2:$A$33, 0), MATCH(Table2[[#This Row],[HomeTeam]],Sheet5!$A$2:$A$33, 0))</f>
        <v>1-1-0</v>
      </c>
      <c r="AP1283" s="143" t="str">
        <f>INDEX(Sheet5!$B$2:$AG$33, MATCH(Table2[[#This Row],[HomeTeam]],Sheet5!$A$2:$A$33, 0), MATCH(Table2[[#This Row],[AwayTeam]],Sheet5!$A$2:$A$33, 0))</f>
        <v>1-1-0</v>
      </c>
      <c r="AQ1283" s="143">
        <f>IF(Table2[[#This Row],[GameHasShutOut]], 1, 0)</f>
        <v>0</v>
      </c>
      <c r="AR1283" s="143">
        <f>IF(Table2[[#This Row],[ActualAwayScore]] + Table2[[#This Row],[ActualHomeScore]] &gt;= 10, 1, 0)</f>
        <v>0</v>
      </c>
      <c r="AS1283" s="143">
        <f>IF(ABS(Table2[[#This Row],[ActualAwayScore]]-Table2[[#This Row],[ActualHomeScore]])&gt;=5, 1, 0)</f>
        <v>0</v>
      </c>
      <c r="AT1283" s="143">
        <f>IF(Table2[[#This Row],[ActualAwayScore]] + Table2[[#This Row],[ActualHomeScore]] &lt;= 3, 1, 0)</f>
        <v>1</v>
      </c>
      <c r="AU12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84" spans="1:49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5" spans="1:49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6" spans="1:49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6" s="2" t="str">
        <f>INDEX(Sheet5!$B$2:$AG$33, MATCH(Table2[[#This Row],[AwayTeam]],Sheet5!$A$2:$A$33, 0), MATCH(Table2[[#This Row],[HomeTeam]],Sheet5!$A$2:$A$33, 0))</f>
        <v>3-0-0</v>
      </c>
      <c r="AP1286" s="2" t="str">
        <f>INDEX(Sheet5!$B$2:$AG$33, MATCH(Table2[[#This Row],[HomeTeam]],Sheet5!$A$2:$A$33, 0), MATCH(Table2[[#This Row],[AwayTeam]],Sheet5!$A$2:$A$33, 0))</f>
        <v>0-0-3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7" spans="1:49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8" spans="1:49" x14ac:dyDescent="0.25">
      <c r="A1288" s="3"/>
      <c r="B1288" s="3">
        <v>46125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9" spans="1:49" x14ac:dyDescent="0.25">
      <c r="A1289" s="3"/>
      <c r="B1289" s="3">
        <v>46125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0" spans="1:49" x14ac:dyDescent="0.25">
      <c r="A1290" s="3"/>
      <c r="B1290" s="3">
        <v>46125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1" spans="1:49" x14ac:dyDescent="0.25">
      <c r="A1291" s="3"/>
      <c r="B1291" s="3">
        <v>46125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2" spans="1:49" x14ac:dyDescent="0.25">
      <c r="A1292" s="3"/>
      <c r="B1292" s="3">
        <v>46125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3" spans="1:49" x14ac:dyDescent="0.25">
      <c r="A1293" s="141"/>
      <c r="B1293" s="141">
        <v>46125</v>
      </c>
      <c r="C1293" s="142">
        <v>2025021291</v>
      </c>
      <c r="D1293" s="143" t="s">
        <v>27</v>
      </c>
      <c r="E1293" s="143" t="s">
        <v>11</v>
      </c>
      <c r="F1293" s="143"/>
      <c r="G1293" s="143"/>
      <c r="H1293" s="143" t="str">
        <f t="shared" si="104"/>
        <v>_</v>
      </c>
      <c r="I1293" s="143"/>
      <c r="J1293" s="143"/>
      <c r="K1293" s="143"/>
      <c r="L1293" s="143" t="str">
        <f t="shared" si="105"/>
        <v>_</v>
      </c>
      <c r="M1293" s="143"/>
      <c r="N1293" s="143">
        <f>IF(ISBLANK(Table2[[#This Row],[ActualResult]]), 0, 1)</f>
        <v>0</v>
      </c>
      <c r="O1293" s="143" t="str">
        <f>IF(ISBLANK(Table2[[#This Row],[ActualResult]]), "_", IF(Table2[[#This Row],[ActualWinner]]=Table2[[#This Row],[PredictedWinner]], "Y", "N"))</f>
        <v>_</v>
      </c>
      <c r="P129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143"/>
      <c r="S1293" s="143" t="str">
        <f t="shared" si="106"/>
        <v>_</v>
      </c>
      <c r="T129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143">
        <f>IF(Table2[[#This Row],[InterConf]]=1,IF(Table2[[#This Row],[InterDiv]]=0, 1, 0), 0)</f>
        <v>0</v>
      </c>
      <c r="W129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143"/>
      <c r="Y1293" s="143"/>
      <c r="Z1293" s="149">
        <f>IF(AND(Table2[[#This Row],[GameIsOver]]=1,Table2[[#This Row],[ActualHomeScore]]*Table2[[#This Row],[ActualAwayScore]]=0), 1,0)</f>
        <v>0</v>
      </c>
      <c r="AA129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3" s="143">
        <f>Table2[[#This Row],[ActualAwayScore]]-Table2[[#This Row],[PredictedAwayScore]]</f>
        <v>0</v>
      </c>
      <c r="AG1293" s="143">
        <f>Table2[[#This Row],[ActualHomeScore]]-Table2[[#This Row],[PredictedHomeScore]]</f>
        <v>0</v>
      </c>
      <c r="AH1293" s="143">
        <f t="shared" si="107"/>
        <v>0</v>
      </c>
      <c r="AI1293" s="143">
        <f t="shared" si="108"/>
        <v>0</v>
      </c>
      <c r="AJ1293" s="143"/>
      <c r="AK1293" s="141"/>
      <c r="AL1293" s="143">
        <f>IF(Table2[[#This Row],[GameIsOver]]=0,0,IF(Table2[[#This Row],[ActualWinner]]=Table2[[#This Row],[AwayTeam]], 1, 0))</f>
        <v>0</v>
      </c>
      <c r="AM1293" s="143">
        <f>IF(Table2[[#This Row],[GameIsOver]]=0,0,IF(Table2[[#This Row],[ActualWinner]]=Table2[[#This Row],[HomeTeam]], 1, 0))</f>
        <v>0</v>
      </c>
      <c r="AN129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3" s="143" t="str">
        <f>INDEX(Sheet5!$B$2:$AG$33, MATCH(Table2[[#This Row],[AwayTeam]],Sheet5!$A$2:$A$33, 0), MATCH(Table2[[#This Row],[HomeTeam]],Sheet5!$A$2:$A$33, 0))</f>
        <v>0-0-1</v>
      </c>
      <c r="AP1293" s="143" t="str">
        <f>INDEX(Sheet5!$B$2:$AG$33, MATCH(Table2[[#This Row],[HomeTeam]],Sheet5!$A$2:$A$33, 0), MATCH(Table2[[#This Row],[AwayTeam]],Sheet5!$A$2:$A$33, 0))</f>
        <v>1-0-0</v>
      </c>
      <c r="AQ1293" s="143">
        <f>IF(Table2[[#This Row],[GameHasShutOut]], 1, 0)</f>
        <v>0</v>
      </c>
      <c r="AR1293" s="143">
        <f>IF(Table2[[#This Row],[ActualAwayScore]] + Table2[[#This Row],[ActualHomeScore]] &gt;= 10, 1, 0)</f>
        <v>0</v>
      </c>
      <c r="AS1293" s="143">
        <f>IF(ABS(Table2[[#This Row],[ActualAwayScore]]-Table2[[#This Row],[ActualHomeScore]])&gt;=5, 1, 0)</f>
        <v>0</v>
      </c>
      <c r="AT1293" s="143">
        <f>IF(Table2[[#This Row],[ActualAwayScore]] + Table2[[#This Row],[ActualHomeScore]] &lt;= 3, 1, 0)</f>
        <v>1</v>
      </c>
      <c r="AU129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4" spans="1:49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5" spans="1:49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6" spans="1:49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6" s="2" t="str">
        <f>INDEX(Sheet5!$B$2:$AG$33, MATCH(Table2[[#This Row],[AwayTeam]],Sheet5!$A$2:$A$33, 0), MATCH(Table2[[#This Row],[HomeTeam]],Sheet5!$A$2:$A$33, 0))</f>
        <v>0-1-1</v>
      </c>
      <c r="AP1296" s="2" t="str">
        <f>INDEX(Sheet5!$B$2:$AG$33, MATCH(Table2[[#This Row],[HomeTeam]],Sheet5!$A$2:$A$33, 0), MATCH(Table2[[#This Row],[AwayTeam]],Sheet5!$A$2:$A$33, 0))</f>
        <v>2-0-0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7" spans="1:49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8" spans="1:49" x14ac:dyDescent="0.25">
      <c r="A1298" s="3"/>
      <c r="B1298" s="3">
        <v>46126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9" spans="1:49" x14ac:dyDescent="0.25">
      <c r="A1299" s="3"/>
      <c r="B1299" s="3">
        <v>46126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0" spans="1:49" x14ac:dyDescent="0.25">
      <c r="A1300" s="3"/>
      <c r="B1300" s="3">
        <v>46126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01" spans="1:49" x14ac:dyDescent="0.25">
      <c r="A1301" s="3"/>
      <c r="B1301" s="3">
        <v>46126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2" spans="1:49" x14ac:dyDescent="0.25">
      <c r="A1302" s="141"/>
      <c r="B1302" s="141">
        <v>46126</v>
      </c>
      <c r="C1302" s="142">
        <v>2025021300</v>
      </c>
      <c r="D1302" s="143" t="s">
        <v>27</v>
      </c>
      <c r="E1302" s="143" t="s">
        <v>24</v>
      </c>
      <c r="F1302" s="143"/>
      <c r="G1302" s="143"/>
      <c r="H1302" s="143" t="str">
        <f t="shared" si="104"/>
        <v>_</v>
      </c>
      <c r="I1302" s="143"/>
      <c r="J1302" s="143"/>
      <c r="K1302" s="143"/>
      <c r="L1302" s="143" t="str">
        <f t="shared" si="105"/>
        <v>_</v>
      </c>
      <c r="M1302" s="143"/>
      <c r="N1302" s="143">
        <f>IF(ISBLANK(Table2[[#This Row],[ActualResult]]), 0, 1)</f>
        <v>0</v>
      </c>
      <c r="O1302" s="143" t="str">
        <f>IF(ISBLANK(Table2[[#This Row],[ActualResult]]), "_", IF(Table2[[#This Row],[ActualWinner]]=Table2[[#This Row],[PredictedWinner]], "Y", "N"))</f>
        <v>_</v>
      </c>
      <c r="P1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143"/>
      <c r="S1302" s="143" t="str">
        <f t="shared" si="106"/>
        <v>_</v>
      </c>
      <c r="T1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143">
        <f>IF(Table2[[#This Row],[InterConf]]=1,IF(Table2[[#This Row],[InterDiv]]=0, 1, 0), 0)</f>
        <v>0</v>
      </c>
      <c r="W1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143"/>
      <c r="Y1302" s="143"/>
      <c r="Z1302" s="149">
        <f>IF(AND(Table2[[#This Row],[GameIsOver]]=1,Table2[[#This Row],[ActualHomeScore]]*Table2[[#This Row],[ActualAwayScore]]=0), 1,0)</f>
        <v>0</v>
      </c>
      <c r="AA1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2" s="143">
        <f>Table2[[#This Row],[ActualAwayScore]]-Table2[[#This Row],[PredictedAwayScore]]</f>
        <v>0</v>
      </c>
      <c r="AG1302" s="143">
        <f>Table2[[#This Row],[ActualHomeScore]]-Table2[[#This Row],[PredictedHomeScore]]</f>
        <v>0</v>
      </c>
      <c r="AH1302" s="143">
        <f t="shared" si="107"/>
        <v>0</v>
      </c>
      <c r="AI1302" s="143">
        <f t="shared" si="108"/>
        <v>0</v>
      </c>
      <c r="AJ1302" s="143"/>
      <c r="AK1302" s="141"/>
      <c r="AL1302" s="143">
        <f>IF(Table2[[#This Row],[GameIsOver]]=0,0,IF(Table2[[#This Row],[ActualWinner]]=Table2[[#This Row],[AwayTeam]], 1, 0))</f>
        <v>0</v>
      </c>
      <c r="AM1302" s="143">
        <f>IF(Table2[[#This Row],[GameIsOver]]=0,0,IF(Table2[[#This Row],[ActualWinner]]=Table2[[#This Row],[HomeTeam]], 1, 0))</f>
        <v>0</v>
      </c>
      <c r="AN13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2" s="143" t="str">
        <f>INDEX(Sheet5!$B$2:$AG$33, MATCH(Table2[[#This Row],[AwayTeam]],Sheet5!$A$2:$A$33, 0), MATCH(Table2[[#This Row],[HomeTeam]],Sheet5!$A$2:$A$33, 0))</f>
        <v>1-0-0</v>
      </c>
      <c r="AP1302" s="143" t="str">
        <f>INDEX(Sheet5!$B$2:$AG$33, MATCH(Table2[[#This Row],[HomeTeam]],Sheet5!$A$2:$A$33, 0), MATCH(Table2[[#This Row],[AwayTeam]],Sheet5!$A$2:$A$33, 0))</f>
        <v>0-0-1</v>
      </c>
      <c r="AQ1302" s="143">
        <f>IF(Table2[[#This Row],[GameHasShutOut]], 1, 0)</f>
        <v>0</v>
      </c>
      <c r="AR1302" s="143">
        <f>IF(Table2[[#This Row],[ActualAwayScore]] + Table2[[#This Row],[ActualHomeScore]] &gt;= 10, 1, 0)</f>
        <v>0</v>
      </c>
      <c r="AS1302" s="143">
        <f>IF(ABS(Table2[[#This Row],[ActualAwayScore]]-Table2[[#This Row],[ActualHomeScore]])&gt;=5, 1, 0)</f>
        <v>0</v>
      </c>
      <c r="AT1302" s="143">
        <f>IF(Table2[[#This Row],[ActualAwayScore]] + Table2[[#This Row],[ActualHomeScore]] &lt;= 3, 1, 0)</f>
        <v>1</v>
      </c>
      <c r="AU13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3" spans="1:49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4" spans="1:49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5" spans="1:49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6" spans="1:49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7" spans="1:49" x14ac:dyDescent="0.25">
      <c r="A1307" s="3"/>
      <c r="B1307" s="3">
        <v>46127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8" spans="1:49" x14ac:dyDescent="0.25">
      <c r="A1308" s="141"/>
      <c r="B1308" s="141">
        <v>46127</v>
      </c>
      <c r="C1308" s="142">
        <v>2025021306</v>
      </c>
      <c r="D1308" s="143" t="s">
        <v>11</v>
      </c>
      <c r="E1308" s="143" t="s">
        <v>26</v>
      </c>
      <c r="F1308" s="143"/>
      <c r="G1308" s="143"/>
      <c r="H1308" s="143" t="str">
        <f t="shared" si="104"/>
        <v>_</v>
      </c>
      <c r="I1308" s="143"/>
      <c r="J1308" s="143"/>
      <c r="K1308" s="143"/>
      <c r="L1308" s="143" t="str">
        <f t="shared" si="105"/>
        <v>_</v>
      </c>
      <c r="M1308" s="143"/>
      <c r="N1308" s="143">
        <f>IF(ISBLANK(Table2[[#This Row],[ActualResult]]), 0, 1)</f>
        <v>0</v>
      </c>
      <c r="O1308" s="143" t="str">
        <f>IF(ISBLANK(Table2[[#This Row],[ActualResult]]), "_", IF(Table2[[#This Row],[ActualWinner]]=Table2[[#This Row],[PredictedWinner]], "Y", "N"))</f>
        <v>_</v>
      </c>
      <c r="P1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143"/>
      <c r="S1308" s="143" t="str">
        <f t="shared" si="106"/>
        <v>_</v>
      </c>
      <c r="T1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143">
        <f>IF(Table2[[#This Row],[InterConf]]=1,IF(Table2[[#This Row],[InterDiv]]=0, 1, 0), 0)</f>
        <v>0</v>
      </c>
      <c r="W1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143"/>
      <c r="Y1308" s="143"/>
      <c r="Z1308" s="149">
        <f>IF(AND(Table2[[#This Row],[GameIsOver]]=1,Table2[[#This Row],[ActualHomeScore]]*Table2[[#This Row],[ActualAwayScore]]=0), 1,0)</f>
        <v>0</v>
      </c>
      <c r="AA1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8" s="143">
        <f>Table2[[#This Row],[ActualAwayScore]]-Table2[[#This Row],[PredictedAwayScore]]</f>
        <v>0</v>
      </c>
      <c r="AG1308" s="143">
        <f>Table2[[#This Row],[ActualHomeScore]]-Table2[[#This Row],[PredictedHomeScore]]</f>
        <v>0</v>
      </c>
      <c r="AH1308" s="143">
        <f t="shared" si="107"/>
        <v>0</v>
      </c>
      <c r="AI1308" s="143">
        <f t="shared" si="108"/>
        <v>0</v>
      </c>
      <c r="AJ1308" s="143"/>
      <c r="AK1308" s="141"/>
      <c r="AL1308" s="143">
        <f>IF(Table2[[#This Row],[GameIsOver]]=0,0,IF(Table2[[#This Row],[ActualWinner]]=Table2[[#This Row],[AwayTeam]], 1, 0))</f>
        <v>0</v>
      </c>
      <c r="AM1308" s="143">
        <f>IF(Table2[[#This Row],[GameIsOver]]=0,0,IF(Table2[[#This Row],[ActualWinner]]=Table2[[#This Row],[HomeTeam]], 1, 0))</f>
        <v>0</v>
      </c>
      <c r="AN1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8" s="143" t="str">
        <f>INDEX(Sheet5!$B$2:$AG$33, MATCH(Table2[[#This Row],[AwayTeam]],Sheet5!$A$2:$A$33, 0), MATCH(Table2[[#This Row],[HomeTeam]],Sheet5!$A$2:$A$33, 0))</f>
        <v>1-0-0</v>
      </c>
      <c r="AP1308" s="143" t="str">
        <f>INDEX(Sheet5!$B$2:$AG$33, MATCH(Table2[[#This Row],[HomeTeam]],Sheet5!$A$2:$A$33, 0), MATCH(Table2[[#This Row],[AwayTeam]],Sheet5!$A$2:$A$33, 0))</f>
        <v>0-0-1</v>
      </c>
      <c r="AQ1308" s="143">
        <f>IF(Table2[[#This Row],[GameHasShutOut]], 1, 0)</f>
        <v>0</v>
      </c>
      <c r="AR1308" s="143">
        <f>IF(Table2[[#This Row],[ActualAwayScore]] + Table2[[#This Row],[ActualHomeScore]] &gt;= 10, 1, 0)</f>
        <v>0</v>
      </c>
      <c r="AS1308" s="143">
        <f>IF(ABS(Table2[[#This Row],[ActualAwayScore]]-Table2[[#This Row],[ActualHomeScore]])&gt;=5, 1, 0)</f>
        <v>0</v>
      </c>
      <c r="AT1308" s="143">
        <f>IF(Table2[[#This Row],[ActualAwayScore]] + Table2[[#This Row],[ActualHomeScore]] &lt;= 3, 1, 0)</f>
        <v>1</v>
      </c>
      <c r="AU1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9" spans="1:49" x14ac:dyDescent="0.25">
      <c r="A1309" s="3"/>
      <c r="B1309" s="3">
        <v>46128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0" spans="1:49" x14ac:dyDescent="0.25">
      <c r="A1310" s="3"/>
      <c r="B1310" s="3">
        <v>46128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1" spans="1:49" x14ac:dyDescent="0.25">
      <c r="A1311" s="3"/>
      <c r="B1311" s="3">
        <v>46128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2" spans="1:49" x14ac:dyDescent="0.25">
      <c r="A1312" s="3"/>
      <c r="B1312" s="3">
        <v>46128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2" s="2" t="str">
        <f>INDEX(Sheet5!$B$2:$AG$33, MATCH(Table2[[#This Row],[AwayTeam]],Sheet5!$A$2:$A$33, 0), MATCH(Table2[[#This Row],[HomeTeam]],Sheet5!$A$2:$A$33, 0))</f>
        <v>0-0-1</v>
      </c>
      <c r="AP1312" s="2" t="str">
        <f>INDEX(Sheet5!$B$2:$AG$33, MATCH(Table2[[#This Row],[HomeTeam]],Sheet5!$A$2:$A$33, 0), MATCH(Table2[[#This Row],[AwayTeam]],Sheet5!$A$2:$A$33, 0))</f>
        <v>1-0-0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13" spans="1:49" x14ac:dyDescent="0.25">
      <c r="A1313" s="3"/>
      <c r="B1313" s="3">
        <v>46128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4" spans="1:49" x14ac:dyDescent="0.25">
      <c r="A1314" s="3"/>
      <c r="B1314" s="3">
        <v>46128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14" s="2" t="str">
        <f>INDEX(Sheet5!$B$2:$AG$33, MATCH(Table2[[#This Row],[AwayTeam]],Sheet5!$A$2:$A$33, 0), MATCH(Table2[[#This Row],[HomeTeam]],Sheet5!$A$2:$A$33, 0))</f>
        <v>0-1-0</v>
      </c>
      <c r="AP1314" s="2" t="str">
        <f>INDEX(Sheet5!$B$2:$AG$33, MATCH(Table2[[#This Row],[HomeTeam]],Sheet5!$A$2:$A$33, 0), MATCH(Table2[[#This Row],[AwayTeam]],Sheet5!$A$2:$A$33, 0))</f>
        <v>1-0-0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5" spans="1:49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9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T16:BU16"/>
    <mergeCell ref="BV16:BW16"/>
    <mergeCell ref="BM12:BN12"/>
    <mergeCell ref="BM3:BQ3"/>
    <mergeCell ref="E1:H1"/>
    <mergeCell ref="I1:L1"/>
    <mergeCell ref="BS3:BV3"/>
    <mergeCell ref="BM11:BN11"/>
    <mergeCell ref="BT4:BU4"/>
    <mergeCell ref="BV4:BW4"/>
  </mergeCells>
  <phoneticPr fontId="1" type="noConversion"/>
  <conditionalFormatting sqref="C1:AD1 C2:BJ2 C3:Y3 C4:T7 T4:T1314 C8:Y11 C12:AH22 C23:AM310 C311:AJ311 C312:AM662 D663:AM663 C664:AM949 C950:X950 C951:AM1314 D1315:BI1048576 AF1:BH1 Z950:AM950 AO23:BJ1314 AE1:AE1314 BC3:BJ5 X4:Y7 BC6:BH11 BJ6:BJ11 BI6:BI12 BB12:BJ16 BB17:BH17 BB18:BJ22 BK45:BK46 AL311:AM311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10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38</v>
      </c>
      <c r="D71" s="145">
        <f>SUMIFS(Table2[NewPointsAway],Table2[GameDate], "&lt;=" &amp; $A71, Table2[AwayTeam], D$1)+SUMIFS(Table2[NewPointsHome],Table2[GameDate], "&lt;=" &amp; $A71, Table2[HomeTeam], D$1)</f>
        <v>30</v>
      </c>
      <c r="E71" s="145">
        <f>SUMIFS(Table2[NewPointsAway],Table2[GameDate], "&lt;=" &amp; $A71, Table2[AwayTeam], E$1)+SUMIFS(Table2[NewPointsHome],Table2[GameDate], "&lt;=" &amp; $A71, Table2[HomeTeam], E$1)</f>
        <v>40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51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34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39</v>
      </c>
      <c r="P71" s="145">
        <f>SUMIFS(Table2[NewPointsAway],Table2[GameDate], "&lt;=" &amp; $A71, Table2[AwayTeam], P$1)+SUMIFS(Table2[NewPointsHome],Table2[GameDate], "&lt;=" &amp; $A71, Table2[HomeTeam], P$1)</f>
        <v>35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28</v>
      </c>
      <c r="S71" s="145">
        <f>SUMIFS(Table2[NewPointsAway],Table2[GameDate], "&lt;=" &amp; $A71, Table2[AwayTeam], S$1)+SUMIFS(Table2[NewPointsHome],Table2[GameDate], "&lt;=" &amp; $A71, Table2[HomeTeam], S$1)</f>
        <v>39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32</v>
      </c>
      <c r="V71" s="145">
        <f>SUMIFS(Table2[NewPointsAway],Table2[GameDate], "&lt;=" &amp; $A71, Table2[AwayTeam], V$1)+SUMIFS(Table2[NewPointsHome],Table2[GameDate], "&lt;=" &amp; $A71, Table2[HomeTeam], V$1)</f>
        <v>35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33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38</v>
      </c>
      <c r="AB71" s="145">
        <f>SUMIFS(Table2[NewPointsAway],Table2[GameDate], "&lt;=" &amp; $A71, Table2[AwayTeam], AB$1)+SUMIFS(Table2[NewPointsHome],Table2[GameDate], "&lt;=" &amp; $A71, Table2[HomeTeam], AB$1)</f>
        <v>33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39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40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38</v>
      </c>
      <c r="D72" s="145">
        <f>SUMIFS(Table2[NewPointsAway],Table2[GameDate], "&lt;=" &amp; $A72, Table2[AwayTeam], D$1)+SUMIFS(Table2[NewPointsHome],Table2[GameDate], "&lt;=" &amp; $A72, Table2[HomeTeam], D$1)</f>
        <v>30</v>
      </c>
      <c r="E72" s="145">
        <f>SUMIFS(Table2[NewPointsAway],Table2[GameDate], "&lt;=" &amp; $A72, Table2[AwayTeam], E$1)+SUMIFS(Table2[NewPointsHome],Table2[GameDate], "&lt;=" &amp; $A72, Table2[HomeTeam], E$1)</f>
        <v>40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51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34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39</v>
      </c>
      <c r="P72" s="145">
        <f>SUMIFS(Table2[NewPointsAway],Table2[GameDate], "&lt;=" &amp; $A72, Table2[AwayTeam], P$1)+SUMIFS(Table2[NewPointsHome],Table2[GameDate], "&lt;=" &amp; $A72, Table2[HomeTeam], P$1)</f>
        <v>35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28</v>
      </c>
      <c r="S72" s="145">
        <f>SUMIFS(Table2[NewPointsAway],Table2[GameDate], "&lt;=" &amp; $A72, Table2[AwayTeam], S$1)+SUMIFS(Table2[NewPointsHome],Table2[GameDate], "&lt;=" &amp; $A72, Table2[HomeTeam], S$1)</f>
        <v>39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32</v>
      </c>
      <c r="V72" s="145">
        <f>SUMIFS(Table2[NewPointsAway],Table2[GameDate], "&lt;=" &amp; $A72, Table2[AwayTeam], V$1)+SUMIFS(Table2[NewPointsHome],Table2[GameDate], "&lt;=" &amp; $A72, Table2[HomeTeam], V$1)</f>
        <v>35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33</v>
      </c>
      <c r="Z72" s="145">
        <f>SUMIFS(Table2[NewPointsAway],Table2[GameDate], "&lt;=" &amp; $A72, Table2[AwayTeam], Z$1)+SUMIFS(Table2[NewPointsHome],Table2[GameDate], "&lt;=" &amp; $A72, Table2[HomeTeam], Z$1)</f>
        <v>32</v>
      </c>
      <c r="AA72" s="145">
        <f>SUMIFS(Table2[NewPointsAway],Table2[GameDate], "&lt;=" &amp; $A72, Table2[AwayTeam], AA$1)+SUMIFS(Table2[NewPointsHome],Table2[GameDate], "&lt;=" &amp; $A72, Table2[HomeTeam], AA$1)</f>
        <v>38</v>
      </c>
      <c r="AB72" s="145">
        <f>SUMIFS(Table2[NewPointsAway],Table2[GameDate], "&lt;=" &amp; $A72, Table2[AwayTeam], AB$1)+SUMIFS(Table2[NewPointsHome],Table2[GameDate], "&lt;=" &amp; $A72, Table2[HomeTeam], AB$1)</f>
        <v>33</v>
      </c>
      <c r="AC72" s="145">
        <f>SUMIFS(Table2[NewPointsAway],Table2[GameDate], "&lt;=" &amp; $A72, Table2[AwayTeam], AC$1)+SUMIFS(Table2[NewPointsHome],Table2[GameDate], "&lt;=" &amp; $A72, Table2[HomeTeam], AC$1)</f>
        <v>33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39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40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38</v>
      </c>
      <c r="D73" s="145">
        <f>SUMIFS(Table2[NewPointsAway],Table2[GameDate], "&lt;=" &amp; $A73, Table2[AwayTeam], D$1)+SUMIFS(Table2[NewPointsHome],Table2[GameDate], "&lt;=" &amp; $A73, Table2[HomeTeam], D$1)</f>
        <v>30</v>
      </c>
      <c r="E73" s="145">
        <f>SUMIFS(Table2[NewPointsAway],Table2[GameDate], "&lt;=" &amp; $A73, Table2[AwayTeam], E$1)+SUMIFS(Table2[NewPointsHome],Table2[GameDate], "&lt;=" &amp; $A73, Table2[HomeTeam], E$1)</f>
        <v>42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30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53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39</v>
      </c>
      <c r="L73" s="145">
        <f>SUMIFS(Table2[NewPointsAway],Table2[GameDate], "&lt;=" &amp; $A73, Table2[AwayTeam], L$1)+SUMIFS(Table2[NewPointsHome],Table2[GameDate], "&lt;=" &amp; $A73, Table2[HomeTeam], L$1)</f>
        <v>36</v>
      </c>
      <c r="M73" s="145">
        <f>SUMIFS(Table2[NewPointsAway],Table2[GameDate], "&lt;=" &amp; $A73, Table2[AwayTeam], M$1)+SUMIFS(Table2[NewPointsHome],Table2[GameDate], "&lt;=" &amp; $A73, Table2[HomeTeam], M$1)</f>
        <v>34</v>
      </c>
      <c r="N73" s="145">
        <f>SUMIFS(Table2[NewPointsAway],Table2[GameDate], "&lt;=" &amp; $A73, Table2[AwayTeam], N$1)+SUMIFS(Table2[NewPointsHome],Table2[GameDate], "&lt;=" &amp; $A73, Table2[HomeTeam], N$1)</f>
        <v>37</v>
      </c>
      <c r="O73" s="145">
        <f>SUMIFS(Table2[NewPointsAway],Table2[GameDate], "&lt;=" &amp; $A73, Table2[AwayTeam], O$1)+SUMIFS(Table2[NewPointsHome],Table2[GameDate], "&lt;=" &amp; $A73, Table2[HomeTeam], O$1)</f>
        <v>41</v>
      </c>
      <c r="P73" s="145">
        <f>SUMIFS(Table2[NewPointsAway],Table2[GameDate], "&lt;=" &amp; $A73, Table2[AwayTeam], P$1)+SUMIFS(Table2[NewPointsHome],Table2[GameDate], "&lt;=" &amp; $A73, Table2[HomeTeam], P$1)</f>
        <v>36</v>
      </c>
      <c r="Q73" s="145">
        <f>SUMIFS(Table2[NewPointsAway],Table2[GameDate], "&lt;=" &amp; $A73, Table2[AwayTeam], Q$1)+SUMIFS(Table2[NewPointsHome],Table2[GameDate], "&lt;=" &amp; $A73, Table2[HomeTeam], Q$1)</f>
        <v>37</v>
      </c>
      <c r="R73" s="145">
        <f>SUMIFS(Table2[NewPointsAway],Table2[GameDate], "&lt;=" &amp; $A73, Table2[AwayTeam], R$1)+SUMIFS(Table2[NewPointsHome],Table2[GameDate], "&lt;=" &amp; $A73, Table2[HomeTeam], R$1)</f>
        <v>28</v>
      </c>
      <c r="S73" s="145">
        <f>SUMIFS(Table2[NewPointsAway],Table2[GameDate], "&lt;=" &amp; $A73, Table2[AwayTeam], S$1)+SUMIFS(Table2[NewPointsHome],Table2[GameDate], "&lt;=" &amp; $A73, Table2[HomeTeam], S$1)</f>
        <v>41</v>
      </c>
      <c r="T73" s="145">
        <f>SUMIFS(Table2[NewPointsAway],Table2[GameDate], "&lt;=" &amp; $A73, Table2[AwayTeam], T$1)+SUMIFS(Table2[NewPointsHome],Table2[GameDate], "&lt;=" &amp; $A73, Table2[HomeTeam], T$1)</f>
        <v>36</v>
      </c>
      <c r="U73" s="145">
        <f>SUMIFS(Table2[NewPointsAway],Table2[GameDate], "&lt;=" &amp; $A73, Table2[AwayTeam], U$1)+SUMIFS(Table2[NewPointsHome],Table2[GameDate], "&lt;=" &amp; $A73, Table2[HomeTeam], U$1)</f>
        <v>32</v>
      </c>
      <c r="V73" s="145">
        <f>SUMIFS(Table2[NewPointsAway],Table2[GameDate], "&lt;=" &amp; $A73, Table2[AwayTeam], V$1)+SUMIFS(Table2[NewPointsHome],Table2[GameDate], "&lt;=" &amp; $A73, Table2[HomeTeam], V$1)</f>
        <v>36</v>
      </c>
      <c r="W73" s="145">
        <f>SUMIFS(Table2[NewPointsAway],Table2[GameDate], "&lt;=" &amp; $A73, Table2[AwayTeam], W$1)+SUMIFS(Table2[NewPointsHome],Table2[GameDate], "&lt;=" &amp; $A73, Table2[HomeTeam], W$1)</f>
        <v>36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35</v>
      </c>
      <c r="Z73" s="145">
        <f>SUMIFS(Table2[NewPointsAway],Table2[GameDate], "&lt;=" &amp; $A73, Table2[AwayTeam], Z$1)+SUMIFS(Table2[NewPointsHome],Table2[GameDate], "&lt;=" &amp; $A73, Table2[HomeTeam], Z$1)</f>
        <v>32</v>
      </c>
      <c r="AA73" s="145">
        <f>SUMIFS(Table2[NewPointsAway],Table2[GameDate], "&lt;=" &amp; $A73, Table2[AwayTeam], AA$1)+SUMIFS(Table2[NewPointsHome],Table2[GameDate], "&lt;=" &amp; $A73, Table2[HomeTeam], AA$1)</f>
        <v>39</v>
      </c>
      <c r="AB73" s="145">
        <f>SUMIFS(Table2[NewPointsAway],Table2[GameDate], "&lt;=" &amp; $A73, Table2[AwayTeam], AB$1)+SUMIFS(Table2[NewPointsHome],Table2[GameDate], "&lt;=" &amp; $A73, Table2[HomeTeam], AB$1)</f>
        <v>33</v>
      </c>
      <c r="AC73" s="145">
        <f>SUMIFS(Table2[NewPointsAway],Table2[GameDate], "&lt;=" &amp; $A73, Table2[AwayTeam], AC$1)+SUMIFS(Table2[NewPointsHome],Table2[GameDate], "&lt;=" &amp; $A73, Table2[HomeTeam], AC$1)</f>
        <v>33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41</v>
      </c>
      <c r="AF73" s="145">
        <f>SUMIFS(Table2[NewPointsAway],Table2[GameDate], "&lt;=" &amp; $A73, Table2[AwayTeam], AF$1)+SUMIFS(Table2[NewPointsHome],Table2[GameDate], "&lt;=" &amp; $A73, Table2[HomeTeam], AF$1)</f>
        <v>31</v>
      </c>
      <c r="AG73" s="145">
        <f>SUMIFS(Table2[NewPointsAway],Table2[GameDate], "&lt;=" &amp; $A73, Table2[AwayTeam], AG$1)+SUMIFS(Table2[NewPointsHome],Table2[GameDate], "&lt;=" &amp; $A73, Table2[HomeTeam], AG$1)</f>
        <v>40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38</v>
      </c>
      <c r="D74" s="145">
        <f>SUMIFS(Table2[NewPointsAway],Table2[GameDate], "&lt;=" &amp; $A74, Table2[AwayTeam], D$1)+SUMIFS(Table2[NewPointsHome],Table2[GameDate], "&lt;=" &amp; $A74, Table2[HomeTeam], D$1)</f>
        <v>32</v>
      </c>
      <c r="E74" s="145">
        <f>SUMIFS(Table2[NewPointsAway],Table2[GameDate], "&lt;=" &amp; $A74, Table2[AwayTeam], E$1)+SUMIFS(Table2[NewPointsHome],Table2[GameDate], "&lt;=" &amp; $A74, Table2[HomeTeam], E$1)</f>
        <v>44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30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53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39</v>
      </c>
      <c r="L74" s="145">
        <f>SUMIFS(Table2[NewPointsAway],Table2[GameDate], "&lt;=" &amp; $A74, Table2[AwayTeam], L$1)+SUMIFS(Table2[NewPointsHome],Table2[GameDate], "&lt;=" &amp; $A74, Table2[HomeTeam], L$1)</f>
        <v>36</v>
      </c>
      <c r="M74" s="145">
        <f>SUMIFS(Table2[NewPointsAway],Table2[GameDate], "&lt;=" &amp; $A74, Table2[AwayTeam], M$1)+SUMIFS(Table2[NewPointsHome],Table2[GameDate], "&lt;=" &amp; $A74, Table2[HomeTeam], M$1)</f>
        <v>34</v>
      </c>
      <c r="N74" s="145">
        <f>SUMIFS(Table2[NewPointsAway],Table2[GameDate], "&lt;=" &amp; $A74, Table2[AwayTeam], N$1)+SUMIFS(Table2[NewPointsHome],Table2[GameDate], "&lt;=" &amp; $A74, Table2[HomeTeam], N$1)</f>
        <v>37</v>
      </c>
      <c r="O74" s="145">
        <f>SUMIFS(Table2[NewPointsAway],Table2[GameDate], "&lt;=" &amp; $A74, Table2[AwayTeam], O$1)+SUMIFS(Table2[NewPointsHome],Table2[GameDate], "&lt;=" &amp; $A74, Table2[HomeTeam], O$1)</f>
        <v>43</v>
      </c>
      <c r="P74" s="145">
        <f>SUMIFS(Table2[NewPointsAway],Table2[GameDate], "&lt;=" &amp; $A74, Table2[AwayTeam], P$1)+SUMIFS(Table2[NewPointsHome],Table2[GameDate], "&lt;=" &amp; $A74, Table2[HomeTeam], P$1)</f>
        <v>38</v>
      </c>
      <c r="Q74" s="145">
        <f>SUMIFS(Table2[NewPointsAway],Table2[GameDate], "&lt;=" &amp; $A74, Table2[AwayTeam], Q$1)+SUMIFS(Table2[NewPointsHome],Table2[GameDate], "&lt;=" &amp; $A74, Table2[HomeTeam], Q$1)</f>
        <v>37</v>
      </c>
      <c r="R74" s="145">
        <f>SUMIFS(Table2[NewPointsAway],Table2[GameDate], "&lt;=" &amp; $A74, Table2[AwayTeam], R$1)+SUMIFS(Table2[NewPointsHome],Table2[GameDate], "&lt;=" &amp; $A74, Table2[HomeTeam], R$1)</f>
        <v>28</v>
      </c>
      <c r="S74" s="145">
        <f>SUMIFS(Table2[NewPointsAway],Table2[GameDate], "&lt;=" &amp; $A74, Table2[AwayTeam], S$1)+SUMIFS(Table2[NewPointsHome],Table2[GameDate], "&lt;=" &amp; $A74, Table2[HomeTeam], S$1)</f>
        <v>41</v>
      </c>
      <c r="T74" s="145">
        <f>SUMIFS(Table2[NewPointsAway],Table2[GameDate], "&lt;=" &amp; $A74, Table2[AwayTeam], T$1)+SUMIFS(Table2[NewPointsHome],Table2[GameDate], "&lt;=" &amp; $A74, Table2[HomeTeam], T$1)</f>
        <v>36</v>
      </c>
      <c r="U74" s="145">
        <f>SUMIFS(Table2[NewPointsAway],Table2[GameDate], "&lt;=" &amp; $A74, Table2[AwayTeam], U$1)+SUMIFS(Table2[NewPointsHome],Table2[GameDate], "&lt;=" &amp; $A74, Table2[HomeTeam], U$1)</f>
        <v>32</v>
      </c>
      <c r="V74" s="145">
        <f>SUMIFS(Table2[NewPointsAway],Table2[GameDate], "&lt;=" &amp; $A74, Table2[AwayTeam], V$1)+SUMIFS(Table2[NewPointsHome],Table2[GameDate], "&lt;=" &amp; $A74, Table2[HomeTeam], V$1)</f>
        <v>37</v>
      </c>
      <c r="W74" s="145">
        <f>SUMIFS(Table2[NewPointsAway],Table2[GameDate], "&lt;=" &amp; $A74, Table2[AwayTeam], W$1)+SUMIFS(Table2[NewPointsHome],Table2[GameDate], "&lt;=" &amp; $A74, Table2[HomeTeam], W$1)</f>
        <v>37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35</v>
      </c>
      <c r="Z74" s="145">
        <f>SUMIFS(Table2[NewPointsAway],Table2[GameDate], "&lt;=" &amp; $A74, Table2[AwayTeam], Z$1)+SUMIFS(Table2[NewPointsHome],Table2[GameDate], "&lt;=" &amp; $A74, Table2[HomeTeam], Z$1)</f>
        <v>32</v>
      </c>
      <c r="AA74" s="145">
        <f>SUMIFS(Table2[NewPointsAway],Table2[GameDate], "&lt;=" &amp; $A74, Table2[AwayTeam], AA$1)+SUMIFS(Table2[NewPointsHome],Table2[GameDate], "&lt;=" &amp; $A74, Table2[HomeTeam], AA$1)</f>
        <v>39</v>
      </c>
      <c r="AB74" s="145">
        <f>SUMIFS(Table2[NewPointsAway],Table2[GameDate], "&lt;=" &amp; $A74, Table2[AwayTeam], AB$1)+SUMIFS(Table2[NewPointsHome],Table2[GameDate], "&lt;=" &amp; $A74, Table2[HomeTeam], AB$1)</f>
        <v>33</v>
      </c>
      <c r="AC74" s="145">
        <f>SUMIFS(Table2[NewPointsAway],Table2[GameDate], "&lt;=" &amp; $A74, Table2[AwayTeam], AC$1)+SUMIFS(Table2[NewPointsHome],Table2[GameDate], "&lt;=" &amp; $A74, Table2[HomeTeam], AC$1)</f>
        <v>35</v>
      </c>
      <c r="AD74" s="145">
        <f>SUMIFS(Table2[NewPointsAway],Table2[GameDate], "&lt;=" &amp; $A74, Table2[AwayTeam], AD$1)+SUMIFS(Table2[NewPointsHome],Table2[GameDate], "&lt;=" &amp; $A74, Table2[HomeTeam], AD$1)</f>
        <v>27</v>
      </c>
      <c r="AE74" s="145">
        <f>SUMIFS(Table2[NewPointsAway],Table2[GameDate], "&lt;=" &amp; $A74, Table2[AwayTeam], AE$1)+SUMIFS(Table2[NewPointsHome],Table2[GameDate], "&lt;=" &amp; $A74, Table2[HomeTeam], AE$1)</f>
        <v>41</v>
      </c>
      <c r="AF74" s="145">
        <f>SUMIFS(Table2[NewPointsAway],Table2[GameDate], "&lt;=" &amp; $A74, Table2[AwayTeam], AF$1)+SUMIFS(Table2[NewPointsHome],Table2[GameDate], "&lt;=" &amp; $A74, Table2[HomeTeam], AF$1)</f>
        <v>31</v>
      </c>
      <c r="AG74" s="145">
        <f>SUMIFS(Table2[NewPointsAway],Table2[GameDate], "&lt;=" &amp; $A74, Table2[AwayTeam], AG$1)+SUMIFS(Table2[NewPointsHome],Table2[GameDate], "&lt;=" &amp; $A74, Table2[HomeTeam], AG$1)</f>
        <v>40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41</v>
      </c>
      <c r="C75" s="145">
        <f>SUMIFS(Table2[NewPointsAway],Table2[GameDate], "&lt;=" &amp; $A75, Table2[AwayTeam], C$1)+SUMIFS(Table2[NewPointsHome],Table2[GameDate], "&lt;=" &amp; $A75, Table2[HomeTeam], C$1)</f>
        <v>38</v>
      </c>
      <c r="D75" s="145">
        <f>SUMIFS(Table2[NewPointsAway],Table2[GameDate], "&lt;=" &amp; $A75, Table2[AwayTeam], D$1)+SUMIFS(Table2[NewPointsHome],Table2[GameDate], "&lt;=" &amp; $A75, Table2[HomeTeam], D$1)</f>
        <v>32</v>
      </c>
      <c r="E75" s="145">
        <f>SUMIFS(Table2[NewPointsAway],Table2[GameDate], "&lt;=" &amp; $A75, Table2[AwayTeam], E$1)+SUMIFS(Table2[NewPointsHome],Table2[GameDate], "&lt;=" &amp; $A75, Table2[HomeTeam], E$1)</f>
        <v>44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30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53</v>
      </c>
      <c r="J75" s="145">
        <f>SUMIFS(Table2[NewPointsAway],Table2[GameDate], "&lt;=" &amp; $A75, Table2[AwayTeam], J$1)+SUMIFS(Table2[NewPointsHome],Table2[GameDate], "&lt;=" &amp; $A75, Table2[HomeTeam], J$1)</f>
        <v>49</v>
      </c>
      <c r="K75" s="145">
        <f>SUMIFS(Table2[NewPointsAway],Table2[GameDate], "&lt;=" &amp; $A75, Table2[AwayTeam], K$1)+SUMIFS(Table2[NewPointsHome],Table2[GameDate], "&lt;=" &amp; $A75, Table2[HomeTeam], K$1)</f>
        <v>39</v>
      </c>
      <c r="L75" s="145">
        <f>SUMIFS(Table2[NewPointsAway],Table2[GameDate], "&lt;=" &amp; $A75, Table2[AwayTeam], L$1)+SUMIFS(Table2[NewPointsHome],Table2[GameDate], "&lt;=" &amp; $A75, Table2[HomeTeam], L$1)</f>
        <v>36</v>
      </c>
      <c r="M75" s="145">
        <f>SUMIFS(Table2[NewPointsAway],Table2[GameDate], "&lt;=" &amp; $A75, Table2[AwayTeam], M$1)+SUMIFS(Table2[NewPointsHome],Table2[GameDate], "&lt;=" &amp; $A75, Table2[HomeTeam], M$1)</f>
        <v>36</v>
      </c>
      <c r="N75" s="145">
        <f>SUMIFS(Table2[NewPointsAway],Table2[GameDate], "&lt;=" &amp; $A75, Table2[AwayTeam], N$1)+SUMIFS(Table2[NewPointsHome],Table2[GameDate], "&lt;=" &amp; $A75, Table2[HomeTeam], N$1)</f>
        <v>37</v>
      </c>
      <c r="O75" s="145">
        <f>SUMIFS(Table2[NewPointsAway],Table2[GameDate], "&lt;=" &amp; $A75, Table2[AwayTeam], O$1)+SUMIFS(Table2[NewPointsHome],Table2[GameDate], "&lt;=" &amp; $A75, Table2[HomeTeam], O$1)</f>
        <v>43</v>
      </c>
      <c r="P75" s="145">
        <f>SUMIFS(Table2[NewPointsAway],Table2[GameDate], "&lt;=" &amp; $A75, Table2[AwayTeam], P$1)+SUMIFS(Table2[NewPointsHome],Table2[GameDate], "&lt;=" &amp; $A75, Table2[HomeTeam], P$1)</f>
        <v>38</v>
      </c>
      <c r="Q75" s="145">
        <f>SUMIFS(Table2[NewPointsAway],Table2[GameDate], "&lt;=" &amp; $A75, Table2[AwayTeam], Q$1)+SUMIFS(Table2[NewPointsHome],Table2[GameDate], "&lt;=" &amp; $A75, Table2[HomeTeam], Q$1)</f>
        <v>37</v>
      </c>
      <c r="R75" s="145">
        <f>SUMIFS(Table2[NewPointsAway],Table2[GameDate], "&lt;=" &amp; $A75, Table2[AwayTeam], R$1)+SUMIFS(Table2[NewPointsHome],Table2[GameDate], "&lt;=" &amp; $A75, Table2[HomeTeam], R$1)</f>
        <v>30</v>
      </c>
      <c r="S75" s="145">
        <f>SUMIFS(Table2[NewPointsAway],Table2[GameDate], "&lt;=" &amp; $A75, Table2[AwayTeam], S$1)+SUMIFS(Table2[NewPointsHome],Table2[GameDate], "&lt;=" &amp; $A75, Table2[HomeTeam], S$1)</f>
        <v>41</v>
      </c>
      <c r="T75" s="145">
        <f>SUMIFS(Table2[NewPointsAway],Table2[GameDate], "&lt;=" &amp; $A75, Table2[AwayTeam], T$1)+SUMIFS(Table2[NewPointsHome],Table2[GameDate], "&lt;=" &amp; $A75, Table2[HomeTeam], T$1)</f>
        <v>36</v>
      </c>
      <c r="U75" s="145">
        <f>SUMIFS(Table2[NewPointsAway],Table2[GameDate], "&lt;=" &amp; $A75, Table2[AwayTeam], U$1)+SUMIFS(Table2[NewPointsHome],Table2[GameDate], "&lt;=" &amp; $A75, Table2[HomeTeam], U$1)</f>
        <v>34</v>
      </c>
      <c r="V75" s="145">
        <f>SUMIFS(Table2[NewPointsAway],Table2[GameDate], "&lt;=" &amp; $A75, Table2[AwayTeam], V$1)+SUMIFS(Table2[NewPointsHome],Table2[GameDate], "&lt;=" &amp; $A75, Table2[HomeTeam], V$1)</f>
        <v>37</v>
      </c>
      <c r="W75" s="145">
        <f>SUMIFS(Table2[NewPointsAway],Table2[GameDate], "&lt;=" &amp; $A75, Table2[AwayTeam], W$1)+SUMIFS(Table2[NewPointsHome],Table2[GameDate], "&lt;=" &amp; $A75, Table2[HomeTeam], W$1)</f>
        <v>37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35</v>
      </c>
      <c r="Z75" s="145">
        <f>SUMIFS(Table2[NewPointsAway],Table2[GameDate], "&lt;=" &amp; $A75, Table2[AwayTeam], Z$1)+SUMIFS(Table2[NewPointsHome],Table2[GameDate], "&lt;=" &amp; $A75, Table2[HomeTeam], Z$1)</f>
        <v>32</v>
      </c>
      <c r="AA75" s="145">
        <f>SUMIFS(Table2[NewPointsAway],Table2[GameDate], "&lt;=" &amp; $A75, Table2[AwayTeam], AA$1)+SUMIFS(Table2[NewPointsHome],Table2[GameDate], "&lt;=" &amp; $A75, Table2[HomeTeam], AA$1)</f>
        <v>39</v>
      </c>
      <c r="AB75" s="145">
        <f>SUMIFS(Table2[NewPointsAway],Table2[GameDate], "&lt;=" &amp; $A75, Table2[AwayTeam], AB$1)+SUMIFS(Table2[NewPointsHome],Table2[GameDate], "&lt;=" &amp; $A75, Table2[HomeTeam], AB$1)</f>
        <v>33</v>
      </c>
      <c r="AC75" s="145">
        <f>SUMIFS(Table2[NewPointsAway],Table2[GameDate], "&lt;=" &amp; $A75, Table2[AwayTeam], AC$1)+SUMIFS(Table2[NewPointsHome],Table2[GameDate], "&lt;=" &amp; $A75, Table2[HomeTeam], AC$1)</f>
        <v>35</v>
      </c>
      <c r="AD75" s="145">
        <f>SUMIFS(Table2[NewPointsAway],Table2[GameDate], "&lt;=" &amp; $A75, Table2[AwayTeam], AD$1)+SUMIFS(Table2[NewPointsHome],Table2[GameDate], "&lt;=" &amp; $A75, Table2[HomeTeam], AD$1)</f>
        <v>27</v>
      </c>
      <c r="AE75" s="145">
        <f>SUMIFS(Table2[NewPointsAway],Table2[GameDate], "&lt;=" &amp; $A75, Table2[AwayTeam], AE$1)+SUMIFS(Table2[NewPointsHome],Table2[GameDate], "&lt;=" &amp; $A75, Table2[HomeTeam], AE$1)</f>
        <v>41</v>
      </c>
      <c r="AF75" s="145">
        <f>SUMIFS(Table2[NewPointsAway],Table2[GameDate], "&lt;=" &amp; $A75, Table2[AwayTeam], AF$1)+SUMIFS(Table2[NewPointsHome],Table2[GameDate], "&lt;=" &amp; $A75, Table2[HomeTeam], AF$1)</f>
        <v>32</v>
      </c>
      <c r="AG75" s="145">
        <f>SUMIFS(Table2[NewPointsAway],Table2[GameDate], "&lt;=" &amp; $A75, Table2[AwayTeam], AG$1)+SUMIFS(Table2[NewPointsHome],Table2[GameDate], "&lt;=" &amp; $A75, Table2[HomeTeam], AG$1)</f>
        <v>40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42</v>
      </c>
      <c r="C76" s="145">
        <f>SUMIFS(Table2[NewPointsAway],Table2[GameDate], "&lt;=" &amp; $A76, Table2[AwayTeam], C$1)+SUMIFS(Table2[NewPointsHome],Table2[GameDate], "&lt;=" &amp; $A76, Table2[HomeTeam], C$1)</f>
        <v>40</v>
      </c>
      <c r="D76" s="145">
        <f>SUMIFS(Table2[NewPointsAway],Table2[GameDate], "&lt;=" &amp; $A76, Table2[AwayTeam], D$1)+SUMIFS(Table2[NewPointsHome],Table2[GameDate], "&lt;=" &amp; $A76, Table2[HomeTeam], D$1)</f>
        <v>32</v>
      </c>
      <c r="E76" s="145">
        <f>SUMIFS(Table2[NewPointsAway],Table2[GameDate], "&lt;=" &amp; $A76, Table2[AwayTeam], E$1)+SUMIFS(Table2[NewPointsHome],Table2[GameDate], "&lt;=" &amp; $A76, Table2[HomeTeam], E$1)</f>
        <v>44</v>
      </c>
      <c r="F76" s="145">
        <f>SUMIFS(Table2[NewPointsAway],Table2[GameDate], "&lt;=" &amp; $A76, Table2[AwayTeam], F$1)+SUMIFS(Table2[NewPointsHome],Table2[GameDate], "&lt;=" &amp; $A76, Table2[HomeTeam], F$1)</f>
        <v>34</v>
      </c>
      <c r="G76" s="145">
        <f>SUMIFS(Table2[NewPointsAway],Table2[GameDate], "&lt;=" &amp; $A76, Table2[AwayTeam], G$1)+SUMIFS(Table2[NewPointsHome],Table2[GameDate], "&lt;=" &amp; $A76, Table2[HomeTeam], G$1)</f>
        <v>30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55</v>
      </c>
      <c r="J76" s="145">
        <f>SUMIFS(Table2[NewPointsAway],Table2[GameDate], "&lt;=" &amp; $A76, Table2[AwayTeam], J$1)+SUMIFS(Table2[NewPointsHome],Table2[GameDate], "&lt;=" &amp; $A76, Table2[HomeTeam], J$1)</f>
        <v>49</v>
      </c>
      <c r="K76" s="145">
        <f>SUMIFS(Table2[NewPointsAway],Table2[GameDate], "&lt;=" &amp; $A76, Table2[AwayTeam], K$1)+SUMIFS(Table2[NewPointsHome],Table2[GameDate], "&lt;=" &amp; $A76, Table2[HomeTeam], K$1)</f>
        <v>41</v>
      </c>
      <c r="L76" s="145">
        <f>SUMIFS(Table2[NewPointsAway],Table2[GameDate], "&lt;=" &amp; $A76, Table2[AwayTeam], L$1)+SUMIFS(Table2[NewPointsHome],Table2[GameDate], "&lt;=" &amp; $A76, Table2[HomeTeam], L$1)</f>
        <v>38</v>
      </c>
      <c r="M76" s="145">
        <f>SUMIFS(Table2[NewPointsAway],Table2[GameDate], "&lt;=" &amp; $A76, Table2[AwayTeam], M$1)+SUMIFS(Table2[NewPointsHome],Table2[GameDate], "&lt;=" &amp; $A76, Table2[HomeTeam], M$1)</f>
        <v>36</v>
      </c>
      <c r="N76" s="145">
        <f>SUMIFS(Table2[NewPointsAway],Table2[GameDate], "&lt;=" &amp; $A76, Table2[AwayTeam], N$1)+SUMIFS(Table2[NewPointsHome],Table2[GameDate], "&lt;=" &amp; $A76, Table2[HomeTeam], N$1)</f>
        <v>37</v>
      </c>
      <c r="O76" s="145">
        <f>SUMIFS(Table2[NewPointsAway],Table2[GameDate], "&lt;=" &amp; $A76, Table2[AwayTeam], O$1)+SUMIFS(Table2[NewPointsHome],Table2[GameDate], "&lt;=" &amp; $A76, Table2[HomeTeam], O$1)</f>
        <v>45</v>
      </c>
      <c r="P76" s="145">
        <f>SUMIFS(Table2[NewPointsAway],Table2[GameDate], "&lt;=" &amp; $A76, Table2[AwayTeam], P$1)+SUMIFS(Table2[NewPointsHome],Table2[GameDate], "&lt;=" &amp; $A76, Table2[HomeTeam], P$1)</f>
        <v>38</v>
      </c>
      <c r="Q76" s="145">
        <f>SUMIFS(Table2[NewPointsAway],Table2[GameDate], "&lt;=" &amp; $A76, Table2[AwayTeam], Q$1)+SUMIFS(Table2[NewPointsHome],Table2[GameDate], "&lt;=" &amp; $A76, Table2[HomeTeam], Q$1)</f>
        <v>37</v>
      </c>
      <c r="R76" s="145">
        <f>SUMIFS(Table2[NewPointsAway],Table2[GameDate], "&lt;=" &amp; $A76, Table2[AwayTeam], R$1)+SUMIFS(Table2[NewPointsHome],Table2[GameDate], "&lt;=" &amp; $A76, Table2[HomeTeam], R$1)</f>
        <v>30</v>
      </c>
      <c r="S76" s="145">
        <f>SUMIFS(Table2[NewPointsAway],Table2[GameDate], "&lt;=" &amp; $A76, Table2[AwayTeam], S$1)+SUMIFS(Table2[NewPointsHome],Table2[GameDate], "&lt;=" &amp; $A76, Table2[HomeTeam], S$1)</f>
        <v>41</v>
      </c>
      <c r="T76" s="145">
        <f>SUMIFS(Table2[NewPointsAway],Table2[GameDate], "&lt;=" &amp; $A76, Table2[AwayTeam], T$1)+SUMIFS(Table2[NewPointsHome],Table2[GameDate], "&lt;=" &amp; $A76, Table2[HomeTeam], T$1)</f>
        <v>36</v>
      </c>
      <c r="U76" s="145">
        <f>SUMIFS(Table2[NewPointsAway],Table2[GameDate], "&lt;=" &amp; $A76, Table2[AwayTeam], U$1)+SUMIFS(Table2[NewPointsHome],Table2[GameDate], "&lt;=" &amp; $A76, Table2[HomeTeam], U$1)</f>
        <v>34</v>
      </c>
      <c r="V76" s="145">
        <f>SUMIFS(Table2[NewPointsAway],Table2[GameDate], "&lt;=" &amp; $A76, Table2[AwayTeam], V$1)+SUMIFS(Table2[NewPointsHome],Table2[GameDate], "&lt;=" &amp; $A76, Table2[HomeTeam], V$1)</f>
        <v>39</v>
      </c>
      <c r="W76" s="145">
        <f>SUMIFS(Table2[NewPointsAway],Table2[GameDate], "&lt;=" &amp; $A76, Table2[AwayTeam], W$1)+SUMIFS(Table2[NewPointsHome],Table2[GameDate], "&lt;=" &amp; $A76, Table2[HomeTeam], W$1)</f>
        <v>37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37</v>
      </c>
      <c r="Z76" s="145">
        <f>SUMIFS(Table2[NewPointsAway],Table2[GameDate], "&lt;=" &amp; $A76, Table2[AwayTeam], Z$1)+SUMIFS(Table2[NewPointsHome],Table2[GameDate], "&lt;=" &amp; $A76, Table2[HomeTeam], Z$1)</f>
        <v>32</v>
      </c>
      <c r="AA76" s="145">
        <f>SUMIFS(Table2[NewPointsAway],Table2[GameDate], "&lt;=" &amp; $A76, Table2[AwayTeam], AA$1)+SUMIFS(Table2[NewPointsHome],Table2[GameDate], "&lt;=" &amp; $A76, Table2[HomeTeam], AA$1)</f>
        <v>39</v>
      </c>
      <c r="AB76" s="145">
        <f>SUMIFS(Table2[NewPointsAway],Table2[GameDate], "&lt;=" &amp; $A76, Table2[AwayTeam], AB$1)+SUMIFS(Table2[NewPointsHome],Table2[GameDate], "&lt;=" &amp; $A76, Table2[HomeTeam], AB$1)</f>
        <v>35</v>
      </c>
      <c r="AC76" s="145">
        <f>SUMIFS(Table2[NewPointsAway],Table2[GameDate], "&lt;=" &amp; $A76, Table2[AwayTeam], AC$1)+SUMIFS(Table2[NewPointsHome],Table2[GameDate], "&lt;=" &amp; $A76, Table2[HomeTeam], AC$1)</f>
        <v>35</v>
      </c>
      <c r="AD76" s="145">
        <f>SUMIFS(Table2[NewPointsAway],Table2[GameDate], "&lt;=" &amp; $A76, Table2[AwayTeam], AD$1)+SUMIFS(Table2[NewPointsHome],Table2[GameDate], "&lt;=" &amp; $A76, Table2[HomeTeam], AD$1)</f>
        <v>29</v>
      </c>
      <c r="AE76" s="145">
        <f>SUMIFS(Table2[NewPointsAway],Table2[GameDate], "&lt;=" &amp; $A76, Table2[AwayTeam], AE$1)+SUMIFS(Table2[NewPointsHome],Table2[GameDate], "&lt;=" &amp; $A76, Table2[HomeTeam], AE$1)</f>
        <v>41</v>
      </c>
      <c r="AF76" s="145">
        <f>SUMIFS(Table2[NewPointsAway],Table2[GameDate], "&lt;=" &amp; $A76, Table2[AwayTeam], AF$1)+SUMIFS(Table2[NewPointsHome],Table2[GameDate], "&lt;=" &amp; $A76, Table2[HomeTeam], AF$1)</f>
        <v>32</v>
      </c>
      <c r="AG76" s="145">
        <f>SUMIFS(Table2[NewPointsAway],Table2[GameDate], "&lt;=" &amp; $A76, Table2[AwayTeam], AG$1)+SUMIFS(Table2[NewPointsHome],Table2[GameDate], "&lt;=" &amp; $A76, Table2[HomeTeam], AG$1)</f>
        <v>40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42</v>
      </c>
      <c r="C77" s="145">
        <f>SUMIFS(Table2[NewPointsAway],Table2[GameDate], "&lt;=" &amp; $A77, Table2[AwayTeam], C$1)+SUMIFS(Table2[NewPointsHome],Table2[GameDate], "&lt;=" &amp; $A77, Table2[HomeTeam], C$1)</f>
        <v>40</v>
      </c>
      <c r="D77" s="145">
        <f>SUMIFS(Table2[NewPointsAway],Table2[GameDate], "&lt;=" &amp; $A77, Table2[AwayTeam], D$1)+SUMIFS(Table2[NewPointsHome],Table2[GameDate], "&lt;=" &amp; $A77, Table2[HomeTeam], D$1)</f>
        <v>32</v>
      </c>
      <c r="E77" s="145">
        <f>SUMIFS(Table2[NewPointsAway],Table2[GameDate], "&lt;=" &amp; $A77, Table2[AwayTeam], E$1)+SUMIFS(Table2[NewPointsHome],Table2[GameDate], "&lt;=" &amp; $A77, Table2[HomeTeam], E$1)</f>
        <v>44</v>
      </c>
      <c r="F77" s="145">
        <f>SUMIFS(Table2[NewPointsAway],Table2[GameDate], "&lt;=" &amp; $A77, Table2[AwayTeam], F$1)+SUMIFS(Table2[NewPointsHome],Table2[GameDate], "&lt;=" &amp; $A77, Table2[HomeTeam], F$1)</f>
        <v>34</v>
      </c>
      <c r="G77" s="145">
        <f>SUMIFS(Table2[NewPointsAway],Table2[GameDate], "&lt;=" &amp; $A77, Table2[AwayTeam], G$1)+SUMIFS(Table2[NewPointsHome],Table2[GameDate], "&lt;=" &amp; $A77, Table2[HomeTeam], G$1)</f>
        <v>30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55</v>
      </c>
      <c r="J77" s="145">
        <f>SUMIFS(Table2[NewPointsAway],Table2[GameDate], "&lt;=" &amp; $A77, Table2[AwayTeam], J$1)+SUMIFS(Table2[NewPointsHome],Table2[GameDate], "&lt;=" &amp; $A77, Table2[HomeTeam], J$1)</f>
        <v>49</v>
      </c>
      <c r="K77" s="145">
        <f>SUMIFS(Table2[NewPointsAway],Table2[GameDate], "&lt;=" &amp; $A77, Table2[AwayTeam], K$1)+SUMIFS(Table2[NewPointsHome],Table2[GameDate], "&lt;=" &amp; $A77, Table2[HomeTeam], K$1)</f>
        <v>41</v>
      </c>
      <c r="L77" s="145">
        <f>SUMIFS(Table2[NewPointsAway],Table2[GameDate], "&lt;=" &amp; $A77, Table2[AwayTeam], L$1)+SUMIFS(Table2[NewPointsHome],Table2[GameDate], "&lt;=" &amp; $A77, Table2[HomeTeam], L$1)</f>
        <v>38</v>
      </c>
      <c r="M77" s="145">
        <f>SUMIFS(Table2[NewPointsAway],Table2[GameDate], "&lt;=" &amp; $A77, Table2[AwayTeam], M$1)+SUMIFS(Table2[NewPointsHome],Table2[GameDate], "&lt;=" &amp; $A77, Table2[HomeTeam], M$1)</f>
        <v>36</v>
      </c>
      <c r="N77" s="145">
        <f>SUMIFS(Table2[NewPointsAway],Table2[GameDate], "&lt;=" &amp; $A77, Table2[AwayTeam], N$1)+SUMIFS(Table2[NewPointsHome],Table2[GameDate], "&lt;=" &amp; $A77, Table2[HomeTeam], N$1)</f>
        <v>37</v>
      </c>
      <c r="O77" s="145">
        <f>SUMIFS(Table2[NewPointsAway],Table2[GameDate], "&lt;=" &amp; $A77, Table2[AwayTeam], O$1)+SUMIFS(Table2[NewPointsHome],Table2[GameDate], "&lt;=" &amp; $A77, Table2[HomeTeam], O$1)</f>
        <v>45</v>
      </c>
      <c r="P77" s="145">
        <f>SUMIFS(Table2[NewPointsAway],Table2[GameDate], "&lt;=" &amp; $A77, Table2[AwayTeam], P$1)+SUMIFS(Table2[NewPointsHome],Table2[GameDate], "&lt;=" &amp; $A77, Table2[HomeTeam], P$1)</f>
        <v>38</v>
      </c>
      <c r="Q77" s="145">
        <f>SUMIFS(Table2[NewPointsAway],Table2[GameDate], "&lt;=" &amp; $A77, Table2[AwayTeam], Q$1)+SUMIFS(Table2[NewPointsHome],Table2[GameDate], "&lt;=" &amp; $A77, Table2[HomeTeam], Q$1)</f>
        <v>37</v>
      </c>
      <c r="R77" s="145">
        <f>SUMIFS(Table2[NewPointsAway],Table2[GameDate], "&lt;=" &amp; $A77, Table2[AwayTeam], R$1)+SUMIFS(Table2[NewPointsHome],Table2[GameDate], "&lt;=" &amp; $A77, Table2[HomeTeam], R$1)</f>
        <v>30</v>
      </c>
      <c r="S77" s="145">
        <f>SUMIFS(Table2[NewPointsAway],Table2[GameDate], "&lt;=" &amp; $A77, Table2[AwayTeam], S$1)+SUMIFS(Table2[NewPointsHome],Table2[GameDate], "&lt;=" &amp; $A77, Table2[HomeTeam], S$1)</f>
        <v>41</v>
      </c>
      <c r="T77" s="145">
        <f>SUMIFS(Table2[NewPointsAway],Table2[GameDate], "&lt;=" &amp; $A77, Table2[AwayTeam], T$1)+SUMIFS(Table2[NewPointsHome],Table2[GameDate], "&lt;=" &amp; $A77, Table2[HomeTeam], T$1)</f>
        <v>36</v>
      </c>
      <c r="U77" s="145">
        <f>SUMIFS(Table2[NewPointsAway],Table2[GameDate], "&lt;=" &amp; $A77, Table2[AwayTeam], U$1)+SUMIFS(Table2[NewPointsHome],Table2[GameDate], "&lt;=" &amp; $A77, Table2[HomeTeam], U$1)</f>
        <v>34</v>
      </c>
      <c r="V77" s="145">
        <f>SUMIFS(Table2[NewPointsAway],Table2[GameDate], "&lt;=" &amp; $A77, Table2[AwayTeam], V$1)+SUMIFS(Table2[NewPointsHome],Table2[GameDate], "&lt;=" &amp; $A77, Table2[HomeTeam], V$1)</f>
        <v>39</v>
      </c>
      <c r="W77" s="145">
        <f>SUMIFS(Table2[NewPointsAway],Table2[GameDate], "&lt;=" &amp; $A77, Table2[AwayTeam], W$1)+SUMIFS(Table2[NewPointsHome],Table2[GameDate], "&lt;=" &amp; $A77, Table2[HomeTeam], W$1)</f>
        <v>37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37</v>
      </c>
      <c r="Z77" s="145">
        <f>SUMIFS(Table2[NewPointsAway],Table2[GameDate], "&lt;=" &amp; $A77, Table2[AwayTeam], Z$1)+SUMIFS(Table2[NewPointsHome],Table2[GameDate], "&lt;=" &amp; $A77, Table2[HomeTeam], Z$1)</f>
        <v>32</v>
      </c>
      <c r="AA77" s="145">
        <f>SUMIFS(Table2[NewPointsAway],Table2[GameDate], "&lt;=" &amp; $A77, Table2[AwayTeam], AA$1)+SUMIFS(Table2[NewPointsHome],Table2[GameDate], "&lt;=" &amp; $A77, Table2[HomeTeam], AA$1)</f>
        <v>39</v>
      </c>
      <c r="AB77" s="145">
        <f>SUMIFS(Table2[NewPointsAway],Table2[GameDate], "&lt;=" &amp; $A77, Table2[AwayTeam], AB$1)+SUMIFS(Table2[NewPointsHome],Table2[GameDate], "&lt;=" &amp; $A77, Table2[HomeTeam], AB$1)</f>
        <v>35</v>
      </c>
      <c r="AC77" s="145">
        <f>SUMIFS(Table2[NewPointsAway],Table2[GameDate], "&lt;=" &amp; $A77, Table2[AwayTeam], AC$1)+SUMIFS(Table2[NewPointsHome],Table2[GameDate], "&lt;=" &amp; $A77, Table2[HomeTeam], AC$1)</f>
        <v>35</v>
      </c>
      <c r="AD77" s="145">
        <f>SUMIFS(Table2[NewPointsAway],Table2[GameDate], "&lt;=" &amp; $A77, Table2[AwayTeam], AD$1)+SUMIFS(Table2[NewPointsHome],Table2[GameDate], "&lt;=" &amp; $A77, Table2[HomeTeam], AD$1)</f>
        <v>29</v>
      </c>
      <c r="AE77" s="145">
        <f>SUMIFS(Table2[NewPointsAway],Table2[GameDate], "&lt;=" &amp; $A77, Table2[AwayTeam], AE$1)+SUMIFS(Table2[NewPointsHome],Table2[GameDate], "&lt;=" &amp; $A77, Table2[HomeTeam], AE$1)</f>
        <v>41</v>
      </c>
      <c r="AF77" s="145">
        <f>SUMIFS(Table2[NewPointsAway],Table2[GameDate], "&lt;=" &amp; $A77, Table2[AwayTeam], AF$1)+SUMIFS(Table2[NewPointsHome],Table2[GameDate], "&lt;=" &amp; $A77, Table2[HomeTeam], AF$1)</f>
        <v>32</v>
      </c>
      <c r="AG77" s="145">
        <f>SUMIFS(Table2[NewPointsAway],Table2[GameDate], "&lt;=" &amp; $A77, Table2[AwayTeam], AG$1)+SUMIFS(Table2[NewPointsHome],Table2[GameDate], "&lt;=" &amp; $A77, Table2[HomeTeam], AG$1)</f>
        <v>40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42</v>
      </c>
      <c r="C78" s="145">
        <f>SUMIFS(Table2[NewPointsAway],Table2[GameDate], "&lt;=" &amp; $A78, Table2[AwayTeam], C$1)+SUMIFS(Table2[NewPointsHome],Table2[GameDate], "&lt;=" &amp; $A78, Table2[HomeTeam], C$1)</f>
        <v>40</v>
      </c>
      <c r="D78" s="145">
        <f>SUMIFS(Table2[NewPointsAway],Table2[GameDate], "&lt;=" &amp; $A78, Table2[AwayTeam], D$1)+SUMIFS(Table2[NewPointsHome],Table2[GameDate], "&lt;=" &amp; $A78, Table2[HomeTeam], D$1)</f>
        <v>32</v>
      </c>
      <c r="E78" s="145">
        <f>SUMIFS(Table2[NewPointsAway],Table2[GameDate], "&lt;=" &amp; $A78, Table2[AwayTeam], E$1)+SUMIFS(Table2[NewPointsHome],Table2[GameDate], "&lt;=" &amp; $A78, Table2[HomeTeam], E$1)</f>
        <v>44</v>
      </c>
      <c r="F78" s="145">
        <f>SUMIFS(Table2[NewPointsAway],Table2[GameDate], "&lt;=" &amp; $A78, Table2[AwayTeam], F$1)+SUMIFS(Table2[NewPointsHome],Table2[GameDate], "&lt;=" &amp; $A78, Table2[HomeTeam], F$1)</f>
        <v>34</v>
      </c>
      <c r="G78" s="145">
        <f>SUMIFS(Table2[NewPointsAway],Table2[GameDate], "&lt;=" &amp; $A78, Table2[AwayTeam], G$1)+SUMIFS(Table2[NewPointsHome],Table2[GameDate], "&lt;=" &amp; $A78, Table2[HomeTeam], G$1)</f>
        <v>30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55</v>
      </c>
      <c r="J78" s="145">
        <f>SUMIFS(Table2[NewPointsAway],Table2[GameDate], "&lt;=" &amp; $A78, Table2[AwayTeam], J$1)+SUMIFS(Table2[NewPointsHome],Table2[GameDate], "&lt;=" &amp; $A78, Table2[HomeTeam], J$1)</f>
        <v>49</v>
      </c>
      <c r="K78" s="145">
        <f>SUMIFS(Table2[NewPointsAway],Table2[GameDate], "&lt;=" &amp; $A78, Table2[AwayTeam], K$1)+SUMIFS(Table2[NewPointsHome],Table2[GameDate], "&lt;=" &amp; $A78, Table2[HomeTeam], K$1)</f>
        <v>41</v>
      </c>
      <c r="L78" s="145">
        <f>SUMIFS(Table2[NewPointsAway],Table2[GameDate], "&lt;=" &amp; $A78, Table2[AwayTeam], L$1)+SUMIFS(Table2[NewPointsHome],Table2[GameDate], "&lt;=" &amp; $A78, Table2[HomeTeam], L$1)</f>
        <v>38</v>
      </c>
      <c r="M78" s="145">
        <f>SUMIFS(Table2[NewPointsAway],Table2[GameDate], "&lt;=" &amp; $A78, Table2[AwayTeam], M$1)+SUMIFS(Table2[NewPointsHome],Table2[GameDate], "&lt;=" &amp; $A78, Table2[HomeTeam], M$1)</f>
        <v>36</v>
      </c>
      <c r="N78" s="145">
        <f>SUMIFS(Table2[NewPointsAway],Table2[GameDate], "&lt;=" &amp; $A78, Table2[AwayTeam], N$1)+SUMIFS(Table2[NewPointsHome],Table2[GameDate], "&lt;=" &amp; $A78, Table2[HomeTeam], N$1)</f>
        <v>37</v>
      </c>
      <c r="O78" s="145">
        <f>SUMIFS(Table2[NewPointsAway],Table2[GameDate], "&lt;=" &amp; $A78, Table2[AwayTeam], O$1)+SUMIFS(Table2[NewPointsHome],Table2[GameDate], "&lt;=" &amp; $A78, Table2[HomeTeam], O$1)</f>
        <v>45</v>
      </c>
      <c r="P78" s="145">
        <f>SUMIFS(Table2[NewPointsAway],Table2[GameDate], "&lt;=" &amp; $A78, Table2[AwayTeam], P$1)+SUMIFS(Table2[NewPointsHome],Table2[GameDate], "&lt;=" &amp; $A78, Table2[HomeTeam], P$1)</f>
        <v>38</v>
      </c>
      <c r="Q78" s="145">
        <f>SUMIFS(Table2[NewPointsAway],Table2[GameDate], "&lt;=" &amp; $A78, Table2[AwayTeam], Q$1)+SUMIFS(Table2[NewPointsHome],Table2[GameDate], "&lt;=" &amp; $A78, Table2[HomeTeam], Q$1)</f>
        <v>37</v>
      </c>
      <c r="R78" s="145">
        <f>SUMIFS(Table2[NewPointsAway],Table2[GameDate], "&lt;=" &amp; $A78, Table2[AwayTeam], R$1)+SUMIFS(Table2[NewPointsHome],Table2[GameDate], "&lt;=" &amp; $A78, Table2[HomeTeam], R$1)</f>
        <v>30</v>
      </c>
      <c r="S78" s="145">
        <f>SUMIFS(Table2[NewPointsAway],Table2[GameDate], "&lt;=" &amp; $A78, Table2[AwayTeam], S$1)+SUMIFS(Table2[NewPointsHome],Table2[GameDate], "&lt;=" &amp; $A78, Table2[HomeTeam], S$1)</f>
        <v>41</v>
      </c>
      <c r="T78" s="145">
        <f>SUMIFS(Table2[NewPointsAway],Table2[GameDate], "&lt;=" &amp; $A78, Table2[AwayTeam], T$1)+SUMIFS(Table2[NewPointsHome],Table2[GameDate], "&lt;=" &amp; $A78, Table2[HomeTeam], T$1)</f>
        <v>36</v>
      </c>
      <c r="U78" s="145">
        <f>SUMIFS(Table2[NewPointsAway],Table2[GameDate], "&lt;=" &amp; $A78, Table2[AwayTeam], U$1)+SUMIFS(Table2[NewPointsHome],Table2[GameDate], "&lt;=" &amp; $A78, Table2[HomeTeam], U$1)</f>
        <v>34</v>
      </c>
      <c r="V78" s="145">
        <f>SUMIFS(Table2[NewPointsAway],Table2[GameDate], "&lt;=" &amp; $A78, Table2[AwayTeam], V$1)+SUMIFS(Table2[NewPointsHome],Table2[GameDate], "&lt;=" &amp; $A78, Table2[HomeTeam], V$1)</f>
        <v>39</v>
      </c>
      <c r="W78" s="145">
        <f>SUMIFS(Table2[NewPointsAway],Table2[GameDate], "&lt;=" &amp; $A78, Table2[AwayTeam], W$1)+SUMIFS(Table2[NewPointsHome],Table2[GameDate], "&lt;=" &amp; $A78, Table2[HomeTeam], W$1)</f>
        <v>37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37</v>
      </c>
      <c r="Z78" s="145">
        <f>SUMIFS(Table2[NewPointsAway],Table2[GameDate], "&lt;=" &amp; $A78, Table2[AwayTeam], Z$1)+SUMIFS(Table2[NewPointsHome],Table2[GameDate], "&lt;=" &amp; $A78, Table2[HomeTeam], Z$1)</f>
        <v>32</v>
      </c>
      <c r="AA78" s="145">
        <f>SUMIFS(Table2[NewPointsAway],Table2[GameDate], "&lt;=" &amp; $A78, Table2[AwayTeam], AA$1)+SUMIFS(Table2[NewPointsHome],Table2[GameDate], "&lt;=" &amp; $A78, Table2[HomeTeam], AA$1)</f>
        <v>39</v>
      </c>
      <c r="AB78" s="145">
        <f>SUMIFS(Table2[NewPointsAway],Table2[GameDate], "&lt;=" &amp; $A78, Table2[AwayTeam], AB$1)+SUMIFS(Table2[NewPointsHome],Table2[GameDate], "&lt;=" &amp; $A78, Table2[HomeTeam], AB$1)</f>
        <v>35</v>
      </c>
      <c r="AC78" s="145">
        <f>SUMIFS(Table2[NewPointsAway],Table2[GameDate], "&lt;=" &amp; $A78, Table2[AwayTeam], AC$1)+SUMIFS(Table2[NewPointsHome],Table2[GameDate], "&lt;=" &amp; $A78, Table2[HomeTeam], AC$1)</f>
        <v>35</v>
      </c>
      <c r="AD78" s="145">
        <f>SUMIFS(Table2[NewPointsAway],Table2[GameDate], "&lt;=" &amp; $A78, Table2[AwayTeam], AD$1)+SUMIFS(Table2[NewPointsHome],Table2[GameDate], "&lt;=" &amp; $A78, Table2[HomeTeam], AD$1)</f>
        <v>29</v>
      </c>
      <c r="AE78" s="145">
        <f>SUMIFS(Table2[NewPointsAway],Table2[GameDate], "&lt;=" &amp; $A78, Table2[AwayTeam], AE$1)+SUMIFS(Table2[NewPointsHome],Table2[GameDate], "&lt;=" &amp; $A78, Table2[HomeTeam], AE$1)</f>
        <v>41</v>
      </c>
      <c r="AF78" s="145">
        <f>SUMIFS(Table2[NewPointsAway],Table2[GameDate], "&lt;=" &amp; $A78, Table2[AwayTeam], AF$1)+SUMIFS(Table2[NewPointsHome],Table2[GameDate], "&lt;=" &amp; $A78, Table2[HomeTeam], AF$1)</f>
        <v>32</v>
      </c>
      <c r="AG78" s="145">
        <f>SUMIFS(Table2[NewPointsAway],Table2[GameDate], "&lt;=" &amp; $A78, Table2[AwayTeam], AG$1)+SUMIFS(Table2[NewPointsHome],Table2[GameDate], "&lt;=" &amp; $A78, Table2[HomeTeam], AG$1)</f>
        <v>40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42</v>
      </c>
      <c r="C79" s="145">
        <f>SUMIFS(Table2[NewPointsAway],Table2[GameDate], "&lt;=" &amp; $A79, Table2[AwayTeam], C$1)+SUMIFS(Table2[NewPointsHome],Table2[GameDate], "&lt;=" &amp; $A79, Table2[HomeTeam], C$1)</f>
        <v>40</v>
      </c>
      <c r="D79" s="145">
        <f>SUMIFS(Table2[NewPointsAway],Table2[GameDate], "&lt;=" &amp; $A79, Table2[AwayTeam], D$1)+SUMIFS(Table2[NewPointsHome],Table2[GameDate], "&lt;=" &amp; $A79, Table2[HomeTeam], D$1)</f>
        <v>32</v>
      </c>
      <c r="E79" s="145">
        <f>SUMIFS(Table2[NewPointsAway],Table2[GameDate], "&lt;=" &amp; $A79, Table2[AwayTeam], E$1)+SUMIFS(Table2[NewPointsHome],Table2[GameDate], "&lt;=" &amp; $A79, Table2[HomeTeam], E$1)</f>
        <v>44</v>
      </c>
      <c r="F79" s="145">
        <f>SUMIFS(Table2[NewPointsAway],Table2[GameDate], "&lt;=" &amp; $A79, Table2[AwayTeam], F$1)+SUMIFS(Table2[NewPointsHome],Table2[GameDate], "&lt;=" &amp; $A79, Table2[HomeTeam], F$1)</f>
        <v>34</v>
      </c>
      <c r="G79" s="145">
        <f>SUMIFS(Table2[NewPointsAway],Table2[GameDate], "&lt;=" &amp; $A79, Table2[AwayTeam], G$1)+SUMIFS(Table2[NewPointsHome],Table2[GameDate], "&lt;=" &amp; $A79, Table2[HomeTeam], G$1)</f>
        <v>30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55</v>
      </c>
      <c r="J79" s="145">
        <f>SUMIFS(Table2[NewPointsAway],Table2[GameDate], "&lt;=" &amp; $A79, Table2[AwayTeam], J$1)+SUMIFS(Table2[NewPointsHome],Table2[GameDate], "&lt;=" &amp; $A79, Table2[HomeTeam], J$1)</f>
        <v>49</v>
      </c>
      <c r="K79" s="145">
        <f>SUMIFS(Table2[NewPointsAway],Table2[GameDate], "&lt;=" &amp; $A79, Table2[AwayTeam], K$1)+SUMIFS(Table2[NewPointsHome],Table2[GameDate], "&lt;=" &amp; $A79, Table2[HomeTeam], K$1)</f>
        <v>41</v>
      </c>
      <c r="L79" s="145">
        <f>SUMIFS(Table2[NewPointsAway],Table2[GameDate], "&lt;=" &amp; $A79, Table2[AwayTeam], L$1)+SUMIFS(Table2[NewPointsHome],Table2[GameDate], "&lt;=" &amp; $A79, Table2[HomeTeam], L$1)</f>
        <v>38</v>
      </c>
      <c r="M79" s="145">
        <f>SUMIFS(Table2[NewPointsAway],Table2[GameDate], "&lt;=" &amp; $A79, Table2[AwayTeam], M$1)+SUMIFS(Table2[NewPointsHome],Table2[GameDate], "&lt;=" &amp; $A79, Table2[HomeTeam], M$1)</f>
        <v>36</v>
      </c>
      <c r="N79" s="145">
        <f>SUMIFS(Table2[NewPointsAway],Table2[GameDate], "&lt;=" &amp; $A79, Table2[AwayTeam], N$1)+SUMIFS(Table2[NewPointsHome],Table2[GameDate], "&lt;=" &amp; $A79, Table2[HomeTeam], N$1)</f>
        <v>37</v>
      </c>
      <c r="O79" s="145">
        <f>SUMIFS(Table2[NewPointsAway],Table2[GameDate], "&lt;=" &amp; $A79, Table2[AwayTeam], O$1)+SUMIFS(Table2[NewPointsHome],Table2[GameDate], "&lt;=" &amp; $A79, Table2[HomeTeam], O$1)</f>
        <v>45</v>
      </c>
      <c r="P79" s="145">
        <f>SUMIFS(Table2[NewPointsAway],Table2[GameDate], "&lt;=" &amp; $A79, Table2[AwayTeam], P$1)+SUMIFS(Table2[NewPointsHome],Table2[GameDate], "&lt;=" &amp; $A79, Table2[HomeTeam], P$1)</f>
        <v>38</v>
      </c>
      <c r="Q79" s="145">
        <f>SUMIFS(Table2[NewPointsAway],Table2[GameDate], "&lt;=" &amp; $A79, Table2[AwayTeam], Q$1)+SUMIFS(Table2[NewPointsHome],Table2[GameDate], "&lt;=" &amp; $A79, Table2[HomeTeam], Q$1)</f>
        <v>37</v>
      </c>
      <c r="R79" s="145">
        <f>SUMIFS(Table2[NewPointsAway],Table2[GameDate], "&lt;=" &amp; $A79, Table2[AwayTeam], R$1)+SUMIFS(Table2[NewPointsHome],Table2[GameDate], "&lt;=" &amp; $A79, Table2[HomeTeam], R$1)</f>
        <v>30</v>
      </c>
      <c r="S79" s="145">
        <f>SUMIFS(Table2[NewPointsAway],Table2[GameDate], "&lt;=" &amp; $A79, Table2[AwayTeam], S$1)+SUMIFS(Table2[NewPointsHome],Table2[GameDate], "&lt;=" &amp; $A79, Table2[HomeTeam], S$1)</f>
        <v>41</v>
      </c>
      <c r="T79" s="145">
        <f>SUMIFS(Table2[NewPointsAway],Table2[GameDate], "&lt;=" &amp; $A79, Table2[AwayTeam], T$1)+SUMIFS(Table2[NewPointsHome],Table2[GameDate], "&lt;=" &amp; $A79, Table2[HomeTeam], T$1)</f>
        <v>36</v>
      </c>
      <c r="U79" s="145">
        <f>SUMIFS(Table2[NewPointsAway],Table2[GameDate], "&lt;=" &amp; $A79, Table2[AwayTeam], U$1)+SUMIFS(Table2[NewPointsHome],Table2[GameDate], "&lt;=" &amp; $A79, Table2[HomeTeam], U$1)</f>
        <v>34</v>
      </c>
      <c r="V79" s="145">
        <f>SUMIFS(Table2[NewPointsAway],Table2[GameDate], "&lt;=" &amp; $A79, Table2[AwayTeam], V$1)+SUMIFS(Table2[NewPointsHome],Table2[GameDate], "&lt;=" &amp; $A79, Table2[HomeTeam], V$1)</f>
        <v>39</v>
      </c>
      <c r="W79" s="145">
        <f>SUMIFS(Table2[NewPointsAway],Table2[GameDate], "&lt;=" &amp; $A79, Table2[AwayTeam], W$1)+SUMIFS(Table2[NewPointsHome],Table2[GameDate], "&lt;=" &amp; $A79, Table2[HomeTeam], W$1)</f>
        <v>37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37</v>
      </c>
      <c r="Z79" s="145">
        <f>SUMIFS(Table2[NewPointsAway],Table2[GameDate], "&lt;=" &amp; $A79, Table2[AwayTeam], Z$1)+SUMIFS(Table2[NewPointsHome],Table2[GameDate], "&lt;=" &amp; $A79, Table2[HomeTeam], Z$1)</f>
        <v>32</v>
      </c>
      <c r="AA79" s="145">
        <f>SUMIFS(Table2[NewPointsAway],Table2[GameDate], "&lt;=" &amp; $A79, Table2[AwayTeam], AA$1)+SUMIFS(Table2[NewPointsHome],Table2[GameDate], "&lt;=" &amp; $A79, Table2[HomeTeam], AA$1)</f>
        <v>39</v>
      </c>
      <c r="AB79" s="145">
        <f>SUMIFS(Table2[NewPointsAway],Table2[GameDate], "&lt;=" &amp; $A79, Table2[AwayTeam], AB$1)+SUMIFS(Table2[NewPointsHome],Table2[GameDate], "&lt;=" &amp; $A79, Table2[HomeTeam], AB$1)</f>
        <v>35</v>
      </c>
      <c r="AC79" s="145">
        <f>SUMIFS(Table2[NewPointsAway],Table2[GameDate], "&lt;=" &amp; $A79, Table2[AwayTeam], AC$1)+SUMIFS(Table2[NewPointsHome],Table2[GameDate], "&lt;=" &amp; $A79, Table2[HomeTeam], AC$1)</f>
        <v>35</v>
      </c>
      <c r="AD79" s="145">
        <f>SUMIFS(Table2[NewPointsAway],Table2[GameDate], "&lt;=" &amp; $A79, Table2[AwayTeam], AD$1)+SUMIFS(Table2[NewPointsHome],Table2[GameDate], "&lt;=" &amp; $A79, Table2[HomeTeam], AD$1)</f>
        <v>29</v>
      </c>
      <c r="AE79" s="145">
        <f>SUMIFS(Table2[NewPointsAway],Table2[GameDate], "&lt;=" &amp; $A79, Table2[AwayTeam], AE$1)+SUMIFS(Table2[NewPointsHome],Table2[GameDate], "&lt;=" &amp; $A79, Table2[HomeTeam], AE$1)</f>
        <v>41</v>
      </c>
      <c r="AF79" s="145">
        <f>SUMIFS(Table2[NewPointsAway],Table2[GameDate], "&lt;=" &amp; $A79, Table2[AwayTeam], AF$1)+SUMIFS(Table2[NewPointsHome],Table2[GameDate], "&lt;=" &amp; $A79, Table2[HomeTeam], AF$1)</f>
        <v>32</v>
      </c>
      <c r="AG79" s="145">
        <f>SUMIFS(Table2[NewPointsAway],Table2[GameDate], "&lt;=" &amp; $A79, Table2[AwayTeam], AG$1)+SUMIFS(Table2[NewPointsHome],Table2[GameDate], "&lt;=" &amp; $A79, Table2[HomeTeam], AG$1)</f>
        <v>40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42</v>
      </c>
      <c r="C80" s="145">
        <f>SUMIFS(Table2[NewPointsAway],Table2[GameDate], "&lt;=" &amp; $A80, Table2[AwayTeam], C$1)+SUMIFS(Table2[NewPointsHome],Table2[GameDate], "&lt;=" &amp; $A80, Table2[HomeTeam], C$1)</f>
        <v>40</v>
      </c>
      <c r="D80" s="145">
        <f>SUMIFS(Table2[NewPointsAway],Table2[GameDate], "&lt;=" &amp; $A80, Table2[AwayTeam], D$1)+SUMIFS(Table2[NewPointsHome],Table2[GameDate], "&lt;=" &amp; $A80, Table2[HomeTeam], D$1)</f>
        <v>32</v>
      </c>
      <c r="E80" s="145">
        <f>SUMIFS(Table2[NewPointsAway],Table2[GameDate], "&lt;=" &amp; $A80, Table2[AwayTeam], E$1)+SUMIFS(Table2[NewPointsHome],Table2[GameDate], "&lt;=" &amp; $A80, Table2[HomeTeam], E$1)</f>
        <v>44</v>
      </c>
      <c r="F80" s="145">
        <f>SUMIFS(Table2[NewPointsAway],Table2[GameDate], "&lt;=" &amp; $A80, Table2[AwayTeam], F$1)+SUMIFS(Table2[NewPointsHome],Table2[GameDate], "&lt;=" &amp; $A80, Table2[HomeTeam], F$1)</f>
        <v>34</v>
      </c>
      <c r="G80" s="145">
        <f>SUMIFS(Table2[NewPointsAway],Table2[GameDate], "&lt;=" &amp; $A80, Table2[AwayTeam], G$1)+SUMIFS(Table2[NewPointsHome],Table2[GameDate], "&lt;=" &amp; $A80, Table2[HomeTeam], G$1)</f>
        <v>30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55</v>
      </c>
      <c r="J80" s="145">
        <f>SUMIFS(Table2[NewPointsAway],Table2[GameDate], "&lt;=" &amp; $A80, Table2[AwayTeam], J$1)+SUMIFS(Table2[NewPointsHome],Table2[GameDate], "&lt;=" &amp; $A80, Table2[HomeTeam], J$1)</f>
        <v>49</v>
      </c>
      <c r="K80" s="145">
        <f>SUMIFS(Table2[NewPointsAway],Table2[GameDate], "&lt;=" &amp; $A80, Table2[AwayTeam], K$1)+SUMIFS(Table2[NewPointsHome],Table2[GameDate], "&lt;=" &amp; $A80, Table2[HomeTeam], K$1)</f>
        <v>41</v>
      </c>
      <c r="L80" s="145">
        <f>SUMIFS(Table2[NewPointsAway],Table2[GameDate], "&lt;=" &amp; $A80, Table2[AwayTeam], L$1)+SUMIFS(Table2[NewPointsHome],Table2[GameDate], "&lt;=" &amp; $A80, Table2[HomeTeam], L$1)</f>
        <v>38</v>
      </c>
      <c r="M80" s="145">
        <f>SUMIFS(Table2[NewPointsAway],Table2[GameDate], "&lt;=" &amp; $A80, Table2[AwayTeam], M$1)+SUMIFS(Table2[NewPointsHome],Table2[GameDate], "&lt;=" &amp; $A80, Table2[HomeTeam], M$1)</f>
        <v>36</v>
      </c>
      <c r="N80" s="145">
        <f>SUMIFS(Table2[NewPointsAway],Table2[GameDate], "&lt;=" &amp; $A80, Table2[AwayTeam], N$1)+SUMIFS(Table2[NewPointsHome],Table2[GameDate], "&lt;=" &amp; $A80, Table2[HomeTeam], N$1)</f>
        <v>37</v>
      </c>
      <c r="O80" s="145">
        <f>SUMIFS(Table2[NewPointsAway],Table2[GameDate], "&lt;=" &amp; $A80, Table2[AwayTeam], O$1)+SUMIFS(Table2[NewPointsHome],Table2[GameDate], "&lt;=" &amp; $A80, Table2[HomeTeam], O$1)</f>
        <v>45</v>
      </c>
      <c r="P80" s="145">
        <f>SUMIFS(Table2[NewPointsAway],Table2[GameDate], "&lt;=" &amp; $A80, Table2[AwayTeam], P$1)+SUMIFS(Table2[NewPointsHome],Table2[GameDate], "&lt;=" &amp; $A80, Table2[HomeTeam], P$1)</f>
        <v>38</v>
      </c>
      <c r="Q80" s="145">
        <f>SUMIFS(Table2[NewPointsAway],Table2[GameDate], "&lt;=" &amp; $A80, Table2[AwayTeam], Q$1)+SUMIFS(Table2[NewPointsHome],Table2[GameDate], "&lt;=" &amp; $A80, Table2[HomeTeam], Q$1)</f>
        <v>37</v>
      </c>
      <c r="R80" s="145">
        <f>SUMIFS(Table2[NewPointsAway],Table2[GameDate], "&lt;=" &amp; $A80, Table2[AwayTeam], R$1)+SUMIFS(Table2[NewPointsHome],Table2[GameDate], "&lt;=" &amp; $A80, Table2[HomeTeam], R$1)</f>
        <v>30</v>
      </c>
      <c r="S80" s="145">
        <f>SUMIFS(Table2[NewPointsAway],Table2[GameDate], "&lt;=" &amp; $A80, Table2[AwayTeam], S$1)+SUMIFS(Table2[NewPointsHome],Table2[GameDate], "&lt;=" &amp; $A80, Table2[HomeTeam], S$1)</f>
        <v>41</v>
      </c>
      <c r="T80" s="145">
        <f>SUMIFS(Table2[NewPointsAway],Table2[GameDate], "&lt;=" &amp; $A80, Table2[AwayTeam], T$1)+SUMIFS(Table2[NewPointsHome],Table2[GameDate], "&lt;=" &amp; $A80, Table2[HomeTeam], T$1)</f>
        <v>36</v>
      </c>
      <c r="U80" s="145">
        <f>SUMIFS(Table2[NewPointsAway],Table2[GameDate], "&lt;=" &amp; $A80, Table2[AwayTeam], U$1)+SUMIFS(Table2[NewPointsHome],Table2[GameDate], "&lt;=" &amp; $A80, Table2[HomeTeam], U$1)</f>
        <v>34</v>
      </c>
      <c r="V80" s="145">
        <f>SUMIFS(Table2[NewPointsAway],Table2[GameDate], "&lt;=" &amp; $A80, Table2[AwayTeam], V$1)+SUMIFS(Table2[NewPointsHome],Table2[GameDate], "&lt;=" &amp; $A80, Table2[HomeTeam], V$1)</f>
        <v>39</v>
      </c>
      <c r="W80" s="145">
        <f>SUMIFS(Table2[NewPointsAway],Table2[GameDate], "&lt;=" &amp; $A80, Table2[AwayTeam], W$1)+SUMIFS(Table2[NewPointsHome],Table2[GameDate], "&lt;=" &amp; $A80, Table2[HomeTeam], W$1)</f>
        <v>37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37</v>
      </c>
      <c r="Z80" s="145">
        <f>SUMIFS(Table2[NewPointsAway],Table2[GameDate], "&lt;=" &amp; $A80, Table2[AwayTeam], Z$1)+SUMIFS(Table2[NewPointsHome],Table2[GameDate], "&lt;=" &amp; $A80, Table2[HomeTeam], Z$1)</f>
        <v>32</v>
      </c>
      <c r="AA80" s="145">
        <f>SUMIFS(Table2[NewPointsAway],Table2[GameDate], "&lt;=" &amp; $A80, Table2[AwayTeam], AA$1)+SUMIFS(Table2[NewPointsHome],Table2[GameDate], "&lt;=" &amp; $A80, Table2[HomeTeam], AA$1)</f>
        <v>39</v>
      </c>
      <c r="AB80" s="145">
        <f>SUMIFS(Table2[NewPointsAway],Table2[GameDate], "&lt;=" &amp; $A80, Table2[AwayTeam], AB$1)+SUMIFS(Table2[NewPointsHome],Table2[GameDate], "&lt;=" &amp; $A80, Table2[HomeTeam], AB$1)</f>
        <v>35</v>
      </c>
      <c r="AC80" s="145">
        <f>SUMIFS(Table2[NewPointsAway],Table2[GameDate], "&lt;=" &amp; $A80, Table2[AwayTeam], AC$1)+SUMIFS(Table2[NewPointsHome],Table2[GameDate], "&lt;=" &amp; $A80, Table2[HomeTeam], AC$1)</f>
        <v>35</v>
      </c>
      <c r="AD80" s="145">
        <f>SUMIFS(Table2[NewPointsAway],Table2[GameDate], "&lt;=" &amp; $A80, Table2[AwayTeam], AD$1)+SUMIFS(Table2[NewPointsHome],Table2[GameDate], "&lt;=" &amp; $A80, Table2[HomeTeam], AD$1)</f>
        <v>29</v>
      </c>
      <c r="AE80" s="145">
        <f>SUMIFS(Table2[NewPointsAway],Table2[GameDate], "&lt;=" &amp; $A80, Table2[AwayTeam], AE$1)+SUMIFS(Table2[NewPointsHome],Table2[GameDate], "&lt;=" &amp; $A80, Table2[HomeTeam], AE$1)</f>
        <v>41</v>
      </c>
      <c r="AF80" s="145">
        <f>SUMIFS(Table2[NewPointsAway],Table2[GameDate], "&lt;=" &amp; $A80, Table2[AwayTeam], AF$1)+SUMIFS(Table2[NewPointsHome],Table2[GameDate], "&lt;=" &amp; $A80, Table2[HomeTeam], AF$1)</f>
        <v>32</v>
      </c>
      <c r="AG80" s="145">
        <f>SUMIFS(Table2[NewPointsAway],Table2[GameDate], "&lt;=" &amp; $A80, Table2[AwayTeam], AG$1)+SUMIFS(Table2[NewPointsHome],Table2[GameDate], "&lt;=" &amp; $A80, Table2[HomeTeam], AG$1)</f>
        <v>40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42</v>
      </c>
      <c r="C81" s="145">
        <f>SUMIFS(Table2[NewPointsAway],Table2[GameDate], "&lt;=" &amp; $A81, Table2[AwayTeam], C$1)+SUMIFS(Table2[NewPointsHome],Table2[GameDate], "&lt;=" &amp; $A81, Table2[HomeTeam], C$1)</f>
        <v>40</v>
      </c>
      <c r="D81" s="145">
        <f>SUMIFS(Table2[NewPointsAway],Table2[GameDate], "&lt;=" &amp; $A81, Table2[AwayTeam], D$1)+SUMIFS(Table2[NewPointsHome],Table2[GameDate], "&lt;=" &amp; $A81, Table2[HomeTeam], D$1)</f>
        <v>32</v>
      </c>
      <c r="E81" s="145">
        <f>SUMIFS(Table2[NewPointsAway],Table2[GameDate], "&lt;=" &amp; $A81, Table2[AwayTeam], E$1)+SUMIFS(Table2[NewPointsHome],Table2[GameDate], "&lt;=" &amp; $A81, Table2[HomeTeam], E$1)</f>
        <v>44</v>
      </c>
      <c r="F81" s="145">
        <f>SUMIFS(Table2[NewPointsAway],Table2[GameDate], "&lt;=" &amp; $A81, Table2[AwayTeam], F$1)+SUMIFS(Table2[NewPointsHome],Table2[GameDate], "&lt;=" &amp; $A81, Table2[HomeTeam], F$1)</f>
        <v>34</v>
      </c>
      <c r="G81" s="145">
        <f>SUMIFS(Table2[NewPointsAway],Table2[GameDate], "&lt;=" &amp; $A81, Table2[AwayTeam], G$1)+SUMIFS(Table2[NewPointsHome],Table2[GameDate], "&lt;=" &amp; $A81, Table2[HomeTeam], G$1)</f>
        <v>30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55</v>
      </c>
      <c r="J81" s="145">
        <f>SUMIFS(Table2[NewPointsAway],Table2[GameDate], "&lt;=" &amp; $A81, Table2[AwayTeam], J$1)+SUMIFS(Table2[NewPointsHome],Table2[GameDate], "&lt;=" &amp; $A81, Table2[HomeTeam], J$1)</f>
        <v>49</v>
      </c>
      <c r="K81" s="145">
        <f>SUMIFS(Table2[NewPointsAway],Table2[GameDate], "&lt;=" &amp; $A81, Table2[AwayTeam], K$1)+SUMIFS(Table2[NewPointsHome],Table2[GameDate], "&lt;=" &amp; $A81, Table2[HomeTeam], K$1)</f>
        <v>41</v>
      </c>
      <c r="L81" s="145">
        <f>SUMIFS(Table2[NewPointsAway],Table2[GameDate], "&lt;=" &amp; $A81, Table2[AwayTeam], L$1)+SUMIFS(Table2[NewPointsHome],Table2[GameDate], "&lt;=" &amp; $A81, Table2[HomeTeam], L$1)</f>
        <v>38</v>
      </c>
      <c r="M81" s="145">
        <f>SUMIFS(Table2[NewPointsAway],Table2[GameDate], "&lt;=" &amp; $A81, Table2[AwayTeam], M$1)+SUMIFS(Table2[NewPointsHome],Table2[GameDate], "&lt;=" &amp; $A81, Table2[HomeTeam], M$1)</f>
        <v>36</v>
      </c>
      <c r="N81" s="145">
        <f>SUMIFS(Table2[NewPointsAway],Table2[GameDate], "&lt;=" &amp; $A81, Table2[AwayTeam], N$1)+SUMIFS(Table2[NewPointsHome],Table2[GameDate], "&lt;=" &amp; $A81, Table2[HomeTeam], N$1)</f>
        <v>37</v>
      </c>
      <c r="O81" s="145">
        <f>SUMIFS(Table2[NewPointsAway],Table2[GameDate], "&lt;=" &amp; $A81, Table2[AwayTeam], O$1)+SUMIFS(Table2[NewPointsHome],Table2[GameDate], "&lt;=" &amp; $A81, Table2[HomeTeam], O$1)</f>
        <v>45</v>
      </c>
      <c r="P81" s="145">
        <f>SUMIFS(Table2[NewPointsAway],Table2[GameDate], "&lt;=" &amp; $A81, Table2[AwayTeam], P$1)+SUMIFS(Table2[NewPointsHome],Table2[GameDate], "&lt;=" &amp; $A81, Table2[HomeTeam], P$1)</f>
        <v>38</v>
      </c>
      <c r="Q81" s="145">
        <f>SUMIFS(Table2[NewPointsAway],Table2[GameDate], "&lt;=" &amp; $A81, Table2[AwayTeam], Q$1)+SUMIFS(Table2[NewPointsHome],Table2[GameDate], "&lt;=" &amp; $A81, Table2[HomeTeam], Q$1)</f>
        <v>37</v>
      </c>
      <c r="R81" s="145">
        <f>SUMIFS(Table2[NewPointsAway],Table2[GameDate], "&lt;=" &amp; $A81, Table2[AwayTeam], R$1)+SUMIFS(Table2[NewPointsHome],Table2[GameDate], "&lt;=" &amp; $A81, Table2[HomeTeam], R$1)</f>
        <v>30</v>
      </c>
      <c r="S81" s="145">
        <f>SUMIFS(Table2[NewPointsAway],Table2[GameDate], "&lt;=" &amp; $A81, Table2[AwayTeam], S$1)+SUMIFS(Table2[NewPointsHome],Table2[GameDate], "&lt;=" &amp; $A81, Table2[HomeTeam], S$1)</f>
        <v>41</v>
      </c>
      <c r="T81" s="145">
        <f>SUMIFS(Table2[NewPointsAway],Table2[GameDate], "&lt;=" &amp; $A81, Table2[AwayTeam], T$1)+SUMIFS(Table2[NewPointsHome],Table2[GameDate], "&lt;=" &amp; $A81, Table2[HomeTeam], T$1)</f>
        <v>36</v>
      </c>
      <c r="U81" s="145">
        <f>SUMIFS(Table2[NewPointsAway],Table2[GameDate], "&lt;=" &amp; $A81, Table2[AwayTeam], U$1)+SUMIFS(Table2[NewPointsHome],Table2[GameDate], "&lt;=" &amp; $A81, Table2[HomeTeam], U$1)</f>
        <v>34</v>
      </c>
      <c r="V81" s="145">
        <f>SUMIFS(Table2[NewPointsAway],Table2[GameDate], "&lt;=" &amp; $A81, Table2[AwayTeam], V$1)+SUMIFS(Table2[NewPointsHome],Table2[GameDate], "&lt;=" &amp; $A81, Table2[HomeTeam], V$1)</f>
        <v>39</v>
      </c>
      <c r="W81" s="145">
        <f>SUMIFS(Table2[NewPointsAway],Table2[GameDate], "&lt;=" &amp; $A81, Table2[AwayTeam], W$1)+SUMIFS(Table2[NewPointsHome],Table2[GameDate], "&lt;=" &amp; $A81, Table2[HomeTeam], W$1)</f>
        <v>37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37</v>
      </c>
      <c r="Z81" s="145">
        <f>SUMIFS(Table2[NewPointsAway],Table2[GameDate], "&lt;=" &amp; $A81, Table2[AwayTeam], Z$1)+SUMIFS(Table2[NewPointsHome],Table2[GameDate], "&lt;=" &amp; $A81, Table2[HomeTeam], Z$1)</f>
        <v>32</v>
      </c>
      <c r="AA81" s="145">
        <f>SUMIFS(Table2[NewPointsAway],Table2[GameDate], "&lt;=" &amp; $A81, Table2[AwayTeam], AA$1)+SUMIFS(Table2[NewPointsHome],Table2[GameDate], "&lt;=" &amp; $A81, Table2[HomeTeam], AA$1)</f>
        <v>39</v>
      </c>
      <c r="AB81" s="145">
        <f>SUMIFS(Table2[NewPointsAway],Table2[GameDate], "&lt;=" &amp; $A81, Table2[AwayTeam], AB$1)+SUMIFS(Table2[NewPointsHome],Table2[GameDate], "&lt;=" &amp; $A81, Table2[HomeTeam], AB$1)</f>
        <v>35</v>
      </c>
      <c r="AC81" s="145">
        <f>SUMIFS(Table2[NewPointsAway],Table2[GameDate], "&lt;=" &amp; $A81, Table2[AwayTeam], AC$1)+SUMIFS(Table2[NewPointsHome],Table2[GameDate], "&lt;=" &amp; $A81, Table2[HomeTeam], AC$1)</f>
        <v>35</v>
      </c>
      <c r="AD81" s="145">
        <f>SUMIFS(Table2[NewPointsAway],Table2[GameDate], "&lt;=" &amp; $A81, Table2[AwayTeam], AD$1)+SUMIFS(Table2[NewPointsHome],Table2[GameDate], "&lt;=" &amp; $A81, Table2[HomeTeam], AD$1)</f>
        <v>29</v>
      </c>
      <c r="AE81" s="145">
        <f>SUMIFS(Table2[NewPointsAway],Table2[GameDate], "&lt;=" &amp; $A81, Table2[AwayTeam], AE$1)+SUMIFS(Table2[NewPointsHome],Table2[GameDate], "&lt;=" &amp; $A81, Table2[HomeTeam], AE$1)</f>
        <v>41</v>
      </c>
      <c r="AF81" s="145">
        <f>SUMIFS(Table2[NewPointsAway],Table2[GameDate], "&lt;=" &amp; $A81, Table2[AwayTeam], AF$1)+SUMIFS(Table2[NewPointsHome],Table2[GameDate], "&lt;=" &amp; $A81, Table2[HomeTeam], AF$1)</f>
        <v>32</v>
      </c>
      <c r="AG81" s="145">
        <f>SUMIFS(Table2[NewPointsAway],Table2[GameDate], "&lt;=" &amp; $A81, Table2[AwayTeam], AG$1)+SUMIFS(Table2[NewPointsHome],Table2[GameDate], "&lt;=" &amp; $A81, Table2[HomeTeam], AG$1)</f>
        <v>40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42</v>
      </c>
      <c r="C82" s="145">
        <f>SUMIFS(Table2[NewPointsAway],Table2[GameDate], "&lt;=" &amp; $A82, Table2[AwayTeam], C$1)+SUMIFS(Table2[NewPointsHome],Table2[GameDate], "&lt;=" &amp; $A82, Table2[HomeTeam], C$1)</f>
        <v>40</v>
      </c>
      <c r="D82" s="145">
        <f>SUMIFS(Table2[NewPointsAway],Table2[GameDate], "&lt;=" &amp; $A82, Table2[AwayTeam], D$1)+SUMIFS(Table2[NewPointsHome],Table2[GameDate], "&lt;=" &amp; $A82, Table2[HomeTeam], D$1)</f>
        <v>32</v>
      </c>
      <c r="E82" s="145">
        <f>SUMIFS(Table2[NewPointsAway],Table2[GameDate], "&lt;=" &amp; $A82, Table2[AwayTeam], E$1)+SUMIFS(Table2[NewPointsHome],Table2[GameDate], "&lt;=" &amp; $A82, Table2[HomeTeam], E$1)</f>
        <v>44</v>
      </c>
      <c r="F82" s="145">
        <f>SUMIFS(Table2[NewPointsAway],Table2[GameDate], "&lt;=" &amp; $A82, Table2[AwayTeam], F$1)+SUMIFS(Table2[NewPointsHome],Table2[GameDate], "&lt;=" &amp; $A82, Table2[HomeTeam], F$1)</f>
        <v>34</v>
      </c>
      <c r="G82" s="145">
        <f>SUMIFS(Table2[NewPointsAway],Table2[GameDate], "&lt;=" &amp; $A82, Table2[AwayTeam], G$1)+SUMIFS(Table2[NewPointsHome],Table2[GameDate], "&lt;=" &amp; $A82, Table2[HomeTeam], G$1)</f>
        <v>30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55</v>
      </c>
      <c r="J82" s="145">
        <f>SUMIFS(Table2[NewPointsAway],Table2[GameDate], "&lt;=" &amp; $A82, Table2[AwayTeam], J$1)+SUMIFS(Table2[NewPointsHome],Table2[GameDate], "&lt;=" &amp; $A82, Table2[HomeTeam], J$1)</f>
        <v>49</v>
      </c>
      <c r="K82" s="145">
        <f>SUMIFS(Table2[NewPointsAway],Table2[GameDate], "&lt;=" &amp; $A82, Table2[AwayTeam], K$1)+SUMIFS(Table2[NewPointsHome],Table2[GameDate], "&lt;=" &amp; $A82, Table2[HomeTeam], K$1)</f>
        <v>41</v>
      </c>
      <c r="L82" s="145">
        <f>SUMIFS(Table2[NewPointsAway],Table2[GameDate], "&lt;=" &amp; $A82, Table2[AwayTeam], L$1)+SUMIFS(Table2[NewPointsHome],Table2[GameDate], "&lt;=" &amp; $A82, Table2[HomeTeam], L$1)</f>
        <v>38</v>
      </c>
      <c r="M82" s="145">
        <f>SUMIFS(Table2[NewPointsAway],Table2[GameDate], "&lt;=" &amp; $A82, Table2[AwayTeam], M$1)+SUMIFS(Table2[NewPointsHome],Table2[GameDate], "&lt;=" &amp; $A82, Table2[HomeTeam], M$1)</f>
        <v>36</v>
      </c>
      <c r="N82" s="145">
        <f>SUMIFS(Table2[NewPointsAway],Table2[GameDate], "&lt;=" &amp; $A82, Table2[AwayTeam], N$1)+SUMIFS(Table2[NewPointsHome],Table2[GameDate], "&lt;=" &amp; $A82, Table2[HomeTeam], N$1)</f>
        <v>37</v>
      </c>
      <c r="O82" s="145">
        <f>SUMIFS(Table2[NewPointsAway],Table2[GameDate], "&lt;=" &amp; $A82, Table2[AwayTeam], O$1)+SUMIFS(Table2[NewPointsHome],Table2[GameDate], "&lt;=" &amp; $A82, Table2[HomeTeam], O$1)</f>
        <v>45</v>
      </c>
      <c r="P82" s="145">
        <f>SUMIFS(Table2[NewPointsAway],Table2[GameDate], "&lt;=" &amp; $A82, Table2[AwayTeam], P$1)+SUMIFS(Table2[NewPointsHome],Table2[GameDate], "&lt;=" &amp; $A82, Table2[HomeTeam], P$1)</f>
        <v>38</v>
      </c>
      <c r="Q82" s="145">
        <f>SUMIFS(Table2[NewPointsAway],Table2[GameDate], "&lt;=" &amp; $A82, Table2[AwayTeam], Q$1)+SUMIFS(Table2[NewPointsHome],Table2[GameDate], "&lt;=" &amp; $A82, Table2[HomeTeam], Q$1)</f>
        <v>37</v>
      </c>
      <c r="R82" s="145">
        <f>SUMIFS(Table2[NewPointsAway],Table2[GameDate], "&lt;=" &amp; $A82, Table2[AwayTeam], R$1)+SUMIFS(Table2[NewPointsHome],Table2[GameDate], "&lt;=" &amp; $A82, Table2[HomeTeam], R$1)</f>
        <v>30</v>
      </c>
      <c r="S82" s="145">
        <f>SUMIFS(Table2[NewPointsAway],Table2[GameDate], "&lt;=" &amp; $A82, Table2[AwayTeam], S$1)+SUMIFS(Table2[NewPointsHome],Table2[GameDate], "&lt;=" &amp; $A82, Table2[HomeTeam], S$1)</f>
        <v>41</v>
      </c>
      <c r="T82" s="145">
        <f>SUMIFS(Table2[NewPointsAway],Table2[GameDate], "&lt;=" &amp; $A82, Table2[AwayTeam], T$1)+SUMIFS(Table2[NewPointsHome],Table2[GameDate], "&lt;=" &amp; $A82, Table2[HomeTeam], T$1)</f>
        <v>36</v>
      </c>
      <c r="U82" s="145">
        <f>SUMIFS(Table2[NewPointsAway],Table2[GameDate], "&lt;=" &amp; $A82, Table2[AwayTeam], U$1)+SUMIFS(Table2[NewPointsHome],Table2[GameDate], "&lt;=" &amp; $A82, Table2[HomeTeam], U$1)</f>
        <v>34</v>
      </c>
      <c r="V82" s="145">
        <f>SUMIFS(Table2[NewPointsAway],Table2[GameDate], "&lt;=" &amp; $A82, Table2[AwayTeam], V$1)+SUMIFS(Table2[NewPointsHome],Table2[GameDate], "&lt;=" &amp; $A82, Table2[HomeTeam], V$1)</f>
        <v>39</v>
      </c>
      <c r="W82" s="145">
        <f>SUMIFS(Table2[NewPointsAway],Table2[GameDate], "&lt;=" &amp; $A82, Table2[AwayTeam], W$1)+SUMIFS(Table2[NewPointsHome],Table2[GameDate], "&lt;=" &amp; $A82, Table2[HomeTeam], W$1)</f>
        <v>37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37</v>
      </c>
      <c r="Z82" s="145">
        <f>SUMIFS(Table2[NewPointsAway],Table2[GameDate], "&lt;=" &amp; $A82, Table2[AwayTeam], Z$1)+SUMIFS(Table2[NewPointsHome],Table2[GameDate], "&lt;=" &amp; $A82, Table2[HomeTeam], Z$1)</f>
        <v>32</v>
      </c>
      <c r="AA82" s="145">
        <f>SUMIFS(Table2[NewPointsAway],Table2[GameDate], "&lt;=" &amp; $A82, Table2[AwayTeam], AA$1)+SUMIFS(Table2[NewPointsHome],Table2[GameDate], "&lt;=" &amp; $A82, Table2[HomeTeam], AA$1)</f>
        <v>39</v>
      </c>
      <c r="AB82" s="145">
        <f>SUMIFS(Table2[NewPointsAway],Table2[GameDate], "&lt;=" &amp; $A82, Table2[AwayTeam], AB$1)+SUMIFS(Table2[NewPointsHome],Table2[GameDate], "&lt;=" &amp; $A82, Table2[HomeTeam], AB$1)</f>
        <v>35</v>
      </c>
      <c r="AC82" s="145">
        <f>SUMIFS(Table2[NewPointsAway],Table2[GameDate], "&lt;=" &amp; $A82, Table2[AwayTeam], AC$1)+SUMIFS(Table2[NewPointsHome],Table2[GameDate], "&lt;=" &amp; $A82, Table2[HomeTeam], AC$1)</f>
        <v>35</v>
      </c>
      <c r="AD82" s="145">
        <f>SUMIFS(Table2[NewPointsAway],Table2[GameDate], "&lt;=" &amp; $A82, Table2[AwayTeam], AD$1)+SUMIFS(Table2[NewPointsHome],Table2[GameDate], "&lt;=" &amp; $A82, Table2[HomeTeam], AD$1)</f>
        <v>29</v>
      </c>
      <c r="AE82" s="145">
        <f>SUMIFS(Table2[NewPointsAway],Table2[GameDate], "&lt;=" &amp; $A82, Table2[AwayTeam], AE$1)+SUMIFS(Table2[NewPointsHome],Table2[GameDate], "&lt;=" &amp; $A82, Table2[HomeTeam], AE$1)</f>
        <v>41</v>
      </c>
      <c r="AF82" s="145">
        <f>SUMIFS(Table2[NewPointsAway],Table2[GameDate], "&lt;=" &amp; $A82, Table2[AwayTeam], AF$1)+SUMIFS(Table2[NewPointsHome],Table2[GameDate], "&lt;=" &amp; $A82, Table2[HomeTeam], AF$1)</f>
        <v>32</v>
      </c>
      <c r="AG82" s="145">
        <f>SUMIFS(Table2[NewPointsAway],Table2[GameDate], "&lt;=" &amp; $A82, Table2[AwayTeam], AG$1)+SUMIFS(Table2[NewPointsHome],Table2[GameDate], "&lt;=" &amp; $A82, Table2[HomeTeam], AG$1)</f>
        <v>40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42</v>
      </c>
      <c r="C83" s="145">
        <f>SUMIFS(Table2[NewPointsAway],Table2[GameDate], "&lt;=" &amp; $A83, Table2[AwayTeam], C$1)+SUMIFS(Table2[NewPointsHome],Table2[GameDate], "&lt;=" &amp; $A83, Table2[HomeTeam], C$1)</f>
        <v>40</v>
      </c>
      <c r="D83" s="145">
        <f>SUMIFS(Table2[NewPointsAway],Table2[GameDate], "&lt;=" &amp; $A83, Table2[AwayTeam], D$1)+SUMIFS(Table2[NewPointsHome],Table2[GameDate], "&lt;=" &amp; $A83, Table2[HomeTeam], D$1)</f>
        <v>32</v>
      </c>
      <c r="E83" s="145">
        <f>SUMIFS(Table2[NewPointsAway],Table2[GameDate], "&lt;=" &amp; $A83, Table2[AwayTeam], E$1)+SUMIFS(Table2[NewPointsHome],Table2[GameDate], "&lt;=" &amp; $A83, Table2[HomeTeam], E$1)</f>
        <v>44</v>
      </c>
      <c r="F83" s="145">
        <f>SUMIFS(Table2[NewPointsAway],Table2[GameDate], "&lt;=" &amp; $A83, Table2[AwayTeam], F$1)+SUMIFS(Table2[NewPointsHome],Table2[GameDate], "&lt;=" &amp; $A83, Table2[HomeTeam], F$1)</f>
        <v>34</v>
      </c>
      <c r="G83" s="145">
        <f>SUMIFS(Table2[NewPointsAway],Table2[GameDate], "&lt;=" &amp; $A83, Table2[AwayTeam], G$1)+SUMIFS(Table2[NewPointsHome],Table2[GameDate], "&lt;=" &amp; $A83, Table2[HomeTeam], G$1)</f>
        <v>30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55</v>
      </c>
      <c r="J83" s="145">
        <f>SUMIFS(Table2[NewPointsAway],Table2[GameDate], "&lt;=" &amp; $A83, Table2[AwayTeam], J$1)+SUMIFS(Table2[NewPointsHome],Table2[GameDate], "&lt;=" &amp; $A83, Table2[HomeTeam], J$1)</f>
        <v>49</v>
      </c>
      <c r="K83" s="145">
        <f>SUMIFS(Table2[NewPointsAway],Table2[GameDate], "&lt;=" &amp; $A83, Table2[AwayTeam], K$1)+SUMIFS(Table2[NewPointsHome],Table2[GameDate], "&lt;=" &amp; $A83, Table2[HomeTeam], K$1)</f>
        <v>41</v>
      </c>
      <c r="L83" s="145">
        <f>SUMIFS(Table2[NewPointsAway],Table2[GameDate], "&lt;=" &amp; $A83, Table2[AwayTeam], L$1)+SUMIFS(Table2[NewPointsHome],Table2[GameDate], "&lt;=" &amp; $A83, Table2[HomeTeam], L$1)</f>
        <v>38</v>
      </c>
      <c r="M83" s="145">
        <f>SUMIFS(Table2[NewPointsAway],Table2[GameDate], "&lt;=" &amp; $A83, Table2[AwayTeam], M$1)+SUMIFS(Table2[NewPointsHome],Table2[GameDate], "&lt;=" &amp; $A83, Table2[HomeTeam], M$1)</f>
        <v>36</v>
      </c>
      <c r="N83" s="145">
        <f>SUMIFS(Table2[NewPointsAway],Table2[GameDate], "&lt;=" &amp; $A83, Table2[AwayTeam], N$1)+SUMIFS(Table2[NewPointsHome],Table2[GameDate], "&lt;=" &amp; $A83, Table2[HomeTeam], N$1)</f>
        <v>37</v>
      </c>
      <c r="O83" s="145">
        <f>SUMIFS(Table2[NewPointsAway],Table2[GameDate], "&lt;=" &amp; $A83, Table2[AwayTeam], O$1)+SUMIFS(Table2[NewPointsHome],Table2[GameDate], "&lt;=" &amp; $A83, Table2[HomeTeam], O$1)</f>
        <v>45</v>
      </c>
      <c r="P83" s="145">
        <f>SUMIFS(Table2[NewPointsAway],Table2[GameDate], "&lt;=" &amp; $A83, Table2[AwayTeam], P$1)+SUMIFS(Table2[NewPointsHome],Table2[GameDate], "&lt;=" &amp; $A83, Table2[HomeTeam], P$1)</f>
        <v>38</v>
      </c>
      <c r="Q83" s="145">
        <f>SUMIFS(Table2[NewPointsAway],Table2[GameDate], "&lt;=" &amp; $A83, Table2[AwayTeam], Q$1)+SUMIFS(Table2[NewPointsHome],Table2[GameDate], "&lt;=" &amp; $A83, Table2[HomeTeam], Q$1)</f>
        <v>37</v>
      </c>
      <c r="R83" s="145">
        <f>SUMIFS(Table2[NewPointsAway],Table2[GameDate], "&lt;=" &amp; $A83, Table2[AwayTeam], R$1)+SUMIFS(Table2[NewPointsHome],Table2[GameDate], "&lt;=" &amp; $A83, Table2[HomeTeam], R$1)</f>
        <v>30</v>
      </c>
      <c r="S83" s="145">
        <f>SUMIFS(Table2[NewPointsAway],Table2[GameDate], "&lt;=" &amp; $A83, Table2[AwayTeam], S$1)+SUMIFS(Table2[NewPointsHome],Table2[GameDate], "&lt;=" &amp; $A83, Table2[HomeTeam], S$1)</f>
        <v>41</v>
      </c>
      <c r="T83" s="145">
        <f>SUMIFS(Table2[NewPointsAway],Table2[GameDate], "&lt;=" &amp; $A83, Table2[AwayTeam], T$1)+SUMIFS(Table2[NewPointsHome],Table2[GameDate], "&lt;=" &amp; $A83, Table2[HomeTeam], T$1)</f>
        <v>36</v>
      </c>
      <c r="U83" s="145">
        <f>SUMIFS(Table2[NewPointsAway],Table2[GameDate], "&lt;=" &amp; $A83, Table2[AwayTeam], U$1)+SUMIFS(Table2[NewPointsHome],Table2[GameDate], "&lt;=" &amp; $A83, Table2[HomeTeam], U$1)</f>
        <v>34</v>
      </c>
      <c r="V83" s="145">
        <f>SUMIFS(Table2[NewPointsAway],Table2[GameDate], "&lt;=" &amp; $A83, Table2[AwayTeam], V$1)+SUMIFS(Table2[NewPointsHome],Table2[GameDate], "&lt;=" &amp; $A83, Table2[HomeTeam], V$1)</f>
        <v>39</v>
      </c>
      <c r="W83" s="145">
        <f>SUMIFS(Table2[NewPointsAway],Table2[GameDate], "&lt;=" &amp; $A83, Table2[AwayTeam], W$1)+SUMIFS(Table2[NewPointsHome],Table2[GameDate], "&lt;=" &amp; $A83, Table2[HomeTeam], W$1)</f>
        <v>37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37</v>
      </c>
      <c r="Z83" s="145">
        <f>SUMIFS(Table2[NewPointsAway],Table2[GameDate], "&lt;=" &amp; $A83, Table2[AwayTeam], Z$1)+SUMIFS(Table2[NewPointsHome],Table2[GameDate], "&lt;=" &amp; $A83, Table2[HomeTeam], Z$1)</f>
        <v>32</v>
      </c>
      <c r="AA83" s="145">
        <f>SUMIFS(Table2[NewPointsAway],Table2[GameDate], "&lt;=" &amp; $A83, Table2[AwayTeam], AA$1)+SUMIFS(Table2[NewPointsHome],Table2[GameDate], "&lt;=" &amp; $A83, Table2[HomeTeam], AA$1)</f>
        <v>39</v>
      </c>
      <c r="AB83" s="145">
        <f>SUMIFS(Table2[NewPointsAway],Table2[GameDate], "&lt;=" &amp; $A83, Table2[AwayTeam], AB$1)+SUMIFS(Table2[NewPointsHome],Table2[GameDate], "&lt;=" &amp; $A83, Table2[HomeTeam], AB$1)</f>
        <v>35</v>
      </c>
      <c r="AC83" s="145">
        <f>SUMIFS(Table2[NewPointsAway],Table2[GameDate], "&lt;=" &amp; $A83, Table2[AwayTeam], AC$1)+SUMIFS(Table2[NewPointsHome],Table2[GameDate], "&lt;=" &amp; $A83, Table2[HomeTeam], AC$1)</f>
        <v>35</v>
      </c>
      <c r="AD83" s="145">
        <f>SUMIFS(Table2[NewPointsAway],Table2[GameDate], "&lt;=" &amp; $A83, Table2[AwayTeam], AD$1)+SUMIFS(Table2[NewPointsHome],Table2[GameDate], "&lt;=" &amp; $A83, Table2[HomeTeam], AD$1)</f>
        <v>29</v>
      </c>
      <c r="AE83" s="145">
        <f>SUMIFS(Table2[NewPointsAway],Table2[GameDate], "&lt;=" &amp; $A83, Table2[AwayTeam], AE$1)+SUMIFS(Table2[NewPointsHome],Table2[GameDate], "&lt;=" &amp; $A83, Table2[HomeTeam], AE$1)</f>
        <v>41</v>
      </c>
      <c r="AF83" s="145">
        <f>SUMIFS(Table2[NewPointsAway],Table2[GameDate], "&lt;=" &amp; $A83, Table2[AwayTeam], AF$1)+SUMIFS(Table2[NewPointsHome],Table2[GameDate], "&lt;=" &amp; $A83, Table2[HomeTeam], AF$1)</f>
        <v>32</v>
      </c>
      <c r="AG83" s="145">
        <f>SUMIFS(Table2[NewPointsAway],Table2[GameDate], "&lt;=" &amp; $A83, Table2[AwayTeam], AG$1)+SUMIFS(Table2[NewPointsHome],Table2[GameDate], "&lt;=" &amp; $A83, Table2[HomeTeam], AG$1)</f>
        <v>40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42</v>
      </c>
      <c r="C84" s="145">
        <f>SUMIFS(Table2[NewPointsAway],Table2[GameDate], "&lt;=" &amp; $A84, Table2[AwayTeam], C$1)+SUMIFS(Table2[NewPointsHome],Table2[GameDate], "&lt;=" &amp; $A84, Table2[HomeTeam], C$1)</f>
        <v>40</v>
      </c>
      <c r="D84" s="145">
        <f>SUMIFS(Table2[NewPointsAway],Table2[GameDate], "&lt;=" &amp; $A84, Table2[AwayTeam], D$1)+SUMIFS(Table2[NewPointsHome],Table2[GameDate], "&lt;=" &amp; $A84, Table2[HomeTeam], D$1)</f>
        <v>32</v>
      </c>
      <c r="E84" s="145">
        <f>SUMIFS(Table2[NewPointsAway],Table2[GameDate], "&lt;=" &amp; $A84, Table2[AwayTeam], E$1)+SUMIFS(Table2[NewPointsHome],Table2[GameDate], "&lt;=" &amp; $A84, Table2[HomeTeam], E$1)</f>
        <v>44</v>
      </c>
      <c r="F84" s="145">
        <f>SUMIFS(Table2[NewPointsAway],Table2[GameDate], "&lt;=" &amp; $A84, Table2[AwayTeam], F$1)+SUMIFS(Table2[NewPointsHome],Table2[GameDate], "&lt;=" &amp; $A84, Table2[HomeTeam], F$1)</f>
        <v>34</v>
      </c>
      <c r="G84" s="145">
        <f>SUMIFS(Table2[NewPointsAway],Table2[GameDate], "&lt;=" &amp; $A84, Table2[AwayTeam], G$1)+SUMIFS(Table2[NewPointsHome],Table2[GameDate], "&lt;=" &amp; $A84, Table2[HomeTeam], G$1)</f>
        <v>30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55</v>
      </c>
      <c r="J84" s="145">
        <f>SUMIFS(Table2[NewPointsAway],Table2[GameDate], "&lt;=" &amp; $A84, Table2[AwayTeam], J$1)+SUMIFS(Table2[NewPointsHome],Table2[GameDate], "&lt;=" &amp; $A84, Table2[HomeTeam], J$1)</f>
        <v>49</v>
      </c>
      <c r="K84" s="145">
        <f>SUMIFS(Table2[NewPointsAway],Table2[GameDate], "&lt;=" &amp; $A84, Table2[AwayTeam], K$1)+SUMIFS(Table2[NewPointsHome],Table2[GameDate], "&lt;=" &amp; $A84, Table2[HomeTeam], K$1)</f>
        <v>41</v>
      </c>
      <c r="L84" s="145">
        <f>SUMIFS(Table2[NewPointsAway],Table2[GameDate], "&lt;=" &amp; $A84, Table2[AwayTeam], L$1)+SUMIFS(Table2[NewPointsHome],Table2[GameDate], "&lt;=" &amp; $A84, Table2[HomeTeam], L$1)</f>
        <v>38</v>
      </c>
      <c r="M84" s="145">
        <f>SUMIFS(Table2[NewPointsAway],Table2[GameDate], "&lt;=" &amp; $A84, Table2[AwayTeam], M$1)+SUMIFS(Table2[NewPointsHome],Table2[GameDate], "&lt;=" &amp; $A84, Table2[HomeTeam], M$1)</f>
        <v>36</v>
      </c>
      <c r="N84" s="145">
        <f>SUMIFS(Table2[NewPointsAway],Table2[GameDate], "&lt;=" &amp; $A84, Table2[AwayTeam], N$1)+SUMIFS(Table2[NewPointsHome],Table2[GameDate], "&lt;=" &amp; $A84, Table2[HomeTeam], N$1)</f>
        <v>37</v>
      </c>
      <c r="O84" s="145">
        <f>SUMIFS(Table2[NewPointsAway],Table2[GameDate], "&lt;=" &amp; $A84, Table2[AwayTeam], O$1)+SUMIFS(Table2[NewPointsHome],Table2[GameDate], "&lt;=" &amp; $A84, Table2[HomeTeam], O$1)</f>
        <v>45</v>
      </c>
      <c r="P84" s="145">
        <f>SUMIFS(Table2[NewPointsAway],Table2[GameDate], "&lt;=" &amp; $A84, Table2[AwayTeam], P$1)+SUMIFS(Table2[NewPointsHome],Table2[GameDate], "&lt;=" &amp; $A84, Table2[HomeTeam], P$1)</f>
        <v>38</v>
      </c>
      <c r="Q84" s="145">
        <f>SUMIFS(Table2[NewPointsAway],Table2[GameDate], "&lt;=" &amp; $A84, Table2[AwayTeam], Q$1)+SUMIFS(Table2[NewPointsHome],Table2[GameDate], "&lt;=" &amp; $A84, Table2[HomeTeam], Q$1)</f>
        <v>37</v>
      </c>
      <c r="R84" s="145">
        <f>SUMIFS(Table2[NewPointsAway],Table2[GameDate], "&lt;=" &amp; $A84, Table2[AwayTeam], R$1)+SUMIFS(Table2[NewPointsHome],Table2[GameDate], "&lt;=" &amp; $A84, Table2[HomeTeam], R$1)</f>
        <v>30</v>
      </c>
      <c r="S84" s="145">
        <f>SUMIFS(Table2[NewPointsAway],Table2[GameDate], "&lt;=" &amp; $A84, Table2[AwayTeam], S$1)+SUMIFS(Table2[NewPointsHome],Table2[GameDate], "&lt;=" &amp; $A84, Table2[HomeTeam], S$1)</f>
        <v>41</v>
      </c>
      <c r="T84" s="145">
        <f>SUMIFS(Table2[NewPointsAway],Table2[GameDate], "&lt;=" &amp; $A84, Table2[AwayTeam], T$1)+SUMIFS(Table2[NewPointsHome],Table2[GameDate], "&lt;=" &amp; $A84, Table2[HomeTeam], T$1)</f>
        <v>36</v>
      </c>
      <c r="U84" s="145">
        <f>SUMIFS(Table2[NewPointsAway],Table2[GameDate], "&lt;=" &amp; $A84, Table2[AwayTeam], U$1)+SUMIFS(Table2[NewPointsHome],Table2[GameDate], "&lt;=" &amp; $A84, Table2[HomeTeam], U$1)</f>
        <v>34</v>
      </c>
      <c r="V84" s="145">
        <f>SUMIFS(Table2[NewPointsAway],Table2[GameDate], "&lt;=" &amp; $A84, Table2[AwayTeam], V$1)+SUMIFS(Table2[NewPointsHome],Table2[GameDate], "&lt;=" &amp; $A84, Table2[HomeTeam], V$1)</f>
        <v>39</v>
      </c>
      <c r="W84" s="145">
        <f>SUMIFS(Table2[NewPointsAway],Table2[GameDate], "&lt;=" &amp; $A84, Table2[AwayTeam], W$1)+SUMIFS(Table2[NewPointsHome],Table2[GameDate], "&lt;=" &amp; $A84, Table2[HomeTeam], W$1)</f>
        <v>37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37</v>
      </c>
      <c r="Z84" s="145">
        <f>SUMIFS(Table2[NewPointsAway],Table2[GameDate], "&lt;=" &amp; $A84, Table2[AwayTeam], Z$1)+SUMIFS(Table2[NewPointsHome],Table2[GameDate], "&lt;=" &amp; $A84, Table2[HomeTeam], Z$1)</f>
        <v>32</v>
      </c>
      <c r="AA84" s="145">
        <f>SUMIFS(Table2[NewPointsAway],Table2[GameDate], "&lt;=" &amp; $A84, Table2[AwayTeam], AA$1)+SUMIFS(Table2[NewPointsHome],Table2[GameDate], "&lt;=" &amp; $A84, Table2[HomeTeam], AA$1)</f>
        <v>39</v>
      </c>
      <c r="AB84" s="145">
        <f>SUMIFS(Table2[NewPointsAway],Table2[GameDate], "&lt;=" &amp; $A84, Table2[AwayTeam], AB$1)+SUMIFS(Table2[NewPointsHome],Table2[GameDate], "&lt;=" &amp; $A84, Table2[HomeTeam], AB$1)</f>
        <v>35</v>
      </c>
      <c r="AC84" s="145">
        <f>SUMIFS(Table2[NewPointsAway],Table2[GameDate], "&lt;=" &amp; $A84, Table2[AwayTeam], AC$1)+SUMIFS(Table2[NewPointsHome],Table2[GameDate], "&lt;=" &amp; $A84, Table2[HomeTeam], AC$1)</f>
        <v>35</v>
      </c>
      <c r="AD84" s="145">
        <f>SUMIFS(Table2[NewPointsAway],Table2[GameDate], "&lt;=" &amp; $A84, Table2[AwayTeam], AD$1)+SUMIFS(Table2[NewPointsHome],Table2[GameDate], "&lt;=" &amp; $A84, Table2[HomeTeam], AD$1)</f>
        <v>29</v>
      </c>
      <c r="AE84" s="145">
        <f>SUMIFS(Table2[NewPointsAway],Table2[GameDate], "&lt;=" &amp; $A84, Table2[AwayTeam], AE$1)+SUMIFS(Table2[NewPointsHome],Table2[GameDate], "&lt;=" &amp; $A84, Table2[HomeTeam], AE$1)</f>
        <v>41</v>
      </c>
      <c r="AF84" s="145">
        <f>SUMIFS(Table2[NewPointsAway],Table2[GameDate], "&lt;=" &amp; $A84, Table2[AwayTeam], AF$1)+SUMIFS(Table2[NewPointsHome],Table2[GameDate], "&lt;=" &amp; $A84, Table2[HomeTeam], AF$1)</f>
        <v>32</v>
      </c>
      <c r="AG84" s="145">
        <f>SUMIFS(Table2[NewPointsAway],Table2[GameDate], "&lt;=" &amp; $A84, Table2[AwayTeam], AG$1)+SUMIFS(Table2[NewPointsHome],Table2[GameDate], "&lt;=" &amp; $A84, Table2[HomeTeam], AG$1)</f>
        <v>40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42</v>
      </c>
      <c r="C85" s="145">
        <f>SUMIFS(Table2[NewPointsAway],Table2[GameDate], "&lt;=" &amp; $A85, Table2[AwayTeam], C$1)+SUMIFS(Table2[NewPointsHome],Table2[GameDate], "&lt;=" &amp; $A85, Table2[HomeTeam], C$1)</f>
        <v>40</v>
      </c>
      <c r="D85" s="145">
        <f>SUMIFS(Table2[NewPointsAway],Table2[GameDate], "&lt;=" &amp; $A85, Table2[AwayTeam], D$1)+SUMIFS(Table2[NewPointsHome],Table2[GameDate], "&lt;=" &amp; $A85, Table2[HomeTeam], D$1)</f>
        <v>32</v>
      </c>
      <c r="E85" s="145">
        <f>SUMIFS(Table2[NewPointsAway],Table2[GameDate], "&lt;=" &amp; $A85, Table2[AwayTeam], E$1)+SUMIFS(Table2[NewPointsHome],Table2[GameDate], "&lt;=" &amp; $A85, Table2[HomeTeam], E$1)</f>
        <v>44</v>
      </c>
      <c r="F85" s="145">
        <f>SUMIFS(Table2[NewPointsAway],Table2[GameDate], "&lt;=" &amp; $A85, Table2[AwayTeam], F$1)+SUMIFS(Table2[NewPointsHome],Table2[GameDate], "&lt;=" &amp; $A85, Table2[HomeTeam], F$1)</f>
        <v>34</v>
      </c>
      <c r="G85" s="145">
        <f>SUMIFS(Table2[NewPointsAway],Table2[GameDate], "&lt;=" &amp; $A85, Table2[AwayTeam], G$1)+SUMIFS(Table2[NewPointsHome],Table2[GameDate], "&lt;=" &amp; $A85, Table2[HomeTeam], G$1)</f>
        <v>30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55</v>
      </c>
      <c r="J85" s="145">
        <f>SUMIFS(Table2[NewPointsAway],Table2[GameDate], "&lt;=" &amp; $A85, Table2[AwayTeam], J$1)+SUMIFS(Table2[NewPointsHome],Table2[GameDate], "&lt;=" &amp; $A85, Table2[HomeTeam], J$1)</f>
        <v>49</v>
      </c>
      <c r="K85" s="145">
        <f>SUMIFS(Table2[NewPointsAway],Table2[GameDate], "&lt;=" &amp; $A85, Table2[AwayTeam], K$1)+SUMIFS(Table2[NewPointsHome],Table2[GameDate], "&lt;=" &amp; $A85, Table2[HomeTeam], K$1)</f>
        <v>41</v>
      </c>
      <c r="L85" s="145">
        <f>SUMIFS(Table2[NewPointsAway],Table2[GameDate], "&lt;=" &amp; $A85, Table2[AwayTeam], L$1)+SUMIFS(Table2[NewPointsHome],Table2[GameDate], "&lt;=" &amp; $A85, Table2[HomeTeam], L$1)</f>
        <v>38</v>
      </c>
      <c r="M85" s="145">
        <f>SUMIFS(Table2[NewPointsAway],Table2[GameDate], "&lt;=" &amp; $A85, Table2[AwayTeam], M$1)+SUMIFS(Table2[NewPointsHome],Table2[GameDate], "&lt;=" &amp; $A85, Table2[HomeTeam], M$1)</f>
        <v>36</v>
      </c>
      <c r="N85" s="145">
        <f>SUMIFS(Table2[NewPointsAway],Table2[GameDate], "&lt;=" &amp; $A85, Table2[AwayTeam], N$1)+SUMIFS(Table2[NewPointsHome],Table2[GameDate], "&lt;=" &amp; $A85, Table2[HomeTeam], N$1)</f>
        <v>37</v>
      </c>
      <c r="O85" s="145">
        <f>SUMIFS(Table2[NewPointsAway],Table2[GameDate], "&lt;=" &amp; $A85, Table2[AwayTeam], O$1)+SUMIFS(Table2[NewPointsHome],Table2[GameDate], "&lt;=" &amp; $A85, Table2[HomeTeam], O$1)</f>
        <v>45</v>
      </c>
      <c r="P85" s="145">
        <f>SUMIFS(Table2[NewPointsAway],Table2[GameDate], "&lt;=" &amp; $A85, Table2[AwayTeam], P$1)+SUMIFS(Table2[NewPointsHome],Table2[GameDate], "&lt;=" &amp; $A85, Table2[HomeTeam], P$1)</f>
        <v>38</v>
      </c>
      <c r="Q85" s="145">
        <f>SUMIFS(Table2[NewPointsAway],Table2[GameDate], "&lt;=" &amp; $A85, Table2[AwayTeam], Q$1)+SUMIFS(Table2[NewPointsHome],Table2[GameDate], "&lt;=" &amp; $A85, Table2[HomeTeam], Q$1)</f>
        <v>37</v>
      </c>
      <c r="R85" s="145">
        <f>SUMIFS(Table2[NewPointsAway],Table2[GameDate], "&lt;=" &amp; $A85, Table2[AwayTeam], R$1)+SUMIFS(Table2[NewPointsHome],Table2[GameDate], "&lt;=" &amp; $A85, Table2[HomeTeam], R$1)</f>
        <v>30</v>
      </c>
      <c r="S85" s="145">
        <f>SUMIFS(Table2[NewPointsAway],Table2[GameDate], "&lt;=" &amp; $A85, Table2[AwayTeam], S$1)+SUMIFS(Table2[NewPointsHome],Table2[GameDate], "&lt;=" &amp; $A85, Table2[HomeTeam], S$1)</f>
        <v>41</v>
      </c>
      <c r="T85" s="145">
        <f>SUMIFS(Table2[NewPointsAway],Table2[GameDate], "&lt;=" &amp; $A85, Table2[AwayTeam], T$1)+SUMIFS(Table2[NewPointsHome],Table2[GameDate], "&lt;=" &amp; $A85, Table2[HomeTeam], T$1)</f>
        <v>36</v>
      </c>
      <c r="U85" s="145">
        <f>SUMIFS(Table2[NewPointsAway],Table2[GameDate], "&lt;=" &amp; $A85, Table2[AwayTeam], U$1)+SUMIFS(Table2[NewPointsHome],Table2[GameDate], "&lt;=" &amp; $A85, Table2[HomeTeam], U$1)</f>
        <v>34</v>
      </c>
      <c r="V85" s="145">
        <f>SUMIFS(Table2[NewPointsAway],Table2[GameDate], "&lt;=" &amp; $A85, Table2[AwayTeam], V$1)+SUMIFS(Table2[NewPointsHome],Table2[GameDate], "&lt;=" &amp; $A85, Table2[HomeTeam], V$1)</f>
        <v>39</v>
      </c>
      <c r="W85" s="145">
        <f>SUMIFS(Table2[NewPointsAway],Table2[GameDate], "&lt;=" &amp; $A85, Table2[AwayTeam], W$1)+SUMIFS(Table2[NewPointsHome],Table2[GameDate], "&lt;=" &amp; $A85, Table2[HomeTeam], W$1)</f>
        <v>37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37</v>
      </c>
      <c r="Z85" s="145">
        <f>SUMIFS(Table2[NewPointsAway],Table2[GameDate], "&lt;=" &amp; $A85, Table2[AwayTeam], Z$1)+SUMIFS(Table2[NewPointsHome],Table2[GameDate], "&lt;=" &amp; $A85, Table2[HomeTeam], Z$1)</f>
        <v>32</v>
      </c>
      <c r="AA85" s="145">
        <f>SUMIFS(Table2[NewPointsAway],Table2[GameDate], "&lt;=" &amp; $A85, Table2[AwayTeam], AA$1)+SUMIFS(Table2[NewPointsHome],Table2[GameDate], "&lt;=" &amp; $A85, Table2[HomeTeam], AA$1)</f>
        <v>39</v>
      </c>
      <c r="AB85" s="145">
        <f>SUMIFS(Table2[NewPointsAway],Table2[GameDate], "&lt;=" &amp; $A85, Table2[AwayTeam], AB$1)+SUMIFS(Table2[NewPointsHome],Table2[GameDate], "&lt;=" &amp; $A85, Table2[HomeTeam], AB$1)</f>
        <v>35</v>
      </c>
      <c r="AC85" s="145">
        <f>SUMIFS(Table2[NewPointsAway],Table2[GameDate], "&lt;=" &amp; $A85, Table2[AwayTeam], AC$1)+SUMIFS(Table2[NewPointsHome],Table2[GameDate], "&lt;=" &amp; $A85, Table2[HomeTeam], AC$1)</f>
        <v>35</v>
      </c>
      <c r="AD85" s="145">
        <f>SUMIFS(Table2[NewPointsAway],Table2[GameDate], "&lt;=" &amp; $A85, Table2[AwayTeam], AD$1)+SUMIFS(Table2[NewPointsHome],Table2[GameDate], "&lt;=" &amp; $A85, Table2[HomeTeam], AD$1)</f>
        <v>29</v>
      </c>
      <c r="AE85" s="145">
        <f>SUMIFS(Table2[NewPointsAway],Table2[GameDate], "&lt;=" &amp; $A85, Table2[AwayTeam], AE$1)+SUMIFS(Table2[NewPointsHome],Table2[GameDate], "&lt;=" &amp; $A85, Table2[HomeTeam], AE$1)</f>
        <v>41</v>
      </c>
      <c r="AF85" s="145">
        <f>SUMIFS(Table2[NewPointsAway],Table2[GameDate], "&lt;=" &amp; $A85, Table2[AwayTeam], AF$1)+SUMIFS(Table2[NewPointsHome],Table2[GameDate], "&lt;=" &amp; $A85, Table2[HomeTeam], AF$1)</f>
        <v>32</v>
      </c>
      <c r="AG85" s="145">
        <f>SUMIFS(Table2[NewPointsAway],Table2[GameDate], "&lt;=" &amp; $A85, Table2[AwayTeam], AG$1)+SUMIFS(Table2[NewPointsHome],Table2[GameDate], "&lt;=" &amp; $A85, Table2[HomeTeam], AG$1)</f>
        <v>40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42</v>
      </c>
      <c r="C86" s="145">
        <f>SUMIFS(Table2[NewPointsAway],Table2[GameDate], "&lt;=" &amp; $A86, Table2[AwayTeam], C$1)+SUMIFS(Table2[NewPointsHome],Table2[GameDate], "&lt;=" &amp; $A86, Table2[HomeTeam], C$1)</f>
        <v>40</v>
      </c>
      <c r="D86" s="145">
        <f>SUMIFS(Table2[NewPointsAway],Table2[GameDate], "&lt;=" &amp; $A86, Table2[AwayTeam], D$1)+SUMIFS(Table2[NewPointsHome],Table2[GameDate], "&lt;=" &amp; $A86, Table2[HomeTeam], D$1)</f>
        <v>32</v>
      </c>
      <c r="E86" s="145">
        <f>SUMIFS(Table2[NewPointsAway],Table2[GameDate], "&lt;=" &amp; $A86, Table2[AwayTeam], E$1)+SUMIFS(Table2[NewPointsHome],Table2[GameDate], "&lt;=" &amp; $A86, Table2[HomeTeam], E$1)</f>
        <v>44</v>
      </c>
      <c r="F86" s="145">
        <f>SUMIFS(Table2[NewPointsAway],Table2[GameDate], "&lt;=" &amp; $A86, Table2[AwayTeam], F$1)+SUMIFS(Table2[NewPointsHome],Table2[GameDate], "&lt;=" &amp; $A86, Table2[HomeTeam], F$1)</f>
        <v>34</v>
      </c>
      <c r="G86" s="145">
        <f>SUMIFS(Table2[NewPointsAway],Table2[GameDate], "&lt;=" &amp; $A86, Table2[AwayTeam], G$1)+SUMIFS(Table2[NewPointsHome],Table2[GameDate], "&lt;=" &amp; $A86, Table2[HomeTeam], G$1)</f>
        <v>30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55</v>
      </c>
      <c r="J86" s="145">
        <f>SUMIFS(Table2[NewPointsAway],Table2[GameDate], "&lt;=" &amp; $A86, Table2[AwayTeam], J$1)+SUMIFS(Table2[NewPointsHome],Table2[GameDate], "&lt;=" &amp; $A86, Table2[HomeTeam], J$1)</f>
        <v>49</v>
      </c>
      <c r="K86" s="145">
        <f>SUMIFS(Table2[NewPointsAway],Table2[GameDate], "&lt;=" &amp; $A86, Table2[AwayTeam], K$1)+SUMIFS(Table2[NewPointsHome],Table2[GameDate], "&lt;=" &amp; $A86, Table2[HomeTeam], K$1)</f>
        <v>41</v>
      </c>
      <c r="L86" s="145">
        <f>SUMIFS(Table2[NewPointsAway],Table2[GameDate], "&lt;=" &amp; $A86, Table2[AwayTeam], L$1)+SUMIFS(Table2[NewPointsHome],Table2[GameDate], "&lt;=" &amp; $A86, Table2[HomeTeam], L$1)</f>
        <v>38</v>
      </c>
      <c r="M86" s="145">
        <f>SUMIFS(Table2[NewPointsAway],Table2[GameDate], "&lt;=" &amp; $A86, Table2[AwayTeam], M$1)+SUMIFS(Table2[NewPointsHome],Table2[GameDate], "&lt;=" &amp; $A86, Table2[HomeTeam], M$1)</f>
        <v>36</v>
      </c>
      <c r="N86" s="145">
        <f>SUMIFS(Table2[NewPointsAway],Table2[GameDate], "&lt;=" &amp; $A86, Table2[AwayTeam], N$1)+SUMIFS(Table2[NewPointsHome],Table2[GameDate], "&lt;=" &amp; $A86, Table2[HomeTeam], N$1)</f>
        <v>37</v>
      </c>
      <c r="O86" s="145">
        <f>SUMIFS(Table2[NewPointsAway],Table2[GameDate], "&lt;=" &amp; $A86, Table2[AwayTeam], O$1)+SUMIFS(Table2[NewPointsHome],Table2[GameDate], "&lt;=" &amp; $A86, Table2[HomeTeam], O$1)</f>
        <v>45</v>
      </c>
      <c r="P86" s="145">
        <f>SUMIFS(Table2[NewPointsAway],Table2[GameDate], "&lt;=" &amp; $A86, Table2[AwayTeam], P$1)+SUMIFS(Table2[NewPointsHome],Table2[GameDate], "&lt;=" &amp; $A86, Table2[HomeTeam], P$1)</f>
        <v>38</v>
      </c>
      <c r="Q86" s="145">
        <f>SUMIFS(Table2[NewPointsAway],Table2[GameDate], "&lt;=" &amp; $A86, Table2[AwayTeam], Q$1)+SUMIFS(Table2[NewPointsHome],Table2[GameDate], "&lt;=" &amp; $A86, Table2[HomeTeam], Q$1)</f>
        <v>37</v>
      </c>
      <c r="R86" s="145">
        <f>SUMIFS(Table2[NewPointsAway],Table2[GameDate], "&lt;=" &amp; $A86, Table2[AwayTeam], R$1)+SUMIFS(Table2[NewPointsHome],Table2[GameDate], "&lt;=" &amp; $A86, Table2[HomeTeam], R$1)</f>
        <v>30</v>
      </c>
      <c r="S86" s="145">
        <f>SUMIFS(Table2[NewPointsAway],Table2[GameDate], "&lt;=" &amp; $A86, Table2[AwayTeam], S$1)+SUMIFS(Table2[NewPointsHome],Table2[GameDate], "&lt;=" &amp; $A86, Table2[HomeTeam], S$1)</f>
        <v>41</v>
      </c>
      <c r="T86" s="145">
        <f>SUMIFS(Table2[NewPointsAway],Table2[GameDate], "&lt;=" &amp; $A86, Table2[AwayTeam], T$1)+SUMIFS(Table2[NewPointsHome],Table2[GameDate], "&lt;=" &amp; $A86, Table2[HomeTeam], T$1)</f>
        <v>36</v>
      </c>
      <c r="U86" s="145">
        <f>SUMIFS(Table2[NewPointsAway],Table2[GameDate], "&lt;=" &amp; $A86, Table2[AwayTeam], U$1)+SUMIFS(Table2[NewPointsHome],Table2[GameDate], "&lt;=" &amp; $A86, Table2[HomeTeam], U$1)</f>
        <v>34</v>
      </c>
      <c r="V86" s="145">
        <f>SUMIFS(Table2[NewPointsAway],Table2[GameDate], "&lt;=" &amp; $A86, Table2[AwayTeam], V$1)+SUMIFS(Table2[NewPointsHome],Table2[GameDate], "&lt;=" &amp; $A86, Table2[HomeTeam], V$1)</f>
        <v>39</v>
      </c>
      <c r="W86" s="145">
        <f>SUMIFS(Table2[NewPointsAway],Table2[GameDate], "&lt;=" &amp; $A86, Table2[AwayTeam], W$1)+SUMIFS(Table2[NewPointsHome],Table2[GameDate], "&lt;=" &amp; $A86, Table2[HomeTeam], W$1)</f>
        <v>37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37</v>
      </c>
      <c r="Z86" s="145">
        <f>SUMIFS(Table2[NewPointsAway],Table2[GameDate], "&lt;=" &amp; $A86, Table2[AwayTeam], Z$1)+SUMIFS(Table2[NewPointsHome],Table2[GameDate], "&lt;=" &amp; $A86, Table2[HomeTeam], Z$1)</f>
        <v>32</v>
      </c>
      <c r="AA86" s="145">
        <f>SUMIFS(Table2[NewPointsAway],Table2[GameDate], "&lt;=" &amp; $A86, Table2[AwayTeam], AA$1)+SUMIFS(Table2[NewPointsHome],Table2[GameDate], "&lt;=" &amp; $A86, Table2[HomeTeam], AA$1)</f>
        <v>39</v>
      </c>
      <c r="AB86" s="145">
        <f>SUMIFS(Table2[NewPointsAway],Table2[GameDate], "&lt;=" &amp; $A86, Table2[AwayTeam], AB$1)+SUMIFS(Table2[NewPointsHome],Table2[GameDate], "&lt;=" &amp; $A86, Table2[HomeTeam], AB$1)</f>
        <v>35</v>
      </c>
      <c r="AC86" s="145">
        <f>SUMIFS(Table2[NewPointsAway],Table2[GameDate], "&lt;=" &amp; $A86, Table2[AwayTeam], AC$1)+SUMIFS(Table2[NewPointsHome],Table2[GameDate], "&lt;=" &amp; $A86, Table2[HomeTeam], AC$1)</f>
        <v>35</v>
      </c>
      <c r="AD86" s="145">
        <f>SUMIFS(Table2[NewPointsAway],Table2[GameDate], "&lt;=" &amp; $A86, Table2[AwayTeam], AD$1)+SUMIFS(Table2[NewPointsHome],Table2[GameDate], "&lt;=" &amp; $A86, Table2[HomeTeam], AD$1)</f>
        <v>29</v>
      </c>
      <c r="AE86" s="145">
        <f>SUMIFS(Table2[NewPointsAway],Table2[GameDate], "&lt;=" &amp; $A86, Table2[AwayTeam], AE$1)+SUMIFS(Table2[NewPointsHome],Table2[GameDate], "&lt;=" &amp; $A86, Table2[HomeTeam], AE$1)</f>
        <v>41</v>
      </c>
      <c r="AF86" s="145">
        <f>SUMIFS(Table2[NewPointsAway],Table2[GameDate], "&lt;=" &amp; $A86, Table2[AwayTeam], AF$1)+SUMIFS(Table2[NewPointsHome],Table2[GameDate], "&lt;=" &amp; $A86, Table2[HomeTeam], AF$1)</f>
        <v>32</v>
      </c>
      <c r="AG86" s="145">
        <f>SUMIFS(Table2[NewPointsAway],Table2[GameDate], "&lt;=" &amp; $A86, Table2[AwayTeam], AG$1)+SUMIFS(Table2[NewPointsHome],Table2[GameDate], "&lt;=" &amp; $A86, Table2[HomeTeam], AG$1)</f>
        <v>40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42</v>
      </c>
      <c r="C87" s="145">
        <f>SUMIFS(Table2[NewPointsAway],Table2[GameDate], "&lt;=" &amp; $A87, Table2[AwayTeam], C$1)+SUMIFS(Table2[NewPointsHome],Table2[GameDate], "&lt;=" &amp; $A87, Table2[HomeTeam], C$1)</f>
        <v>40</v>
      </c>
      <c r="D87" s="145">
        <f>SUMIFS(Table2[NewPointsAway],Table2[GameDate], "&lt;=" &amp; $A87, Table2[AwayTeam], D$1)+SUMIFS(Table2[NewPointsHome],Table2[GameDate], "&lt;=" &amp; $A87, Table2[HomeTeam], D$1)</f>
        <v>32</v>
      </c>
      <c r="E87" s="145">
        <f>SUMIFS(Table2[NewPointsAway],Table2[GameDate], "&lt;=" &amp; $A87, Table2[AwayTeam], E$1)+SUMIFS(Table2[NewPointsHome],Table2[GameDate], "&lt;=" &amp; $A87, Table2[HomeTeam], E$1)</f>
        <v>44</v>
      </c>
      <c r="F87" s="145">
        <f>SUMIFS(Table2[NewPointsAway],Table2[GameDate], "&lt;=" &amp; $A87, Table2[AwayTeam], F$1)+SUMIFS(Table2[NewPointsHome],Table2[GameDate], "&lt;=" &amp; $A87, Table2[HomeTeam], F$1)</f>
        <v>34</v>
      </c>
      <c r="G87" s="145">
        <f>SUMIFS(Table2[NewPointsAway],Table2[GameDate], "&lt;=" &amp; $A87, Table2[AwayTeam], G$1)+SUMIFS(Table2[NewPointsHome],Table2[GameDate], "&lt;=" &amp; $A87, Table2[HomeTeam], G$1)</f>
        <v>30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55</v>
      </c>
      <c r="J87" s="145">
        <f>SUMIFS(Table2[NewPointsAway],Table2[GameDate], "&lt;=" &amp; $A87, Table2[AwayTeam], J$1)+SUMIFS(Table2[NewPointsHome],Table2[GameDate], "&lt;=" &amp; $A87, Table2[HomeTeam], J$1)</f>
        <v>49</v>
      </c>
      <c r="K87" s="145">
        <f>SUMIFS(Table2[NewPointsAway],Table2[GameDate], "&lt;=" &amp; $A87, Table2[AwayTeam], K$1)+SUMIFS(Table2[NewPointsHome],Table2[GameDate], "&lt;=" &amp; $A87, Table2[HomeTeam], K$1)</f>
        <v>41</v>
      </c>
      <c r="L87" s="145">
        <f>SUMIFS(Table2[NewPointsAway],Table2[GameDate], "&lt;=" &amp; $A87, Table2[AwayTeam], L$1)+SUMIFS(Table2[NewPointsHome],Table2[GameDate], "&lt;=" &amp; $A87, Table2[HomeTeam], L$1)</f>
        <v>38</v>
      </c>
      <c r="M87" s="145">
        <f>SUMIFS(Table2[NewPointsAway],Table2[GameDate], "&lt;=" &amp; $A87, Table2[AwayTeam], M$1)+SUMIFS(Table2[NewPointsHome],Table2[GameDate], "&lt;=" &amp; $A87, Table2[HomeTeam], M$1)</f>
        <v>36</v>
      </c>
      <c r="N87" s="145">
        <f>SUMIFS(Table2[NewPointsAway],Table2[GameDate], "&lt;=" &amp; $A87, Table2[AwayTeam], N$1)+SUMIFS(Table2[NewPointsHome],Table2[GameDate], "&lt;=" &amp; $A87, Table2[HomeTeam], N$1)</f>
        <v>37</v>
      </c>
      <c r="O87" s="145">
        <f>SUMIFS(Table2[NewPointsAway],Table2[GameDate], "&lt;=" &amp; $A87, Table2[AwayTeam], O$1)+SUMIFS(Table2[NewPointsHome],Table2[GameDate], "&lt;=" &amp; $A87, Table2[HomeTeam], O$1)</f>
        <v>45</v>
      </c>
      <c r="P87" s="145">
        <f>SUMIFS(Table2[NewPointsAway],Table2[GameDate], "&lt;=" &amp; $A87, Table2[AwayTeam], P$1)+SUMIFS(Table2[NewPointsHome],Table2[GameDate], "&lt;=" &amp; $A87, Table2[HomeTeam], P$1)</f>
        <v>38</v>
      </c>
      <c r="Q87" s="145">
        <f>SUMIFS(Table2[NewPointsAway],Table2[GameDate], "&lt;=" &amp; $A87, Table2[AwayTeam], Q$1)+SUMIFS(Table2[NewPointsHome],Table2[GameDate], "&lt;=" &amp; $A87, Table2[HomeTeam], Q$1)</f>
        <v>37</v>
      </c>
      <c r="R87" s="145">
        <f>SUMIFS(Table2[NewPointsAway],Table2[GameDate], "&lt;=" &amp; $A87, Table2[AwayTeam], R$1)+SUMIFS(Table2[NewPointsHome],Table2[GameDate], "&lt;=" &amp; $A87, Table2[HomeTeam], R$1)</f>
        <v>30</v>
      </c>
      <c r="S87" s="145">
        <f>SUMIFS(Table2[NewPointsAway],Table2[GameDate], "&lt;=" &amp; $A87, Table2[AwayTeam], S$1)+SUMIFS(Table2[NewPointsHome],Table2[GameDate], "&lt;=" &amp; $A87, Table2[HomeTeam], S$1)</f>
        <v>41</v>
      </c>
      <c r="T87" s="145">
        <f>SUMIFS(Table2[NewPointsAway],Table2[GameDate], "&lt;=" &amp; $A87, Table2[AwayTeam], T$1)+SUMIFS(Table2[NewPointsHome],Table2[GameDate], "&lt;=" &amp; $A87, Table2[HomeTeam], T$1)</f>
        <v>36</v>
      </c>
      <c r="U87" s="145">
        <f>SUMIFS(Table2[NewPointsAway],Table2[GameDate], "&lt;=" &amp; $A87, Table2[AwayTeam], U$1)+SUMIFS(Table2[NewPointsHome],Table2[GameDate], "&lt;=" &amp; $A87, Table2[HomeTeam], U$1)</f>
        <v>34</v>
      </c>
      <c r="V87" s="145">
        <f>SUMIFS(Table2[NewPointsAway],Table2[GameDate], "&lt;=" &amp; $A87, Table2[AwayTeam], V$1)+SUMIFS(Table2[NewPointsHome],Table2[GameDate], "&lt;=" &amp; $A87, Table2[HomeTeam], V$1)</f>
        <v>39</v>
      </c>
      <c r="W87" s="145">
        <f>SUMIFS(Table2[NewPointsAway],Table2[GameDate], "&lt;=" &amp; $A87, Table2[AwayTeam], W$1)+SUMIFS(Table2[NewPointsHome],Table2[GameDate], "&lt;=" &amp; $A87, Table2[HomeTeam], W$1)</f>
        <v>37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37</v>
      </c>
      <c r="Z87" s="145">
        <f>SUMIFS(Table2[NewPointsAway],Table2[GameDate], "&lt;=" &amp; $A87, Table2[AwayTeam], Z$1)+SUMIFS(Table2[NewPointsHome],Table2[GameDate], "&lt;=" &amp; $A87, Table2[HomeTeam], Z$1)</f>
        <v>32</v>
      </c>
      <c r="AA87" s="145">
        <f>SUMIFS(Table2[NewPointsAway],Table2[GameDate], "&lt;=" &amp; $A87, Table2[AwayTeam], AA$1)+SUMIFS(Table2[NewPointsHome],Table2[GameDate], "&lt;=" &amp; $A87, Table2[HomeTeam], AA$1)</f>
        <v>39</v>
      </c>
      <c r="AB87" s="145">
        <f>SUMIFS(Table2[NewPointsAway],Table2[GameDate], "&lt;=" &amp; $A87, Table2[AwayTeam], AB$1)+SUMIFS(Table2[NewPointsHome],Table2[GameDate], "&lt;=" &amp; $A87, Table2[HomeTeam], AB$1)</f>
        <v>35</v>
      </c>
      <c r="AC87" s="145">
        <f>SUMIFS(Table2[NewPointsAway],Table2[GameDate], "&lt;=" &amp; $A87, Table2[AwayTeam], AC$1)+SUMIFS(Table2[NewPointsHome],Table2[GameDate], "&lt;=" &amp; $A87, Table2[HomeTeam], AC$1)</f>
        <v>35</v>
      </c>
      <c r="AD87" s="145">
        <f>SUMIFS(Table2[NewPointsAway],Table2[GameDate], "&lt;=" &amp; $A87, Table2[AwayTeam], AD$1)+SUMIFS(Table2[NewPointsHome],Table2[GameDate], "&lt;=" &amp; $A87, Table2[HomeTeam], AD$1)</f>
        <v>29</v>
      </c>
      <c r="AE87" s="145">
        <f>SUMIFS(Table2[NewPointsAway],Table2[GameDate], "&lt;=" &amp; $A87, Table2[AwayTeam], AE$1)+SUMIFS(Table2[NewPointsHome],Table2[GameDate], "&lt;=" &amp; $A87, Table2[HomeTeam], AE$1)</f>
        <v>41</v>
      </c>
      <c r="AF87" s="145">
        <f>SUMIFS(Table2[NewPointsAway],Table2[GameDate], "&lt;=" &amp; $A87, Table2[AwayTeam], AF$1)+SUMIFS(Table2[NewPointsHome],Table2[GameDate], "&lt;=" &amp; $A87, Table2[HomeTeam], AF$1)</f>
        <v>32</v>
      </c>
      <c r="AG87" s="145">
        <f>SUMIFS(Table2[NewPointsAway],Table2[GameDate], "&lt;=" &amp; $A87, Table2[AwayTeam], AG$1)+SUMIFS(Table2[NewPointsHome],Table2[GameDate], "&lt;=" &amp; $A87, Table2[HomeTeam], AG$1)</f>
        <v>40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42</v>
      </c>
      <c r="C88" s="145">
        <f>SUMIFS(Table2[NewPointsAway],Table2[GameDate], "&lt;=" &amp; $A88, Table2[AwayTeam], C$1)+SUMIFS(Table2[NewPointsHome],Table2[GameDate], "&lt;=" &amp; $A88, Table2[HomeTeam], C$1)</f>
        <v>40</v>
      </c>
      <c r="D88" s="145">
        <f>SUMIFS(Table2[NewPointsAway],Table2[GameDate], "&lt;=" &amp; $A88, Table2[AwayTeam], D$1)+SUMIFS(Table2[NewPointsHome],Table2[GameDate], "&lt;=" &amp; $A88, Table2[HomeTeam], D$1)</f>
        <v>32</v>
      </c>
      <c r="E88" s="145">
        <f>SUMIFS(Table2[NewPointsAway],Table2[GameDate], "&lt;=" &amp; $A88, Table2[AwayTeam], E$1)+SUMIFS(Table2[NewPointsHome],Table2[GameDate], "&lt;=" &amp; $A88, Table2[HomeTeam], E$1)</f>
        <v>44</v>
      </c>
      <c r="F88" s="145">
        <f>SUMIFS(Table2[NewPointsAway],Table2[GameDate], "&lt;=" &amp; $A88, Table2[AwayTeam], F$1)+SUMIFS(Table2[NewPointsHome],Table2[GameDate], "&lt;=" &amp; $A88, Table2[HomeTeam], F$1)</f>
        <v>34</v>
      </c>
      <c r="G88" s="145">
        <f>SUMIFS(Table2[NewPointsAway],Table2[GameDate], "&lt;=" &amp; $A88, Table2[AwayTeam], G$1)+SUMIFS(Table2[NewPointsHome],Table2[GameDate], "&lt;=" &amp; $A88, Table2[HomeTeam], G$1)</f>
        <v>30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55</v>
      </c>
      <c r="J88" s="145">
        <f>SUMIFS(Table2[NewPointsAway],Table2[GameDate], "&lt;=" &amp; $A88, Table2[AwayTeam], J$1)+SUMIFS(Table2[NewPointsHome],Table2[GameDate], "&lt;=" &amp; $A88, Table2[HomeTeam], J$1)</f>
        <v>49</v>
      </c>
      <c r="K88" s="145">
        <f>SUMIFS(Table2[NewPointsAway],Table2[GameDate], "&lt;=" &amp; $A88, Table2[AwayTeam], K$1)+SUMIFS(Table2[NewPointsHome],Table2[GameDate], "&lt;=" &amp; $A88, Table2[HomeTeam], K$1)</f>
        <v>41</v>
      </c>
      <c r="L88" s="145">
        <f>SUMIFS(Table2[NewPointsAway],Table2[GameDate], "&lt;=" &amp; $A88, Table2[AwayTeam], L$1)+SUMIFS(Table2[NewPointsHome],Table2[GameDate], "&lt;=" &amp; $A88, Table2[HomeTeam], L$1)</f>
        <v>38</v>
      </c>
      <c r="M88" s="145">
        <f>SUMIFS(Table2[NewPointsAway],Table2[GameDate], "&lt;=" &amp; $A88, Table2[AwayTeam], M$1)+SUMIFS(Table2[NewPointsHome],Table2[GameDate], "&lt;=" &amp; $A88, Table2[HomeTeam], M$1)</f>
        <v>36</v>
      </c>
      <c r="N88" s="145">
        <f>SUMIFS(Table2[NewPointsAway],Table2[GameDate], "&lt;=" &amp; $A88, Table2[AwayTeam], N$1)+SUMIFS(Table2[NewPointsHome],Table2[GameDate], "&lt;=" &amp; $A88, Table2[HomeTeam], N$1)</f>
        <v>37</v>
      </c>
      <c r="O88" s="145">
        <f>SUMIFS(Table2[NewPointsAway],Table2[GameDate], "&lt;=" &amp; $A88, Table2[AwayTeam], O$1)+SUMIFS(Table2[NewPointsHome],Table2[GameDate], "&lt;=" &amp; $A88, Table2[HomeTeam], O$1)</f>
        <v>45</v>
      </c>
      <c r="P88" s="145">
        <f>SUMIFS(Table2[NewPointsAway],Table2[GameDate], "&lt;=" &amp; $A88, Table2[AwayTeam], P$1)+SUMIFS(Table2[NewPointsHome],Table2[GameDate], "&lt;=" &amp; $A88, Table2[HomeTeam], P$1)</f>
        <v>38</v>
      </c>
      <c r="Q88" s="145">
        <f>SUMIFS(Table2[NewPointsAway],Table2[GameDate], "&lt;=" &amp; $A88, Table2[AwayTeam], Q$1)+SUMIFS(Table2[NewPointsHome],Table2[GameDate], "&lt;=" &amp; $A88, Table2[HomeTeam], Q$1)</f>
        <v>37</v>
      </c>
      <c r="R88" s="145">
        <f>SUMIFS(Table2[NewPointsAway],Table2[GameDate], "&lt;=" &amp; $A88, Table2[AwayTeam], R$1)+SUMIFS(Table2[NewPointsHome],Table2[GameDate], "&lt;=" &amp; $A88, Table2[HomeTeam], R$1)</f>
        <v>30</v>
      </c>
      <c r="S88" s="145">
        <f>SUMIFS(Table2[NewPointsAway],Table2[GameDate], "&lt;=" &amp; $A88, Table2[AwayTeam], S$1)+SUMIFS(Table2[NewPointsHome],Table2[GameDate], "&lt;=" &amp; $A88, Table2[HomeTeam], S$1)</f>
        <v>41</v>
      </c>
      <c r="T88" s="145">
        <f>SUMIFS(Table2[NewPointsAway],Table2[GameDate], "&lt;=" &amp; $A88, Table2[AwayTeam], T$1)+SUMIFS(Table2[NewPointsHome],Table2[GameDate], "&lt;=" &amp; $A88, Table2[HomeTeam], T$1)</f>
        <v>36</v>
      </c>
      <c r="U88" s="145">
        <f>SUMIFS(Table2[NewPointsAway],Table2[GameDate], "&lt;=" &amp; $A88, Table2[AwayTeam], U$1)+SUMIFS(Table2[NewPointsHome],Table2[GameDate], "&lt;=" &amp; $A88, Table2[HomeTeam], U$1)</f>
        <v>34</v>
      </c>
      <c r="V88" s="145">
        <f>SUMIFS(Table2[NewPointsAway],Table2[GameDate], "&lt;=" &amp; $A88, Table2[AwayTeam], V$1)+SUMIFS(Table2[NewPointsHome],Table2[GameDate], "&lt;=" &amp; $A88, Table2[HomeTeam], V$1)</f>
        <v>39</v>
      </c>
      <c r="W88" s="145">
        <f>SUMIFS(Table2[NewPointsAway],Table2[GameDate], "&lt;=" &amp; $A88, Table2[AwayTeam], W$1)+SUMIFS(Table2[NewPointsHome],Table2[GameDate], "&lt;=" &amp; $A88, Table2[HomeTeam], W$1)</f>
        <v>37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37</v>
      </c>
      <c r="Z88" s="145">
        <f>SUMIFS(Table2[NewPointsAway],Table2[GameDate], "&lt;=" &amp; $A88, Table2[AwayTeam], Z$1)+SUMIFS(Table2[NewPointsHome],Table2[GameDate], "&lt;=" &amp; $A88, Table2[HomeTeam], Z$1)</f>
        <v>32</v>
      </c>
      <c r="AA88" s="145">
        <f>SUMIFS(Table2[NewPointsAway],Table2[GameDate], "&lt;=" &amp; $A88, Table2[AwayTeam], AA$1)+SUMIFS(Table2[NewPointsHome],Table2[GameDate], "&lt;=" &amp; $A88, Table2[HomeTeam], AA$1)</f>
        <v>39</v>
      </c>
      <c r="AB88" s="145">
        <f>SUMIFS(Table2[NewPointsAway],Table2[GameDate], "&lt;=" &amp; $A88, Table2[AwayTeam], AB$1)+SUMIFS(Table2[NewPointsHome],Table2[GameDate], "&lt;=" &amp; $A88, Table2[HomeTeam], AB$1)</f>
        <v>35</v>
      </c>
      <c r="AC88" s="145">
        <f>SUMIFS(Table2[NewPointsAway],Table2[GameDate], "&lt;=" &amp; $A88, Table2[AwayTeam], AC$1)+SUMIFS(Table2[NewPointsHome],Table2[GameDate], "&lt;=" &amp; $A88, Table2[HomeTeam], AC$1)</f>
        <v>35</v>
      </c>
      <c r="AD88" s="145">
        <f>SUMIFS(Table2[NewPointsAway],Table2[GameDate], "&lt;=" &amp; $A88, Table2[AwayTeam], AD$1)+SUMIFS(Table2[NewPointsHome],Table2[GameDate], "&lt;=" &amp; $A88, Table2[HomeTeam], AD$1)</f>
        <v>29</v>
      </c>
      <c r="AE88" s="145">
        <f>SUMIFS(Table2[NewPointsAway],Table2[GameDate], "&lt;=" &amp; $A88, Table2[AwayTeam], AE$1)+SUMIFS(Table2[NewPointsHome],Table2[GameDate], "&lt;=" &amp; $A88, Table2[HomeTeam], AE$1)</f>
        <v>41</v>
      </c>
      <c r="AF88" s="145">
        <f>SUMIFS(Table2[NewPointsAway],Table2[GameDate], "&lt;=" &amp; $A88, Table2[AwayTeam], AF$1)+SUMIFS(Table2[NewPointsHome],Table2[GameDate], "&lt;=" &amp; $A88, Table2[HomeTeam], AF$1)</f>
        <v>32</v>
      </c>
      <c r="AG88" s="145">
        <f>SUMIFS(Table2[NewPointsAway],Table2[GameDate], "&lt;=" &amp; $A88, Table2[AwayTeam], AG$1)+SUMIFS(Table2[NewPointsHome],Table2[GameDate], "&lt;=" &amp; $A88, Table2[HomeTeam], AG$1)</f>
        <v>40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42</v>
      </c>
      <c r="C89" s="145">
        <f>SUMIFS(Table2[NewPointsAway],Table2[GameDate], "&lt;=" &amp; $A89, Table2[AwayTeam], C$1)+SUMIFS(Table2[NewPointsHome],Table2[GameDate], "&lt;=" &amp; $A89, Table2[HomeTeam], C$1)</f>
        <v>40</v>
      </c>
      <c r="D89" s="145">
        <f>SUMIFS(Table2[NewPointsAway],Table2[GameDate], "&lt;=" &amp; $A89, Table2[AwayTeam], D$1)+SUMIFS(Table2[NewPointsHome],Table2[GameDate], "&lt;=" &amp; $A89, Table2[HomeTeam], D$1)</f>
        <v>32</v>
      </c>
      <c r="E89" s="145">
        <f>SUMIFS(Table2[NewPointsAway],Table2[GameDate], "&lt;=" &amp; $A89, Table2[AwayTeam], E$1)+SUMIFS(Table2[NewPointsHome],Table2[GameDate], "&lt;=" &amp; $A89, Table2[HomeTeam], E$1)</f>
        <v>44</v>
      </c>
      <c r="F89" s="145">
        <f>SUMIFS(Table2[NewPointsAway],Table2[GameDate], "&lt;=" &amp; $A89, Table2[AwayTeam], F$1)+SUMIFS(Table2[NewPointsHome],Table2[GameDate], "&lt;=" &amp; $A89, Table2[HomeTeam], F$1)</f>
        <v>34</v>
      </c>
      <c r="G89" s="145">
        <f>SUMIFS(Table2[NewPointsAway],Table2[GameDate], "&lt;=" &amp; $A89, Table2[AwayTeam], G$1)+SUMIFS(Table2[NewPointsHome],Table2[GameDate], "&lt;=" &amp; $A89, Table2[HomeTeam], G$1)</f>
        <v>30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55</v>
      </c>
      <c r="J89" s="145">
        <f>SUMIFS(Table2[NewPointsAway],Table2[GameDate], "&lt;=" &amp; $A89, Table2[AwayTeam], J$1)+SUMIFS(Table2[NewPointsHome],Table2[GameDate], "&lt;=" &amp; $A89, Table2[HomeTeam], J$1)</f>
        <v>49</v>
      </c>
      <c r="K89" s="145">
        <f>SUMIFS(Table2[NewPointsAway],Table2[GameDate], "&lt;=" &amp; $A89, Table2[AwayTeam], K$1)+SUMIFS(Table2[NewPointsHome],Table2[GameDate], "&lt;=" &amp; $A89, Table2[HomeTeam], K$1)</f>
        <v>41</v>
      </c>
      <c r="L89" s="145">
        <f>SUMIFS(Table2[NewPointsAway],Table2[GameDate], "&lt;=" &amp; $A89, Table2[AwayTeam], L$1)+SUMIFS(Table2[NewPointsHome],Table2[GameDate], "&lt;=" &amp; $A89, Table2[HomeTeam], L$1)</f>
        <v>38</v>
      </c>
      <c r="M89" s="145">
        <f>SUMIFS(Table2[NewPointsAway],Table2[GameDate], "&lt;=" &amp; $A89, Table2[AwayTeam], M$1)+SUMIFS(Table2[NewPointsHome],Table2[GameDate], "&lt;=" &amp; $A89, Table2[HomeTeam], M$1)</f>
        <v>36</v>
      </c>
      <c r="N89" s="145">
        <f>SUMIFS(Table2[NewPointsAway],Table2[GameDate], "&lt;=" &amp; $A89, Table2[AwayTeam], N$1)+SUMIFS(Table2[NewPointsHome],Table2[GameDate], "&lt;=" &amp; $A89, Table2[HomeTeam], N$1)</f>
        <v>37</v>
      </c>
      <c r="O89" s="145">
        <f>SUMIFS(Table2[NewPointsAway],Table2[GameDate], "&lt;=" &amp; $A89, Table2[AwayTeam], O$1)+SUMIFS(Table2[NewPointsHome],Table2[GameDate], "&lt;=" &amp; $A89, Table2[HomeTeam], O$1)</f>
        <v>45</v>
      </c>
      <c r="P89" s="145">
        <f>SUMIFS(Table2[NewPointsAway],Table2[GameDate], "&lt;=" &amp; $A89, Table2[AwayTeam], P$1)+SUMIFS(Table2[NewPointsHome],Table2[GameDate], "&lt;=" &amp; $A89, Table2[HomeTeam], P$1)</f>
        <v>38</v>
      </c>
      <c r="Q89" s="145">
        <f>SUMIFS(Table2[NewPointsAway],Table2[GameDate], "&lt;=" &amp; $A89, Table2[AwayTeam], Q$1)+SUMIFS(Table2[NewPointsHome],Table2[GameDate], "&lt;=" &amp; $A89, Table2[HomeTeam], Q$1)</f>
        <v>37</v>
      </c>
      <c r="R89" s="145">
        <f>SUMIFS(Table2[NewPointsAway],Table2[GameDate], "&lt;=" &amp; $A89, Table2[AwayTeam], R$1)+SUMIFS(Table2[NewPointsHome],Table2[GameDate], "&lt;=" &amp; $A89, Table2[HomeTeam], R$1)</f>
        <v>30</v>
      </c>
      <c r="S89" s="145">
        <f>SUMIFS(Table2[NewPointsAway],Table2[GameDate], "&lt;=" &amp; $A89, Table2[AwayTeam], S$1)+SUMIFS(Table2[NewPointsHome],Table2[GameDate], "&lt;=" &amp; $A89, Table2[HomeTeam], S$1)</f>
        <v>41</v>
      </c>
      <c r="T89" s="145">
        <f>SUMIFS(Table2[NewPointsAway],Table2[GameDate], "&lt;=" &amp; $A89, Table2[AwayTeam], T$1)+SUMIFS(Table2[NewPointsHome],Table2[GameDate], "&lt;=" &amp; $A89, Table2[HomeTeam], T$1)</f>
        <v>36</v>
      </c>
      <c r="U89" s="145">
        <f>SUMIFS(Table2[NewPointsAway],Table2[GameDate], "&lt;=" &amp; $A89, Table2[AwayTeam], U$1)+SUMIFS(Table2[NewPointsHome],Table2[GameDate], "&lt;=" &amp; $A89, Table2[HomeTeam], U$1)</f>
        <v>34</v>
      </c>
      <c r="V89" s="145">
        <f>SUMIFS(Table2[NewPointsAway],Table2[GameDate], "&lt;=" &amp; $A89, Table2[AwayTeam], V$1)+SUMIFS(Table2[NewPointsHome],Table2[GameDate], "&lt;=" &amp; $A89, Table2[HomeTeam], V$1)</f>
        <v>39</v>
      </c>
      <c r="W89" s="145">
        <f>SUMIFS(Table2[NewPointsAway],Table2[GameDate], "&lt;=" &amp; $A89, Table2[AwayTeam], W$1)+SUMIFS(Table2[NewPointsHome],Table2[GameDate], "&lt;=" &amp; $A89, Table2[HomeTeam], W$1)</f>
        <v>37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37</v>
      </c>
      <c r="Z89" s="145">
        <f>SUMIFS(Table2[NewPointsAway],Table2[GameDate], "&lt;=" &amp; $A89, Table2[AwayTeam], Z$1)+SUMIFS(Table2[NewPointsHome],Table2[GameDate], "&lt;=" &amp; $A89, Table2[HomeTeam], Z$1)</f>
        <v>32</v>
      </c>
      <c r="AA89" s="145">
        <f>SUMIFS(Table2[NewPointsAway],Table2[GameDate], "&lt;=" &amp; $A89, Table2[AwayTeam], AA$1)+SUMIFS(Table2[NewPointsHome],Table2[GameDate], "&lt;=" &amp; $A89, Table2[HomeTeam], AA$1)</f>
        <v>39</v>
      </c>
      <c r="AB89" s="145">
        <f>SUMIFS(Table2[NewPointsAway],Table2[GameDate], "&lt;=" &amp; $A89, Table2[AwayTeam], AB$1)+SUMIFS(Table2[NewPointsHome],Table2[GameDate], "&lt;=" &amp; $A89, Table2[HomeTeam], AB$1)</f>
        <v>35</v>
      </c>
      <c r="AC89" s="145">
        <f>SUMIFS(Table2[NewPointsAway],Table2[GameDate], "&lt;=" &amp; $A89, Table2[AwayTeam], AC$1)+SUMIFS(Table2[NewPointsHome],Table2[GameDate], "&lt;=" &amp; $A89, Table2[HomeTeam], AC$1)</f>
        <v>35</v>
      </c>
      <c r="AD89" s="145">
        <f>SUMIFS(Table2[NewPointsAway],Table2[GameDate], "&lt;=" &amp; $A89, Table2[AwayTeam], AD$1)+SUMIFS(Table2[NewPointsHome],Table2[GameDate], "&lt;=" &amp; $A89, Table2[HomeTeam], AD$1)</f>
        <v>29</v>
      </c>
      <c r="AE89" s="145">
        <f>SUMIFS(Table2[NewPointsAway],Table2[GameDate], "&lt;=" &amp; $A89, Table2[AwayTeam], AE$1)+SUMIFS(Table2[NewPointsHome],Table2[GameDate], "&lt;=" &amp; $A89, Table2[HomeTeam], AE$1)</f>
        <v>41</v>
      </c>
      <c r="AF89" s="145">
        <f>SUMIFS(Table2[NewPointsAway],Table2[GameDate], "&lt;=" &amp; $A89, Table2[AwayTeam], AF$1)+SUMIFS(Table2[NewPointsHome],Table2[GameDate], "&lt;=" &amp; $A89, Table2[HomeTeam], AF$1)</f>
        <v>32</v>
      </c>
      <c r="AG89" s="145">
        <f>SUMIFS(Table2[NewPointsAway],Table2[GameDate], "&lt;=" &amp; $A89, Table2[AwayTeam], AG$1)+SUMIFS(Table2[NewPointsHome],Table2[GameDate], "&lt;=" &amp; $A89, Table2[HomeTeam], AG$1)</f>
        <v>40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42</v>
      </c>
      <c r="C90" s="145">
        <f>SUMIFS(Table2[NewPointsAway],Table2[GameDate], "&lt;=" &amp; $A90, Table2[AwayTeam], C$1)+SUMIFS(Table2[NewPointsHome],Table2[GameDate], "&lt;=" &amp; $A90, Table2[HomeTeam], C$1)</f>
        <v>40</v>
      </c>
      <c r="D90" s="145">
        <f>SUMIFS(Table2[NewPointsAway],Table2[GameDate], "&lt;=" &amp; $A90, Table2[AwayTeam], D$1)+SUMIFS(Table2[NewPointsHome],Table2[GameDate], "&lt;=" &amp; $A90, Table2[HomeTeam], D$1)</f>
        <v>32</v>
      </c>
      <c r="E90" s="145">
        <f>SUMIFS(Table2[NewPointsAway],Table2[GameDate], "&lt;=" &amp; $A90, Table2[AwayTeam], E$1)+SUMIFS(Table2[NewPointsHome],Table2[GameDate], "&lt;=" &amp; $A90, Table2[HomeTeam], E$1)</f>
        <v>44</v>
      </c>
      <c r="F90" s="145">
        <f>SUMIFS(Table2[NewPointsAway],Table2[GameDate], "&lt;=" &amp; $A90, Table2[AwayTeam], F$1)+SUMIFS(Table2[NewPointsHome],Table2[GameDate], "&lt;=" &amp; $A90, Table2[HomeTeam], F$1)</f>
        <v>34</v>
      </c>
      <c r="G90" s="145">
        <f>SUMIFS(Table2[NewPointsAway],Table2[GameDate], "&lt;=" &amp; $A90, Table2[AwayTeam], G$1)+SUMIFS(Table2[NewPointsHome],Table2[GameDate], "&lt;=" &amp; $A90, Table2[HomeTeam], G$1)</f>
        <v>30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55</v>
      </c>
      <c r="J90" s="145">
        <f>SUMIFS(Table2[NewPointsAway],Table2[GameDate], "&lt;=" &amp; $A90, Table2[AwayTeam], J$1)+SUMIFS(Table2[NewPointsHome],Table2[GameDate], "&lt;=" &amp; $A90, Table2[HomeTeam], J$1)</f>
        <v>49</v>
      </c>
      <c r="K90" s="145">
        <f>SUMIFS(Table2[NewPointsAway],Table2[GameDate], "&lt;=" &amp; $A90, Table2[AwayTeam], K$1)+SUMIFS(Table2[NewPointsHome],Table2[GameDate], "&lt;=" &amp; $A90, Table2[HomeTeam], K$1)</f>
        <v>41</v>
      </c>
      <c r="L90" s="145">
        <f>SUMIFS(Table2[NewPointsAway],Table2[GameDate], "&lt;=" &amp; $A90, Table2[AwayTeam], L$1)+SUMIFS(Table2[NewPointsHome],Table2[GameDate], "&lt;=" &amp; $A90, Table2[HomeTeam], L$1)</f>
        <v>38</v>
      </c>
      <c r="M90" s="145">
        <f>SUMIFS(Table2[NewPointsAway],Table2[GameDate], "&lt;=" &amp; $A90, Table2[AwayTeam], M$1)+SUMIFS(Table2[NewPointsHome],Table2[GameDate], "&lt;=" &amp; $A90, Table2[HomeTeam], M$1)</f>
        <v>36</v>
      </c>
      <c r="N90" s="145">
        <f>SUMIFS(Table2[NewPointsAway],Table2[GameDate], "&lt;=" &amp; $A90, Table2[AwayTeam], N$1)+SUMIFS(Table2[NewPointsHome],Table2[GameDate], "&lt;=" &amp; $A90, Table2[HomeTeam], N$1)</f>
        <v>37</v>
      </c>
      <c r="O90" s="145">
        <f>SUMIFS(Table2[NewPointsAway],Table2[GameDate], "&lt;=" &amp; $A90, Table2[AwayTeam], O$1)+SUMIFS(Table2[NewPointsHome],Table2[GameDate], "&lt;=" &amp; $A90, Table2[HomeTeam], O$1)</f>
        <v>45</v>
      </c>
      <c r="P90" s="145">
        <f>SUMIFS(Table2[NewPointsAway],Table2[GameDate], "&lt;=" &amp; $A90, Table2[AwayTeam], P$1)+SUMIFS(Table2[NewPointsHome],Table2[GameDate], "&lt;=" &amp; $A90, Table2[HomeTeam], P$1)</f>
        <v>38</v>
      </c>
      <c r="Q90" s="145">
        <f>SUMIFS(Table2[NewPointsAway],Table2[GameDate], "&lt;=" &amp; $A90, Table2[AwayTeam], Q$1)+SUMIFS(Table2[NewPointsHome],Table2[GameDate], "&lt;=" &amp; $A90, Table2[HomeTeam], Q$1)</f>
        <v>37</v>
      </c>
      <c r="R90" s="145">
        <f>SUMIFS(Table2[NewPointsAway],Table2[GameDate], "&lt;=" &amp; $A90, Table2[AwayTeam], R$1)+SUMIFS(Table2[NewPointsHome],Table2[GameDate], "&lt;=" &amp; $A90, Table2[HomeTeam], R$1)</f>
        <v>30</v>
      </c>
      <c r="S90" s="145">
        <f>SUMIFS(Table2[NewPointsAway],Table2[GameDate], "&lt;=" &amp; $A90, Table2[AwayTeam], S$1)+SUMIFS(Table2[NewPointsHome],Table2[GameDate], "&lt;=" &amp; $A90, Table2[HomeTeam], S$1)</f>
        <v>41</v>
      </c>
      <c r="T90" s="145">
        <f>SUMIFS(Table2[NewPointsAway],Table2[GameDate], "&lt;=" &amp; $A90, Table2[AwayTeam], T$1)+SUMIFS(Table2[NewPointsHome],Table2[GameDate], "&lt;=" &amp; $A90, Table2[HomeTeam], T$1)</f>
        <v>36</v>
      </c>
      <c r="U90" s="145">
        <f>SUMIFS(Table2[NewPointsAway],Table2[GameDate], "&lt;=" &amp; $A90, Table2[AwayTeam], U$1)+SUMIFS(Table2[NewPointsHome],Table2[GameDate], "&lt;=" &amp; $A90, Table2[HomeTeam], U$1)</f>
        <v>34</v>
      </c>
      <c r="V90" s="145">
        <f>SUMIFS(Table2[NewPointsAway],Table2[GameDate], "&lt;=" &amp; $A90, Table2[AwayTeam], V$1)+SUMIFS(Table2[NewPointsHome],Table2[GameDate], "&lt;=" &amp; $A90, Table2[HomeTeam], V$1)</f>
        <v>39</v>
      </c>
      <c r="W90" s="145">
        <f>SUMIFS(Table2[NewPointsAway],Table2[GameDate], "&lt;=" &amp; $A90, Table2[AwayTeam], W$1)+SUMIFS(Table2[NewPointsHome],Table2[GameDate], "&lt;=" &amp; $A90, Table2[HomeTeam], W$1)</f>
        <v>37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37</v>
      </c>
      <c r="Z90" s="145">
        <f>SUMIFS(Table2[NewPointsAway],Table2[GameDate], "&lt;=" &amp; $A90, Table2[AwayTeam], Z$1)+SUMIFS(Table2[NewPointsHome],Table2[GameDate], "&lt;=" &amp; $A90, Table2[HomeTeam], Z$1)</f>
        <v>32</v>
      </c>
      <c r="AA90" s="145">
        <f>SUMIFS(Table2[NewPointsAway],Table2[GameDate], "&lt;=" &amp; $A90, Table2[AwayTeam], AA$1)+SUMIFS(Table2[NewPointsHome],Table2[GameDate], "&lt;=" &amp; $A90, Table2[HomeTeam], AA$1)</f>
        <v>39</v>
      </c>
      <c r="AB90" s="145">
        <f>SUMIFS(Table2[NewPointsAway],Table2[GameDate], "&lt;=" &amp; $A90, Table2[AwayTeam], AB$1)+SUMIFS(Table2[NewPointsHome],Table2[GameDate], "&lt;=" &amp; $A90, Table2[HomeTeam], AB$1)</f>
        <v>35</v>
      </c>
      <c r="AC90" s="145">
        <f>SUMIFS(Table2[NewPointsAway],Table2[GameDate], "&lt;=" &amp; $A90, Table2[AwayTeam], AC$1)+SUMIFS(Table2[NewPointsHome],Table2[GameDate], "&lt;=" &amp; $A90, Table2[HomeTeam], AC$1)</f>
        <v>35</v>
      </c>
      <c r="AD90" s="145">
        <f>SUMIFS(Table2[NewPointsAway],Table2[GameDate], "&lt;=" &amp; $A90, Table2[AwayTeam], AD$1)+SUMIFS(Table2[NewPointsHome],Table2[GameDate], "&lt;=" &amp; $A90, Table2[HomeTeam], AD$1)</f>
        <v>29</v>
      </c>
      <c r="AE90" s="145">
        <f>SUMIFS(Table2[NewPointsAway],Table2[GameDate], "&lt;=" &amp; $A90, Table2[AwayTeam], AE$1)+SUMIFS(Table2[NewPointsHome],Table2[GameDate], "&lt;=" &amp; $A90, Table2[HomeTeam], AE$1)</f>
        <v>41</v>
      </c>
      <c r="AF90" s="145">
        <f>SUMIFS(Table2[NewPointsAway],Table2[GameDate], "&lt;=" &amp; $A90, Table2[AwayTeam], AF$1)+SUMIFS(Table2[NewPointsHome],Table2[GameDate], "&lt;=" &amp; $A90, Table2[HomeTeam], AF$1)</f>
        <v>32</v>
      </c>
      <c r="AG90" s="145">
        <f>SUMIFS(Table2[NewPointsAway],Table2[GameDate], "&lt;=" &amp; $A90, Table2[AwayTeam], AG$1)+SUMIFS(Table2[NewPointsHome],Table2[GameDate], "&lt;=" &amp; $A90, Table2[HomeTeam], AG$1)</f>
        <v>40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42</v>
      </c>
      <c r="C91" s="145">
        <f>SUMIFS(Table2[NewPointsAway],Table2[GameDate], "&lt;=" &amp; $A91, Table2[AwayTeam], C$1)+SUMIFS(Table2[NewPointsHome],Table2[GameDate], "&lt;=" &amp; $A91, Table2[HomeTeam], C$1)</f>
        <v>40</v>
      </c>
      <c r="D91" s="145">
        <f>SUMIFS(Table2[NewPointsAway],Table2[GameDate], "&lt;=" &amp; $A91, Table2[AwayTeam], D$1)+SUMIFS(Table2[NewPointsHome],Table2[GameDate], "&lt;=" &amp; $A91, Table2[HomeTeam], D$1)</f>
        <v>32</v>
      </c>
      <c r="E91" s="145">
        <f>SUMIFS(Table2[NewPointsAway],Table2[GameDate], "&lt;=" &amp; $A91, Table2[AwayTeam], E$1)+SUMIFS(Table2[NewPointsHome],Table2[GameDate], "&lt;=" &amp; $A91, Table2[HomeTeam], E$1)</f>
        <v>44</v>
      </c>
      <c r="F91" s="145">
        <f>SUMIFS(Table2[NewPointsAway],Table2[GameDate], "&lt;=" &amp; $A91, Table2[AwayTeam], F$1)+SUMIFS(Table2[NewPointsHome],Table2[GameDate], "&lt;=" &amp; $A91, Table2[HomeTeam], F$1)</f>
        <v>34</v>
      </c>
      <c r="G91" s="145">
        <f>SUMIFS(Table2[NewPointsAway],Table2[GameDate], "&lt;=" &amp; $A91, Table2[AwayTeam], G$1)+SUMIFS(Table2[NewPointsHome],Table2[GameDate], "&lt;=" &amp; $A91, Table2[HomeTeam], G$1)</f>
        <v>30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55</v>
      </c>
      <c r="J91" s="145">
        <f>SUMIFS(Table2[NewPointsAway],Table2[GameDate], "&lt;=" &amp; $A91, Table2[AwayTeam], J$1)+SUMIFS(Table2[NewPointsHome],Table2[GameDate], "&lt;=" &amp; $A91, Table2[HomeTeam], J$1)</f>
        <v>49</v>
      </c>
      <c r="K91" s="145">
        <f>SUMIFS(Table2[NewPointsAway],Table2[GameDate], "&lt;=" &amp; $A91, Table2[AwayTeam], K$1)+SUMIFS(Table2[NewPointsHome],Table2[GameDate], "&lt;=" &amp; $A91, Table2[HomeTeam], K$1)</f>
        <v>41</v>
      </c>
      <c r="L91" s="145">
        <f>SUMIFS(Table2[NewPointsAway],Table2[GameDate], "&lt;=" &amp; $A91, Table2[AwayTeam], L$1)+SUMIFS(Table2[NewPointsHome],Table2[GameDate], "&lt;=" &amp; $A91, Table2[HomeTeam], L$1)</f>
        <v>38</v>
      </c>
      <c r="M91" s="145">
        <f>SUMIFS(Table2[NewPointsAway],Table2[GameDate], "&lt;=" &amp; $A91, Table2[AwayTeam], M$1)+SUMIFS(Table2[NewPointsHome],Table2[GameDate], "&lt;=" &amp; $A91, Table2[HomeTeam], M$1)</f>
        <v>36</v>
      </c>
      <c r="N91" s="145">
        <f>SUMIFS(Table2[NewPointsAway],Table2[GameDate], "&lt;=" &amp; $A91, Table2[AwayTeam], N$1)+SUMIFS(Table2[NewPointsHome],Table2[GameDate], "&lt;=" &amp; $A91, Table2[HomeTeam], N$1)</f>
        <v>37</v>
      </c>
      <c r="O91" s="145">
        <f>SUMIFS(Table2[NewPointsAway],Table2[GameDate], "&lt;=" &amp; $A91, Table2[AwayTeam], O$1)+SUMIFS(Table2[NewPointsHome],Table2[GameDate], "&lt;=" &amp; $A91, Table2[HomeTeam], O$1)</f>
        <v>45</v>
      </c>
      <c r="P91" s="145">
        <f>SUMIFS(Table2[NewPointsAway],Table2[GameDate], "&lt;=" &amp; $A91, Table2[AwayTeam], P$1)+SUMIFS(Table2[NewPointsHome],Table2[GameDate], "&lt;=" &amp; $A91, Table2[HomeTeam], P$1)</f>
        <v>38</v>
      </c>
      <c r="Q91" s="145">
        <f>SUMIFS(Table2[NewPointsAway],Table2[GameDate], "&lt;=" &amp; $A91, Table2[AwayTeam], Q$1)+SUMIFS(Table2[NewPointsHome],Table2[GameDate], "&lt;=" &amp; $A91, Table2[HomeTeam], Q$1)</f>
        <v>37</v>
      </c>
      <c r="R91" s="145">
        <f>SUMIFS(Table2[NewPointsAway],Table2[GameDate], "&lt;=" &amp; $A91, Table2[AwayTeam], R$1)+SUMIFS(Table2[NewPointsHome],Table2[GameDate], "&lt;=" &amp; $A91, Table2[HomeTeam], R$1)</f>
        <v>30</v>
      </c>
      <c r="S91" s="145">
        <f>SUMIFS(Table2[NewPointsAway],Table2[GameDate], "&lt;=" &amp; $A91, Table2[AwayTeam], S$1)+SUMIFS(Table2[NewPointsHome],Table2[GameDate], "&lt;=" &amp; $A91, Table2[HomeTeam], S$1)</f>
        <v>41</v>
      </c>
      <c r="T91" s="145">
        <f>SUMIFS(Table2[NewPointsAway],Table2[GameDate], "&lt;=" &amp; $A91, Table2[AwayTeam], T$1)+SUMIFS(Table2[NewPointsHome],Table2[GameDate], "&lt;=" &amp; $A91, Table2[HomeTeam], T$1)</f>
        <v>36</v>
      </c>
      <c r="U91" s="145">
        <f>SUMIFS(Table2[NewPointsAway],Table2[GameDate], "&lt;=" &amp; $A91, Table2[AwayTeam], U$1)+SUMIFS(Table2[NewPointsHome],Table2[GameDate], "&lt;=" &amp; $A91, Table2[HomeTeam], U$1)</f>
        <v>34</v>
      </c>
      <c r="V91" s="145">
        <f>SUMIFS(Table2[NewPointsAway],Table2[GameDate], "&lt;=" &amp; $A91, Table2[AwayTeam], V$1)+SUMIFS(Table2[NewPointsHome],Table2[GameDate], "&lt;=" &amp; $A91, Table2[HomeTeam], V$1)</f>
        <v>39</v>
      </c>
      <c r="W91" s="145">
        <f>SUMIFS(Table2[NewPointsAway],Table2[GameDate], "&lt;=" &amp; $A91, Table2[AwayTeam], W$1)+SUMIFS(Table2[NewPointsHome],Table2[GameDate], "&lt;=" &amp; $A91, Table2[HomeTeam], W$1)</f>
        <v>37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37</v>
      </c>
      <c r="Z91" s="145">
        <f>SUMIFS(Table2[NewPointsAway],Table2[GameDate], "&lt;=" &amp; $A91, Table2[AwayTeam], Z$1)+SUMIFS(Table2[NewPointsHome],Table2[GameDate], "&lt;=" &amp; $A91, Table2[HomeTeam], Z$1)</f>
        <v>32</v>
      </c>
      <c r="AA91" s="145">
        <f>SUMIFS(Table2[NewPointsAway],Table2[GameDate], "&lt;=" &amp; $A91, Table2[AwayTeam], AA$1)+SUMIFS(Table2[NewPointsHome],Table2[GameDate], "&lt;=" &amp; $A91, Table2[HomeTeam], AA$1)</f>
        <v>39</v>
      </c>
      <c r="AB91" s="145">
        <f>SUMIFS(Table2[NewPointsAway],Table2[GameDate], "&lt;=" &amp; $A91, Table2[AwayTeam], AB$1)+SUMIFS(Table2[NewPointsHome],Table2[GameDate], "&lt;=" &amp; $A91, Table2[HomeTeam], AB$1)</f>
        <v>35</v>
      </c>
      <c r="AC91" s="145">
        <f>SUMIFS(Table2[NewPointsAway],Table2[GameDate], "&lt;=" &amp; $A91, Table2[AwayTeam], AC$1)+SUMIFS(Table2[NewPointsHome],Table2[GameDate], "&lt;=" &amp; $A91, Table2[HomeTeam], AC$1)</f>
        <v>35</v>
      </c>
      <c r="AD91" s="145">
        <f>SUMIFS(Table2[NewPointsAway],Table2[GameDate], "&lt;=" &amp; $A91, Table2[AwayTeam], AD$1)+SUMIFS(Table2[NewPointsHome],Table2[GameDate], "&lt;=" &amp; $A91, Table2[HomeTeam], AD$1)</f>
        <v>29</v>
      </c>
      <c r="AE91" s="145">
        <f>SUMIFS(Table2[NewPointsAway],Table2[GameDate], "&lt;=" &amp; $A91, Table2[AwayTeam], AE$1)+SUMIFS(Table2[NewPointsHome],Table2[GameDate], "&lt;=" &amp; $A91, Table2[HomeTeam], AE$1)</f>
        <v>41</v>
      </c>
      <c r="AF91" s="145">
        <f>SUMIFS(Table2[NewPointsAway],Table2[GameDate], "&lt;=" &amp; $A91, Table2[AwayTeam], AF$1)+SUMIFS(Table2[NewPointsHome],Table2[GameDate], "&lt;=" &amp; $A91, Table2[HomeTeam], AF$1)</f>
        <v>32</v>
      </c>
      <c r="AG91" s="145">
        <f>SUMIFS(Table2[NewPointsAway],Table2[GameDate], "&lt;=" &amp; $A91, Table2[AwayTeam], AG$1)+SUMIFS(Table2[NewPointsHome],Table2[GameDate], "&lt;=" &amp; $A91, Table2[HomeTeam], AG$1)</f>
        <v>40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42</v>
      </c>
      <c r="C92" s="145">
        <f>SUMIFS(Table2[NewPointsAway],Table2[GameDate], "&lt;=" &amp; $A92, Table2[AwayTeam], C$1)+SUMIFS(Table2[NewPointsHome],Table2[GameDate], "&lt;=" &amp; $A92, Table2[HomeTeam], C$1)</f>
        <v>40</v>
      </c>
      <c r="D92" s="145">
        <f>SUMIFS(Table2[NewPointsAway],Table2[GameDate], "&lt;=" &amp; $A92, Table2[AwayTeam], D$1)+SUMIFS(Table2[NewPointsHome],Table2[GameDate], "&lt;=" &amp; $A92, Table2[HomeTeam], D$1)</f>
        <v>32</v>
      </c>
      <c r="E92" s="145">
        <f>SUMIFS(Table2[NewPointsAway],Table2[GameDate], "&lt;=" &amp; $A92, Table2[AwayTeam], E$1)+SUMIFS(Table2[NewPointsHome],Table2[GameDate], "&lt;=" &amp; $A92, Table2[HomeTeam], E$1)</f>
        <v>44</v>
      </c>
      <c r="F92" s="145">
        <f>SUMIFS(Table2[NewPointsAway],Table2[GameDate], "&lt;=" &amp; $A92, Table2[AwayTeam], F$1)+SUMIFS(Table2[NewPointsHome],Table2[GameDate], "&lt;=" &amp; $A92, Table2[HomeTeam], F$1)</f>
        <v>34</v>
      </c>
      <c r="G92" s="145">
        <f>SUMIFS(Table2[NewPointsAway],Table2[GameDate], "&lt;=" &amp; $A92, Table2[AwayTeam], G$1)+SUMIFS(Table2[NewPointsHome],Table2[GameDate], "&lt;=" &amp; $A92, Table2[HomeTeam], G$1)</f>
        <v>30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55</v>
      </c>
      <c r="J92" s="145">
        <f>SUMIFS(Table2[NewPointsAway],Table2[GameDate], "&lt;=" &amp; $A92, Table2[AwayTeam], J$1)+SUMIFS(Table2[NewPointsHome],Table2[GameDate], "&lt;=" &amp; $A92, Table2[HomeTeam], J$1)</f>
        <v>49</v>
      </c>
      <c r="K92" s="145">
        <f>SUMIFS(Table2[NewPointsAway],Table2[GameDate], "&lt;=" &amp; $A92, Table2[AwayTeam], K$1)+SUMIFS(Table2[NewPointsHome],Table2[GameDate], "&lt;=" &amp; $A92, Table2[HomeTeam], K$1)</f>
        <v>41</v>
      </c>
      <c r="L92" s="145">
        <f>SUMIFS(Table2[NewPointsAway],Table2[GameDate], "&lt;=" &amp; $A92, Table2[AwayTeam], L$1)+SUMIFS(Table2[NewPointsHome],Table2[GameDate], "&lt;=" &amp; $A92, Table2[HomeTeam], L$1)</f>
        <v>38</v>
      </c>
      <c r="M92" s="145">
        <f>SUMIFS(Table2[NewPointsAway],Table2[GameDate], "&lt;=" &amp; $A92, Table2[AwayTeam], M$1)+SUMIFS(Table2[NewPointsHome],Table2[GameDate], "&lt;=" &amp; $A92, Table2[HomeTeam], M$1)</f>
        <v>36</v>
      </c>
      <c r="N92" s="145">
        <f>SUMIFS(Table2[NewPointsAway],Table2[GameDate], "&lt;=" &amp; $A92, Table2[AwayTeam], N$1)+SUMIFS(Table2[NewPointsHome],Table2[GameDate], "&lt;=" &amp; $A92, Table2[HomeTeam], N$1)</f>
        <v>37</v>
      </c>
      <c r="O92" s="145">
        <f>SUMIFS(Table2[NewPointsAway],Table2[GameDate], "&lt;=" &amp; $A92, Table2[AwayTeam], O$1)+SUMIFS(Table2[NewPointsHome],Table2[GameDate], "&lt;=" &amp; $A92, Table2[HomeTeam], O$1)</f>
        <v>45</v>
      </c>
      <c r="P92" s="145">
        <f>SUMIFS(Table2[NewPointsAway],Table2[GameDate], "&lt;=" &amp; $A92, Table2[AwayTeam], P$1)+SUMIFS(Table2[NewPointsHome],Table2[GameDate], "&lt;=" &amp; $A92, Table2[HomeTeam], P$1)</f>
        <v>38</v>
      </c>
      <c r="Q92" s="145">
        <f>SUMIFS(Table2[NewPointsAway],Table2[GameDate], "&lt;=" &amp; $A92, Table2[AwayTeam], Q$1)+SUMIFS(Table2[NewPointsHome],Table2[GameDate], "&lt;=" &amp; $A92, Table2[HomeTeam], Q$1)</f>
        <v>37</v>
      </c>
      <c r="R92" s="145">
        <f>SUMIFS(Table2[NewPointsAway],Table2[GameDate], "&lt;=" &amp; $A92, Table2[AwayTeam], R$1)+SUMIFS(Table2[NewPointsHome],Table2[GameDate], "&lt;=" &amp; $A92, Table2[HomeTeam], R$1)</f>
        <v>30</v>
      </c>
      <c r="S92" s="145">
        <f>SUMIFS(Table2[NewPointsAway],Table2[GameDate], "&lt;=" &amp; $A92, Table2[AwayTeam], S$1)+SUMIFS(Table2[NewPointsHome],Table2[GameDate], "&lt;=" &amp; $A92, Table2[HomeTeam], S$1)</f>
        <v>41</v>
      </c>
      <c r="T92" s="145">
        <f>SUMIFS(Table2[NewPointsAway],Table2[GameDate], "&lt;=" &amp; $A92, Table2[AwayTeam], T$1)+SUMIFS(Table2[NewPointsHome],Table2[GameDate], "&lt;=" &amp; $A92, Table2[HomeTeam], T$1)</f>
        <v>36</v>
      </c>
      <c r="U92" s="145">
        <f>SUMIFS(Table2[NewPointsAway],Table2[GameDate], "&lt;=" &amp; $A92, Table2[AwayTeam], U$1)+SUMIFS(Table2[NewPointsHome],Table2[GameDate], "&lt;=" &amp; $A92, Table2[HomeTeam], U$1)</f>
        <v>34</v>
      </c>
      <c r="V92" s="145">
        <f>SUMIFS(Table2[NewPointsAway],Table2[GameDate], "&lt;=" &amp; $A92, Table2[AwayTeam], V$1)+SUMIFS(Table2[NewPointsHome],Table2[GameDate], "&lt;=" &amp; $A92, Table2[HomeTeam], V$1)</f>
        <v>39</v>
      </c>
      <c r="W92" s="145">
        <f>SUMIFS(Table2[NewPointsAway],Table2[GameDate], "&lt;=" &amp; $A92, Table2[AwayTeam], W$1)+SUMIFS(Table2[NewPointsHome],Table2[GameDate], "&lt;=" &amp; $A92, Table2[HomeTeam], W$1)</f>
        <v>37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37</v>
      </c>
      <c r="Z92" s="145">
        <f>SUMIFS(Table2[NewPointsAway],Table2[GameDate], "&lt;=" &amp; $A92, Table2[AwayTeam], Z$1)+SUMIFS(Table2[NewPointsHome],Table2[GameDate], "&lt;=" &amp; $A92, Table2[HomeTeam], Z$1)</f>
        <v>32</v>
      </c>
      <c r="AA92" s="145">
        <f>SUMIFS(Table2[NewPointsAway],Table2[GameDate], "&lt;=" &amp; $A92, Table2[AwayTeam], AA$1)+SUMIFS(Table2[NewPointsHome],Table2[GameDate], "&lt;=" &amp; $A92, Table2[HomeTeam], AA$1)</f>
        <v>39</v>
      </c>
      <c r="AB92" s="145">
        <f>SUMIFS(Table2[NewPointsAway],Table2[GameDate], "&lt;=" &amp; $A92, Table2[AwayTeam], AB$1)+SUMIFS(Table2[NewPointsHome],Table2[GameDate], "&lt;=" &amp; $A92, Table2[HomeTeam], AB$1)</f>
        <v>35</v>
      </c>
      <c r="AC92" s="145">
        <f>SUMIFS(Table2[NewPointsAway],Table2[GameDate], "&lt;=" &amp; $A92, Table2[AwayTeam], AC$1)+SUMIFS(Table2[NewPointsHome],Table2[GameDate], "&lt;=" &amp; $A92, Table2[HomeTeam], AC$1)</f>
        <v>35</v>
      </c>
      <c r="AD92" s="145">
        <f>SUMIFS(Table2[NewPointsAway],Table2[GameDate], "&lt;=" &amp; $A92, Table2[AwayTeam], AD$1)+SUMIFS(Table2[NewPointsHome],Table2[GameDate], "&lt;=" &amp; $A92, Table2[HomeTeam], AD$1)</f>
        <v>29</v>
      </c>
      <c r="AE92" s="145">
        <f>SUMIFS(Table2[NewPointsAway],Table2[GameDate], "&lt;=" &amp; $A92, Table2[AwayTeam], AE$1)+SUMIFS(Table2[NewPointsHome],Table2[GameDate], "&lt;=" &amp; $A92, Table2[HomeTeam], AE$1)</f>
        <v>41</v>
      </c>
      <c r="AF92" s="145">
        <f>SUMIFS(Table2[NewPointsAway],Table2[GameDate], "&lt;=" &amp; $A92, Table2[AwayTeam], AF$1)+SUMIFS(Table2[NewPointsHome],Table2[GameDate], "&lt;=" &amp; $A92, Table2[HomeTeam], AF$1)</f>
        <v>32</v>
      </c>
      <c r="AG92" s="145">
        <f>SUMIFS(Table2[NewPointsAway],Table2[GameDate], "&lt;=" &amp; $A92, Table2[AwayTeam], AG$1)+SUMIFS(Table2[NewPointsHome],Table2[GameDate], "&lt;=" &amp; $A92, Table2[HomeTeam], AG$1)</f>
        <v>40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42</v>
      </c>
      <c r="C93" s="145">
        <f>SUMIFS(Table2[NewPointsAway],Table2[GameDate], "&lt;=" &amp; $A93, Table2[AwayTeam], C$1)+SUMIFS(Table2[NewPointsHome],Table2[GameDate], "&lt;=" &amp; $A93, Table2[HomeTeam], C$1)</f>
        <v>40</v>
      </c>
      <c r="D93" s="145">
        <f>SUMIFS(Table2[NewPointsAway],Table2[GameDate], "&lt;=" &amp; $A93, Table2[AwayTeam], D$1)+SUMIFS(Table2[NewPointsHome],Table2[GameDate], "&lt;=" &amp; $A93, Table2[HomeTeam], D$1)</f>
        <v>32</v>
      </c>
      <c r="E93" s="145">
        <f>SUMIFS(Table2[NewPointsAway],Table2[GameDate], "&lt;=" &amp; $A93, Table2[AwayTeam], E$1)+SUMIFS(Table2[NewPointsHome],Table2[GameDate], "&lt;=" &amp; $A93, Table2[HomeTeam], E$1)</f>
        <v>44</v>
      </c>
      <c r="F93" s="145">
        <f>SUMIFS(Table2[NewPointsAway],Table2[GameDate], "&lt;=" &amp; $A93, Table2[AwayTeam], F$1)+SUMIFS(Table2[NewPointsHome],Table2[GameDate], "&lt;=" &amp; $A93, Table2[HomeTeam], F$1)</f>
        <v>34</v>
      </c>
      <c r="G93" s="145">
        <f>SUMIFS(Table2[NewPointsAway],Table2[GameDate], "&lt;=" &amp; $A93, Table2[AwayTeam], G$1)+SUMIFS(Table2[NewPointsHome],Table2[GameDate], "&lt;=" &amp; $A93, Table2[HomeTeam], G$1)</f>
        <v>30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55</v>
      </c>
      <c r="J93" s="145">
        <f>SUMIFS(Table2[NewPointsAway],Table2[GameDate], "&lt;=" &amp; $A93, Table2[AwayTeam], J$1)+SUMIFS(Table2[NewPointsHome],Table2[GameDate], "&lt;=" &amp; $A93, Table2[HomeTeam], J$1)</f>
        <v>49</v>
      </c>
      <c r="K93" s="145">
        <f>SUMIFS(Table2[NewPointsAway],Table2[GameDate], "&lt;=" &amp; $A93, Table2[AwayTeam], K$1)+SUMIFS(Table2[NewPointsHome],Table2[GameDate], "&lt;=" &amp; $A93, Table2[HomeTeam], K$1)</f>
        <v>41</v>
      </c>
      <c r="L93" s="145">
        <f>SUMIFS(Table2[NewPointsAway],Table2[GameDate], "&lt;=" &amp; $A93, Table2[AwayTeam], L$1)+SUMIFS(Table2[NewPointsHome],Table2[GameDate], "&lt;=" &amp; $A93, Table2[HomeTeam], L$1)</f>
        <v>38</v>
      </c>
      <c r="M93" s="145">
        <f>SUMIFS(Table2[NewPointsAway],Table2[GameDate], "&lt;=" &amp; $A93, Table2[AwayTeam], M$1)+SUMIFS(Table2[NewPointsHome],Table2[GameDate], "&lt;=" &amp; $A93, Table2[HomeTeam], M$1)</f>
        <v>36</v>
      </c>
      <c r="N93" s="145">
        <f>SUMIFS(Table2[NewPointsAway],Table2[GameDate], "&lt;=" &amp; $A93, Table2[AwayTeam], N$1)+SUMIFS(Table2[NewPointsHome],Table2[GameDate], "&lt;=" &amp; $A93, Table2[HomeTeam], N$1)</f>
        <v>37</v>
      </c>
      <c r="O93" s="145">
        <f>SUMIFS(Table2[NewPointsAway],Table2[GameDate], "&lt;=" &amp; $A93, Table2[AwayTeam], O$1)+SUMIFS(Table2[NewPointsHome],Table2[GameDate], "&lt;=" &amp; $A93, Table2[HomeTeam], O$1)</f>
        <v>45</v>
      </c>
      <c r="P93" s="145">
        <f>SUMIFS(Table2[NewPointsAway],Table2[GameDate], "&lt;=" &amp; $A93, Table2[AwayTeam], P$1)+SUMIFS(Table2[NewPointsHome],Table2[GameDate], "&lt;=" &amp; $A93, Table2[HomeTeam], P$1)</f>
        <v>38</v>
      </c>
      <c r="Q93" s="145">
        <f>SUMIFS(Table2[NewPointsAway],Table2[GameDate], "&lt;=" &amp; $A93, Table2[AwayTeam], Q$1)+SUMIFS(Table2[NewPointsHome],Table2[GameDate], "&lt;=" &amp; $A93, Table2[HomeTeam], Q$1)</f>
        <v>37</v>
      </c>
      <c r="R93" s="145">
        <f>SUMIFS(Table2[NewPointsAway],Table2[GameDate], "&lt;=" &amp; $A93, Table2[AwayTeam], R$1)+SUMIFS(Table2[NewPointsHome],Table2[GameDate], "&lt;=" &amp; $A93, Table2[HomeTeam], R$1)</f>
        <v>30</v>
      </c>
      <c r="S93" s="145">
        <f>SUMIFS(Table2[NewPointsAway],Table2[GameDate], "&lt;=" &amp; $A93, Table2[AwayTeam], S$1)+SUMIFS(Table2[NewPointsHome],Table2[GameDate], "&lt;=" &amp; $A93, Table2[HomeTeam], S$1)</f>
        <v>41</v>
      </c>
      <c r="T93" s="145">
        <f>SUMIFS(Table2[NewPointsAway],Table2[GameDate], "&lt;=" &amp; $A93, Table2[AwayTeam], T$1)+SUMIFS(Table2[NewPointsHome],Table2[GameDate], "&lt;=" &amp; $A93, Table2[HomeTeam], T$1)</f>
        <v>36</v>
      </c>
      <c r="U93" s="145">
        <f>SUMIFS(Table2[NewPointsAway],Table2[GameDate], "&lt;=" &amp; $A93, Table2[AwayTeam], U$1)+SUMIFS(Table2[NewPointsHome],Table2[GameDate], "&lt;=" &amp; $A93, Table2[HomeTeam], U$1)</f>
        <v>34</v>
      </c>
      <c r="V93" s="145">
        <f>SUMIFS(Table2[NewPointsAway],Table2[GameDate], "&lt;=" &amp; $A93, Table2[AwayTeam], V$1)+SUMIFS(Table2[NewPointsHome],Table2[GameDate], "&lt;=" &amp; $A93, Table2[HomeTeam], V$1)</f>
        <v>39</v>
      </c>
      <c r="W93" s="145">
        <f>SUMIFS(Table2[NewPointsAway],Table2[GameDate], "&lt;=" &amp; $A93, Table2[AwayTeam], W$1)+SUMIFS(Table2[NewPointsHome],Table2[GameDate], "&lt;=" &amp; $A93, Table2[HomeTeam], W$1)</f>
        <v>37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37</v>
      </c>
      <c r="Z93" s="145">
        <f>SUMIFS(Table2[NewPointsAway],Table2[GameDate], "&lt;=" &amp; $A93, Table2[AwayTeam], Z$1)+SUMIFS(Table2[NewPointsHome],Table2[GameDate], "&lt;=" &amp; $A93, Table2[HomeTeam], Z$1)</f>
        <v>32</v>
      </c>
      <c r="AA93" s="145">
        <f>SUMIFS(Table2[NewPointsAway],Table2[GameDate], "&lt;=" &amp; $A93, Table2[AwayTeam], AA$1)+SUMIFS(Table2[NewPointsHome],Table2[GameDate], "&lt;=" &amp; $A93, Table2[HomeTeam], AA$1)</f>
        <v>39</v>
      </c>
      <c r="AB93" s="145">
        <f>SUMIFS(Table2[NewPointsAway],Table2[GameDate], "&lt;=" &amp; $A93, Table2[AwayTeam], AB$1)+SUMIFS(Table2[NewPointsHome],Table2[GameDate], "&lt;=" &amp; $A93, Table2[HomeTeam], AB$1)</f>
        <v>35</v>
      </c>
      <c r="AC93" s="145">
        <f>SUMIFS(Table2[NewPointsAway],Table2[GameDate], "&lt;=" &amp; $A93, Table2[AwayTeam], AC$1)+SUMIFS(Table2[NewPointsHome],Table2[GameDate], "&lt;=" &amp; $A93, Table2[HomeTeam], AC$1)</f>
        <v>35</v>
      </c>
      <c r="AD93" s="145">
        <f>SUMIFS(Table2[NewPointsAway],Table2[GameDate], "&lt;=" &amp; $A93, Table2[AwayTeam], AD$1)+SUMIFS(Table2[NewPointsHome],Table2[GameDate], "&lt;=" &amp; $A93, Table2[HomeTeam], AD$1)</f>
        <v>29</v>
      </c>
      <c r="AE93" s="145">
        <f>SUMIFS(Table2[NewPointsAway],Table2[GameDate], "&lt;=" &amp; $A93, Table2[AwayTeam], AE$1)+SUMIFS(Table2[NewPointsHome],Table2[GameDate], "&lt;=" &amp; $A93, Table2[HomeTeam], AE$1)</f>
        <v>41</v>
      </c>
      <c r="AF93" s="145">
        <f>SUMIFS(Table2[NewPointsAway],Table2[GameDate], "&lt;=" &amp; $A93, Table2[AwayTeam], AF$1)+SUMIFS(Table2[NewPointsHome],Table2[GameDate], "&lt;=" &amp; $A93, Table2[HomeTeam], AF$1)</f>
        <v>32</v>
      </c>
      <c r="AG93" s="145">
        <f>SUMIFS(Table2[NewPointsAway],Table2[GameDate], "&lt;=" &amp; $A93, Table2[AwayTeam], AG$1)+SUMIFS(Table2[NewPointsHome],Table2[GameDate], "&lt;=" &amp; $A93, Table2[HomeTeam], AG$1)</f>
        <v>40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42</v>
      </c>
      <c r="C94" s="145">
        <f>SUMIFS(Table2[NewPointsAway],Table2[GameDate], "&lt;=" &amp; $A94, Table2[AwayTeam], C$1)+SUMIFS(Table2[NewPointsHome],Table2[GameDate], "&lt;=" &amp; $A94, Table2[HomeTeam], C$1)</f>
        <v>40</v>
      </c>
      <c r="D94" s="145">
        <f>SUMIFS(Table2[NewPointsAway],Table2[GameDate], "&lt;=" &amp; $A94, Table2[AwayTeam], D$1)+SUMIFS(Table2[NewPointsHome],Table2[GameDate], "&lt;=" &amp; $A94, Table2[HomeTeam], D$1)</f>
        <v>32</v>
      </c>
      <c r="E94" s="145">
        <f>SUMIFS(Table2[NewPointsAway],Table2[GameDate], "&lt;=" &amp; $A94, Table2[AwayTeam], E$1)+SUMIFS(Table2[NewPointsHome],Table2[GameDate], "&lt;=" &amp; $A94, Table2[HomeTeam], E$1)</f>
        <v>44</v>
      </c>
      <c r="F94" s="145">
        <f>SUMIFS(Table2[NewPointsAway],Table2[GameDate], "&lt;=" &amp; $A94, Table2[AwayTeam], F$1)+SUMIFS(Table2[NewPointsHome],Table2[GameDate], "&lt;=" &amp; $A94, Table2[HomeTeam], F$1)</f>
        <v>34</v>
      </c>
      <c r="G94" s="145">
        <f>SUMIFS(Table2[NewPointsAway],Table2[GameDate], "&lt;=" &amp; $A94, Table2[AwayTeam], G$1)+SUMIFS(Table2[NewPointsHome],Table2[GameDate], "&lt;=" &amp; $A94, Table2[HomeTeam], G$1)</f>
        <v>30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55</v>
      </c>
      <c r="J94" s="145">
        <f>SUMIFS(Table2[NewPointsAway],Table2[GameDate], "&lt;=" &amp; $A94, Table2[AwayTeam], J$1)+SUMIFS(Table2[NewPointsHome],Table2[GameDate], "&lt;=" &amp; $A94, Table2[HomeTeam], J$1)</f>
        <v>49</v>
      </c>
      <c r="K94" s="145">
        <f>SUMIFS(Table2[NewPointsAway],Table2[GameDate], "&lt;=" &amp; $A94, Table2[AwayTeam], K$1)+SUMIFS(Table2[NewPointsHome],Table2[GameDate], "&lt;=" &amp; $A94, Table2[HomeTeam], K$1)</f>
        <v>41</v>
      </c>
      <c r="L94" s="145">
        <f>SUMIFS(Table2[NewPointsAway],Table2[GameDate], "&lt;=" &amp; $A94, Table2[AwayTeam], L$1)+SUMIFS(Table2[NewPointsHome],Table2[GameDate], "&lt;=" &amp; $A94, Table2[HomeTeam], L$1)</f>
        <v>38</v>
      </c>
      <c r="M94" s="145">
        <f>SUMIFS(Table2[NewPointsAway],Table2[GameDate], "&lt;=" &amp; $A94, Table2[AwayTeam], M$1)+SUMIFS(Table2[NewPointsHome],Table2[GameDate], "&lt;=" &amp; $A94, Table2[HomeTeam], M$1)</f>
        <v>36</v>
      </c>
      <c r="N94" s="145">
        <f>SUMIFS(Table2[NewPointsAway],Table2[GameDate], "&lt;=" &amp; $A94, Table2[AwayTeam], N$1)+SUMIFS(Table2[NewPointsHome],Table2[GameDate], "&lt;=" &amp; $A94, Table2[HomeTeam], N$1)</f>
        <v>37</v>
      </c>
      <c r="O94" s="145">
        <f>SUMIFS(Table2[NewPointsAway],Table2[GameDate], "&lt;=" &amp; $A94, Table2[AwayTeam], O$1)+SUMIFS(Table2[NewPointsHome],Table2[GameDate], "&lt;=" &amp; $A94, Table2[HomeTeam], O$1)</f>
        <v>45</v>
      </c>
      <c r="P94" s="145">
        <f>SUMIFS(Table2[NewPointsAway],Table2[GameDate], "&lt;=" &amp; $A94, Table2[AwayTeam], P$1)+SUMIFS(Table2[NewPointsHome],Table2[GameDate], "&lt;=" &amp; $A94, Table2[HomeTeam], P$1)</f>
        <v>38</v>
      </c>
      <c r="Q94" s="145">
        <f>SUMIFS(Table2[NewPointsAway],Table2[GameDate], "&lt;=" &amp; $A94, Table2[AwayTeam], Q$1)+SUMIFS(Table2[NewPointsHome],Table2[GameDate], "&lt;=" &amp; $A94, Table2[HomeTeam], Q$1)</f>
        <v>37</v>
      </c>
      <c r="R94" s="145">
        <f>SUMIFS(Table2[NewPointsAway],Table2[GameDate], "&lt;=" &amp; $A94, Table2[AwayTeam], R$1)+SUMIFS(Table2[NewPointsHome],Table2[GameDate], "&lt;=" &amp; $A94, Table2[HomeTeam], R$1)</f>
        <v>30</v>
      </c>
      <c r="S94" s="145">
        <f>SUMIFS(Table2[NewPointsAway],Table2[GameDate], "&lt;=" &amp; $A94, Table2[AwayTeam], S$1)+SUMIFS(Table2[NewPointsHome],Table2[GameDate], "&lt;=" &amp; $A94, Table2[HomeTeam], S$1)</f>
        <v>41</v>
      </c>
      <c r="T94" s="145">
        <f>SUMIFS(Table2[NewPointsAway],Table2[GameDate], "&lt;=" &amp; $A94, Table2[AwayTeam], T$1)+SUMIFS(Table2[NewPointsHome],Table2[GameDate], "&lt;=" &amp; $A94, Table2[HomeTeam], T$1)</f>
        <v>36</v>
      </c>
      <c r="U94" s="145">
        <f>SUMIFS(Table2[NewPointsAway],Table2[GameDate], "&lt;=" &amp; $A94, Table2[AwayTeam], U$1)+SUMIFS(Table2[NewPointsHome],Table2[GameDate], "&lt;=" &amp; $A94, Table2[HomeTeam], U$1)</f>
        <v>34</v>
      </c>
      <c r="V94" s="145">
        <f>SUMIFS(Table2[NewPointsAway],Table2[GameDate], "&lt;=" &amp; $A94, Table2[AwayTeam], V$1)+SUMIFS(Table2[NewPointsHome],Table2[GameDate], "&lt;=" &amp; $A94, Table2[HomeTeam], V$1)</f>
        <v>39</v>
      </c>
      <c r="W94" s="145">
        <f>SUMIFS(Table2[NewPointsAway],Table2[GameDate], "&lt;=" &amp; $A94, Table2[AwayTeam], W$1)+SUMIFS(Table2[NewPointsHome],Table2[GameDate], "&lt;=" &amp; $A94, Table2[HomeTeam], W$1)</f>
        <v>37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37</v>
      </c>
      <c r="Z94" s="145">
        <f>SUMIFS(Table2[NewPointsAway],Table2[GameDate], "&lt;=" &amp; $A94, Table2[AwayTeam], Z$1)+SUMIFS(Table2[NewPointsHome],Table2[GameDate], "&lt;=" &amp; $A94, Table2[HomeTeam], Z$1)</f>
        <v>32</v>
      </c>
      <c r="AA94" s="145">
        <f>SUMIFS(Table2[NewPointsAway],Table2[GameDate], "&lt;=" &amp; $A94, Table2[AwayTeam], AA$1)+SUMIFS(Table2[NewPointsHome],Table2[GameDate], "&lt;=" &amp; $A94, Table2[HomeTeam], AA$1)</f>
        <v>39</v>
      </c>
      <c r="AB94" s="145">
        <f>SUMIFS(Table2[NewPointsAway],Table2[GameDate], "&lt;=" &amp; $A94, Table2[AwayTeam], AB$1)+SUMIFS(Table2[NewPointsHome],Table2[GameDate], "&lt;=" &amp; $A94, Table2[HomeTeam], AB$1)</f>
        <v>35</v>
      </c>
      <c r="AC94" s="145">
        <f>SUMIFS(Table2[NewPointsAway],Table2[GameDate], "&lt;=" &amp; $A94, Table2[AwayTeam], AC$1)+SUMIFS(Table2[NewPointsHome],Table2[GameDate], "&lt;=" &amp; $A94, Table2[HomeTeam], AC$1)</f>
        <v>35</v>
      </c>
      <c r="AD94" s="145">
        <f>SUMIFS(Table2[NewPointsAway],Table2[GameDate], "&lt;=" &amp; $A94, Table2[AwayTeam], AD$1)+SUMIFS(Table2[NewPointsHome],Table2[GameDate], "&lt;=" &amp; $A94, Table2[HomeTeam], AD$1)</f>
        <v>29</v>
      </c>
      <c r="AE94" s="145">
        <f>SUMIFS(Table2[NewPointsAway],Table2[GameDate], "&lt;=" &amp; $A94, Table2[AwayTeam], AE$1)+SUMIFS(Table2[NewPointsHome],Table2[GameDate], "&lt;=" &amp; $A94, Table2[HomeTeam], AE$1)</f>
        <v>41</v>
      </c>
      <c r="AF94" s="145">
        <f>SUMIFS(Table2[NewPointsAway],Table2[GameDate], "&lt;=" &amp; $A94, Table2[AwayTeam], AF$1)+SUMIFS(Table2[NewPointsHome],Table2[GameDate], "&lt;=" &amp; $A94, Table2[HomeTeam], AF$1)</f>
        <v>32</v>
      </c>
      <c r="AG94" s="145">
        <f>SUMIFS(Table2[NewPointsAway],Table2[GameDate], "&lt;=" &amp; $A94, Table2[AwayTeam], AG$1)+SUMIFS(Table2[NewPointsHome],Table2[GameDate], "&lt;=" &amp; $A94, Table2[HomeTeam], AG$1)</f>
        <v>40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42</v>
      </c>
      <c r="C95" s="145">
        <f>SUMIFS(Table2[NewPointsAway],Table2[GameDate], "&lt;=" &amp; $A95, Table2[AwayTeam], C$1)+SUMIFS(Table2[NewPointsHome],Table2[GameDate], "&lt;=" &amp; $A95, Table2[HomeTeam], C$1)</f>
        <v>40</v>
      </c>
      <c r="D95" s="145">
        <f>SUMIFS(Table2[NewPointsAway],Table2[GameDate], "&lt;=" &amp; $A95, Table2[AwayTeam], D$1)+SUMIFS(Table2[NewPointsHome],Table2[GameDate], "&lt;=" &amp; $A95, Table2[HomeTeam], D$1)</f>
        <v>32</v>
      </c>
      <c r="E95" s="145">
        <f>SUMIFS(Table2[NewPointsAway],Table2[GameDate], "&lt;=" &amp; $A95, Table2[AwayTeam], E$1)+SUMIFS(Table2[NewPointsHome],Table2[GameDate], "&lt;=" &amp; $A95, Table2[HomeTeam], E$1)</f>
        <v>44</v>
      </c>
      <c r="F95" s="145">
        <f>SUMIFS(Table2[NewPointsAway],Table2[GameDate], "&lt;=" &amp; $A95, Table2[AwayTeam], F$1)+SUMIFS(Table2[NewPointsHome],Table2[GameDate], "&lt;=" &amp; $A95, Table2[HomeTeam], F$1)</f>
        <v>34</v>
      </c>
      <c r="G95" s="145">
        <f>SUMIFS(Table2[NewPointsAway],Table2[GameDate], "&lt;=" &amp; $A95, Table2[AwayTeam], G$1)+SUMIFS(Table2[NewPointsHome],Table2[GameDate], "&lt;=" &amp; $A95, Table2[HomeTeam], G$1)</f>
        <v>30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55</v>
      </c>
      <c r="J95" s="145">
        <f>SUMIFS(Table2[NewPointsAway],Table2[GameDate], "&lt;=" &amp; $A95, Table2[AwayTeam], J$1)+SUMIFS(Table2[NewPointsHome],Table2[GameDate], "&lt;=" &amp; $A95, Table2[HomeTeam], J$1)</f>
        <v>49</v>
      </c>
      <c r="K95" s="145">
        <f>SUMIFS(Table2[NewPointsAway],Table2[GameDate], "&lt;=" &amp; $A95, Table2[AwayTeam], K$1)+SUMIFS(Table2[NewPointsHome],Table2[GameDate], "&lt;=" &amp; $A95, Table2[HomeTeam], K$1)</f>
        <v>41</v>
      </c>
      <c r="L95" s="145">
        <f>SUMIFS(Table2[NewPointsAway],Table2[GameDate], "&lt;=" &amp; $A95, Table2[AwayTeam], L$1)+SUMIFS(Table2[NewPointsHome],Table2[GameDate], "&lt;=" &amp; $A95, Table2[HomeTeam], L$1)</f>
        <v>38</v>
      </c>
      <c r="M95" s="145">
        <f>SUMIFS(Table2[NewPointsAway],Table2[GameDate], "&lt;=" &amp; $A95, Table2[AwayTeam], M$1)+SUMIFS(Table2[NewPointsHome],Table2[GameDate], "&lt;=" &amp; $A95, Table2[HomeTeam], M$1)</f>
        <v>36</v>
      </c>
      <c r="N95" s="145">
        <f>SUMIFS(Table2[NewPointsAway],Table2[GameDate], "&lt;=" &amp; $A95, Table2[AwayTeam], N$1)+SUMIFS(Table2[NewPointsHome],Table2[GameDate], "&lt;=" &amp; $A95, Table2[HomeTeam], N$1)</f>
        <v>37</v>
      </c>
      <c r="O95" s="145">
        <f>SUMIFS(Table2[NewPointsAway],Table2[GameDate], "&lt;=" &amp; $A95, Table2[AwayTeam], O$1)+SUMIFS(Table2[NewPointsHome],Table2[GameDate], "&lt;=" &amp; $A95, Table2[HomeTeam], O$1)</f>
        <v>45</v>
      </c>
      <c r="P95" s="145">
        <f>SUMIFS(Table2[NewPointsAway],Table2[GameDate], "&lt;=" &amp; $A95, Table2[AwayTeam], P$1)+SUMIFS(Table2[NewPointsHome],Table2[GameDate], "&lt;=" &amp; $A95, Table2[HomeTeam], P$1)</f>
        <v>38</v>
      </c>
      <c r="Q95" s="145">
        <f>SUMIFS(Table2[NewPointsAway],Table2[GameDate], "&lt;=" &amp; $A95, Table2[AwayTeam], Q$1)+SUMIFS(Table2[NewPointsHome],Table2[GameDate], "&lt;=" &amp; $A95, Table2[HomeTeam], Q$1)</f>
        <v>37</v>
      </c>
      <c r="R95" s="145">
        <f>SUMIFS(Table2[NewPointsAway],Table2[GameDate], "&lt;=" &amp; $A95, Table2[AwayTeam], R$1)+SUMIFS(Table2[NewPointsHome],Table2[GameDate], "&lt;=" &amp; $A95, Table2[HomeTeam], R$1)</f>
        <v>30</v>
      </c>
      <c r="S95" s="145">
        <f>SUMIFS(Table2[NewPointsAway],Table2[GameDate], "&lt;=" &amp; $A95, Table2[AwayTeam], S$1)+SUMIFS(Table2[NewPointsHome],Table2[GameDate], "&lt;=" &amp; $A95, Table2[HomeTeam], S$1)</f>
        <v>41</v>
      </c>
      <c r="T95" s="145">
        <f>SUMIFS(Table2[NewPointsAway],Table2[GameDate], "&lt;=" &amp; $A95, Table2[AwayTeam], T$1)+SUMIFS(Table2[NewPointsHome],Table2[GameDate], "&lt;=" &amp; $A95, Table2[HomeTeam], T$1)</f>
        <v>36</v>
      </c>
      <c r="U95" s="145">
        <f>SUMIFS(Table2[NewPointsAway],Table2[GameDate], "&lt;=" &amp; $A95, Table2[AwayTeam], U$1)+SUMIFS(Table2[NewPointsHome],Table2[GameDate], "&lt;=" &amp; $A95, Table2[HomeTeam], U$1)</f>
        <v>34</v>
      </c>
      <c r="V95" s="145">
        <f>SUMIFS(Table2[NewPointsAway],Table2[GameDate], "&lt;=" &amp; $A95, Table2[AwayTeam], V$1)+SUMIFS(Table2[NewPointsHome],Table2[GameDate], "&lt;=" &amp; $A95, Table2[HomeTeam], V$1)</f>
        <v>39</v>
      </c>
      <c r="W95" s="145">
        <f>SUMIFS(Table2[NewPointsAway],Table2[GameDate], "&lt;=" &amp; $A95, Table2[AwayTeam], W$1)+SUMIFS(Table2[NewPointsHome],Table2[GameDate], "&lt;=" &amp; $A95, Table2[HomeTeam], W$1)</f>
        <v>37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37</v>
      </c>
      <c r="Z95" s="145">
        <f>SUMIFS(Table2[NewPointsAway],Table2[GameDate], "&lt;=" &amp; $A95, Table2[AwayTeam], Z$1)+SUMIFS(Table2[NewPointsHome],Table2[GameDate], "&lt;=" &amp; $A95, Table2[HomeTeam], Z$1)</f>
        <v>32</v>
      </c>
      <c r="AA95" s="145">
        <f>SUMIFS(Table2[NewPointsAway],Table2[GameDate], "&lt;=" &amp; $A95, Table2[AwayTeam], AA$1)+SUMIFS(Table2[NewPointsHome],Table2[GameDate], "&lt;=" &amp; $A95, Table2[HomeTeam], AA$1)</f>
        <v>39</v>
      </c>
      <c r="AB95" s="145">
        <f>SUMIFS(Table2[NewPointsAway],Table2[GameDate], "&lt;=" &amp; $A95, Table2[AwayTeam], AB$1)+SUMIFS(Table2[NewPointsHome],Table2[GameDate], "&lt;=" &amp; $A95, Table2[HomeTeam], AB$1)</f>
        <v>35</v>
      </c>
      <c r="AC95" s="145">
        <f>SUMIFS(Table2[NewPointsAway],Table2[GameDate], "&lt;=" &amp; $A95, Table2[AwayTeam], AC$1)+SUMIFS(Table2[NewPointsHome],Table2[GameDate], "&lt;=" &amp; $A95, Table2[HomeTeam], AC$1)</f>
        <v>35</v>
      </c>
      <c r="AD95" s="145">
        <f>SUMIFS(Table2[NewPointsAway],Table2[GameDate], "&lt;=" &amp; $A95, Table2[AwayTeam], AD$1)+SUMIFS(Table2[NewPointsHome],Table2[GameDate], "&lt;=" &amp; $A95, Table2[HomeTeam], AD$1)</f>
        <v>29</v>
      </c>
      <c r="AE95" s="145">
        <f>SUMIFS(Table2[NewPointsAway],Table2[GameDate], "&lt;=" &amp; $A95, Table2[AwayTeam], AE$1)+SUMIFS(Table2[NewPointsHome],Table2[GameDate], "&lt;=" &amp; $A95, Table2[HomeTeam], AE$1)</f>
        <v>41</v>
      </c>
      <c r="AF95" s="145">
        <f>SUMIFS(Table2[NewPointsAway],Table2[GameDate], "&lt;=" &amp; $A95, Table2[AwayTeam], AF$1)+SUMIFS(Table2[NewPointsHome],Table2[GameDate], "&lt;=" &amp; $A95, Table2[HomeTeam], AF$1)</f>
        <v>32</v>
      </c>
      <c r="AG95" s="145">
        <f>SUMIFS(Table2[NewPointsAway],Table2[GameDate], "&lt;=" &amp; $A95, Table2[AwayTeam], AG$1)+SUMIFS(Table2[NewPointsHome],Table2[GameDate], "&lt;=" &amp; $A95, Table2[HomeTeam], AG$1)</f>
        <v>40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42</v>
      </c>
      <c r="C96" s="145">
        <f>SUMIFS(Table2[NewPointsAway],Table2[GameDate], "&lt;=" &amp; $A96, Table2[AwayTeam], C$1)+SUMIFS(Table2[NewPointsHome],Table2[GameDate], "&lt;=" &amp; $A96, Table2[HomeTeam], C$1)</f>
        <v>40</v>
      </c>
      <c r="D96" s="145">
        <f>SUMIFS(Table2[NewPointsAway],Table2[GameDate], "&lt;=" &amp; $A96, Table2[AwayTeam], D$1)+SUMIFS(Table2[NewPointsHome],Table2[GameDate], "&lt;=" &amp; $A96, Table2[HomeTeam], D$1)</f>
        <v>32</v>
      </c>
      <c r="E96" s="145">
        <f>SUMIFS(Table2[NewPointsAway],Table2[GameDate], "&lt;=" &amp; $A96, Table2[AwayTeam], E$1)+SUMIFS(Table2[NewPointsHome],Table2[GameDate], "&lt;=" &amp; $A96, Table2[HomeTeam], E$1)</f>
        <v>44</v>
      </c>
      <c r="F96" s="145">
        <f>SUMIFS(Table2[NewPointsAway],Table2[GameDate], "&lt;=" &amp; $A96, Table2[AwayTeam], F$1)+SUMIFS(Table2[NewPointsHome],Table2[GameDate], "&lt;=" &amp; $A96, Table2[HomeTeam], F$1)</f>
        <v>34</v>
      </c>
      <c r="G96" s="145">
        <f>SUMIFS(Table2[NewPointsAway],Table2[GameDate], "&lt;=" &amp; $A96, Table2[AwayTeam], G$1)+SUMIFS(Table2[NewPointsHome],Table2[GameDate], "&lt;=" &amp; $A96, Table2[HomeTeam], G$1)</f>
        <v>30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55</v>
      </c>
      <c r="J96" s="145">
        <f>SUMIFS(Table2[NewPointsAway],Table2[GameDate], "&lt;=" &amp; $A96, Table2[AwayTeam], J$1)+SUMIFS(Table2[NewPointsHome],Table2[GameDate], "&lt;=" &amp; $A96, Table2[HomeTeam], J$1)</f>
        <v>49</v>
      </c>
      <c r="K96" s="145">
        <f>SUMIFS(Table2[NewPointsAway],Table2[GameDate], "&lt;=" &amp; $A96, Table2[AwayTeam], K$1)+SUMIFS(Table2[NewPointsHome],Table2[GameDate], "&lt;=" &amp; $A96, Table2[HomeTeam], K$1)</f>
        <v>41</v>
      </c>
      <c r="L96" s="145">
        <f>SUMIFS(Table2[NewPointsAway],Table2[GameDate], "&lt;=" &amp; $A96, Table2[AwayTeam], L$1)+SUMIFS(Table2[NewPointsHome],Table2[GameDate], "&lt;=" &amp; $A96, Table2[HomeTeam], L$1)</f>
        <v>38</v>
      </c>
      <c r="M96" s="145">
        <f>SUMIFS(Table2[NewPointsAway],Table2[GameDate], "&lt;=" &amp; $A96, Table2[AwayTeam], M$1)+SUMIFS(Table2[NewPointsHome],Table2[GameDate], "&lt;=" &amp; $A96, Table2[HomeTeam], M$1)</f>
        <v>36</v>
      </c>
      <c r="N96" s="145">
        <f>SUMIFS(Table2[NewPointsAway],Table2[GameDate], "&lt;=" &amp; $A96, Table2[AwayTeam], N$1)+SUMIFS(Table2[NewPointsHome],Table2[GameDate], "&lt;=" &amp; $A96, Table2[HomeTeam], N$1)</f>
        <v>37</v>
      </c>
      <c r="O96" s="145">
        <f>SUMIFS(Table2[NewPointsAway],Table2[GameDate], "&lt;=" &amp; $A96, Table2[AwayTeam], O$1)+SUMIFS(Table2[NewPointsHome],Table2[GameDate], "&lt;=" &amp; $A96, Table2[HomeTeam], O$1)</f>
        <v>45</v>
      </c>
      <c r="P96" s="145">
        <f>SUMIFS(Table2[NewPointsAway],Table2[GameDate], "&lt;=" &amp; $A96, Table2[AwayTeam], P$1)+SUMIFS(Table2[NewPointsHome],Table2[GameDate], "&lt;=" &amp; $A96, Table2[HomeTeam], P$1)</f>
        <v>38</v>
      </c>
      <c r="Q96" s="145">
        <f>SUMIFS(Table2[NewPointsAway],Table2[GameDate], "&lt;=" &amp; $A96, Table2[AwayTeam], Q$1)+SUMIFS(Table2[NewPointsHome],Table2[GameDate], "&lt;=" &amp; $A96, Table2[HomeTeam], Q$1)</f>
        <v>37</v>
      </c>
      <c r="R96" s="145">
        <f>SUMIFS(Table2[NewPointsAway],Table2[GameDate], "&lt;=" &amp; $A96, Table2[AwayTeam], R$1)+SUMIFS(Table2[NewPointsHome],Table2[GameDate], "&lt;=" &amp; $A96, Table2[HomeTeam], R$1)</f>
        <v>30</v>
      </c>
      <c r="S96" s="145">
        <f>SUMIFS(Table2[NewPointsAway],Table2[GameDate], "&lt;=" &amp; $A96, Table2[AwayTeam], S$1)+SUMIFS(Table2[NewPointsHome],Table2[GameDate], "&lt;=" &amp; $A96, Table2[HomeTeam], S$1)</f>
        <v>41</v>
      </c>
      <c r="T96" s="145">
        <f>SUMIFS(Table2[NewPointsAway],Table2[GameDate], "&lt;=" &amp; $A96, Table2[AwayTeam], T$1)+SUMIFS(Table2[NewPointsHome],Table2[GameDate], "&lt;=" &amp; $A96, Table2[HomeTeam], T$1)</f>
        <v>36</v>
      </c>
      <c r="U96" s="145">
        <f>SUMIFS(Table2[NewPointsAway],Table2[GameDate], "&lt;=" &amp; $A96, Table2[AwayTeam], U$1)+SUMIFS(Table2[NewPointsHome],Table2[GameDate], "&lt;=" &amp; $A96, Table2[HomeTeam], U$1)</f>
        <v>34</v>
      </c>
      <c r="V96" s="145">
        <f>SUMIFS(Table2[NewPointsAway],Table2[GameDate], "&lt;=" &amp; $A96, Table2[AwayTeam], V$1)+SUMIFS(Table2[NewPointsHome],Table2[GameDate], "&lt;=" &amp; $A96, Table2[HomeTeam], V$1)</f>
        <v>39</v>
      </c>
      <c r="W96" s="145">
        <f>SUMIFS(Table2[NewPointsAway],Table2[GameDate], "&lt;=" &amp; $A96, Table2[AwayTeam], W$1)+SUMIFS(Table2[NewPointsHome],Table2[GameDate], "&lt;=" &amp; $A96, Table2[HomeTeam], W$1)</f>
        <v>37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37</v>
      </c>
      <c r="Z96" s="145">
        <f>SUMIFS(Table2[NewPointsAway],Table2[GameDate], "&lt;=" &amp; $A96, Table2[AwayTeam], Z$1)+SUMIFS(Table2[NewPointsHome],Table2[GameDate], "&lt;=" &amp; $A96, Table2[HomeTeam], Z$1)</f>
        <v>32</v>
      </c>
      <c r="AA96" s="145">
        <f>SUMIFS(Table2[NewPointsAway],Table2[GameDate], "&lt;=" &amp; $A96, Table2[AwayTeam], AA$1)+SUMIFS(Table2[NewPointsHome],Table2[GameDate], "&lt;=" &amp; $A96, Table2[HomeTeam], AA$1)</f>
        <v>39</v>
      </c>
      <c r="AB96" s="145">
        <f>SUMIFS(Table2[NewPointsAway],Table2[GameDate], "&lt;=" &amp; $A96, Table2[AwayTeam], AB$1)+SUMIFS(Table2[NewPointsHome],Table2[GameDate], "&lt;=" &amp; $A96, Table2[HomeTeam], AB$1)</f>
        <v>35</v>
      </c>
      <c r="AC96" s="145">
        <f>SUMIFS(Table2[NewPointsAway],Table2[GameDate], "&lt;=" &amp; $A96, Table2[AwayTeam], AC$1)+SUMIFS(Table2[NewPointsHome],Table2[GameDate], "&lt;=" &amp; $A96, Table2[HomeTeam], AC$1)</f>
        <v>35</v>
      </c>
      <c r="AD96" s="145">
        <f>SUMIFS(Table2[NewPointsAway],Table2[GameDate], "&lt;=" &amp; $A96, Table2[AwayTeam], AD$1)+SUMIFS(Table2[NewPointsHome],Table2[GameDate], "&lt;=" &amp; $A96, Table2[HomeTeam], AD$1)</f>
        <v>29</v>
      </c>
      <c r="AE96" s="145">
        <f>SUMIFS(Table2[NewPointsAway],Table2[GameDate], "&lt;=" &amp; $A96, Table2[AwayTeam], AE$1)+SUMIFS(Table2[NewPointsHome],Table2[GameDate], "&lt;=" &amp; $A96, Table2[HomeTeam], AE$1)</f>
        <v>41</v>
      </c>
      <c r="AF96" s="145">
        <f>SUMIFS(Table2[NewPointsAway],Table2[GameDate], "&lt;=" &amp; $A96, Table2[AwayTeam], AF$1)+SUMIFS(Table2[NewPointsHome],Table2[GameDate], "&lt;=" &amp; $A96, Table2[HomeTeam], AF$1)</f>
        <v>32</v>
      </c>
      <c r="AG96" s="145">
        <f>SUMIFS(Table2[NewPointsAway],Table2[GameDate], "&lt;=" &amp; $A96, Table2[AwayTeam], AG$1)+SUMIFS(Table2[NewPointsHome],Table2[GameDate], "&lt;=" &amp; $A96, Table2[HomeTeam], AG$1)</f>
        <v>40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42</v>
      </c>
      <c r="C97" s="145">
        <f>SUMIFS(Table2[NewPointsAway],Table2[GameDate], "&lt;=" &amp; $A97, Table2[AwayTeam], C$1)+SUMIFS(Table2[NewPointsHome],Table2[GameDate], "&lt;=" &amp; $A97, Table2[HomeTeam], C$1)</f>
        <v>40</v>
      </c>
      <c r="D97" s="145">
        <f>SUMIFS(Table2[NewPointsAway],Table2[GameDate], "&lt;=" &amp; $A97, Table2[AwayTeam], D$1)+SUMIFS(Table2[NewPointsHome],Table2[GameDate], "&lt;=" &amp; $A97, Table2[HomeTeam], D$1)</f>
        <v>32</v>
      </c>
      <c r="E97" s="145">
        <f>SUMIFS(Table2[NewPointsAway],Table2[GameDate], "&lt;=" &amp; $A97, Table2[AwayTeam], E$1)+SUMIFS(Table2[NewPointsHome],Table2[GameDate], "&lt;=" &amp; $A97, Table2[HomeTeam], E$1)</f>
        <v>44</v>
      </c>
      <c r="F97" s="145">
        <f>SUMIFS(Table2[NewPointsAway],Table2[GameDate], "&lt;=" &amp; $A97, Table2[AwayTeam], F$1)+SUMIFS(Table2[NewPointsHome],Table2[GameDate], "&lt;=" &amp; $A97, Table2[HomeTeam], F$1)</f>
        <v>34</v>
      </c>
      <c r="G97" s="145">
        <f>SUMIFS(Table2[NewPointsAway],Table2[GameDate], "&lt;=" &amp; $A97, Table2[AwayTeam], G$1)+SUMIFS(Table2[NewPointsHome],Table2[GameDate], "&lt;=" &amp; $A97, Table2[HomeTeam], G$1)</f>
        <v>30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55</v>
      </c>
      <c r="J97" s="145">
        <f>SUMIFS(Table2[NewPointsAway],Table2[GameDate], "&lt;=" &amp; $A97, Table2[AwayTeam], J$1)+SUMIFS(Table2[NewPointsHome],Table2[GameDate], "&lt;=" &amp; $A97, Table2[HomeTeam], J$1)</f>
        <v>49</v>
      </c>
      <c r="K97" s="145">
        <f>SUMIFS(Table2[NewPointsAway],Table2[GameDate], "&lt;=" &amp; $A97, Table2[AwayTeam], K$1)+SUMIFS(Table2[NewPointsHome],Table2[GameDate], "&lt;=" &amp; $A97, Table2[HomeTeam], K$1)</f>
        <v>41</v>
      </c>
      <c r="L97" s="145">
        <f>SUMIFS(Table2[NewPointsAway],Table2[GameDate], "&lt;=" &amp; $A97, Table2[AwayTeam], L$1)+SUMIFS(Table2[NewPointsHome],Table2[GameDate], "&lt;=" &amp; $A97, Table2[HomeTeam], L$1)</f>
        <v>38</v>
      </c>
      <c r="M97" s="145">
        <f>SUMIFS(Table2[NewPointsAway],Table2[GameDate], "&lt;=" &amp; $A97, Table2[AwayTeam], M$1)+SUMIFS(Table2[NewPointsHome],Table2[GameDate], "&lt;=" &amp; $A97, Table2[HomeTeam], M$1)</f>
        <v>36</v>
      </c>
      <c r="N97" s="145">
        <f>SUMIFS(Table2[NewPointsAway],Table2[GameDate], "&lt;=" &amp; $A97, Table2[AwayTeam], N$1)+SUMIFS(Table2[NewPointsHome],Table2[GameDate], "&lt;=" &amp; $A97, Table2[HomeTeam], N$1)</f>
        <v>37</v>
      </c>
      <c r="O97" s="145">
        <f>SUMIFS(Table2[NewPointsAway],Table2[GameDate], "&lt;=" &amp; $A97, Table2[AwayTeam], O$1)+SUMIFS(Table2[NewPointsHome],Table2[GameDate], "&lt;=" &amp; $A97, Table2[HomeTeam], O$1)</f>
        <v>45</v>
      </c>
      <c r="P97" s="145">
        <f>SUMIFS(Table2[NewPointsAway],Table2[GameDate], "&lt;=" &amp; $A97, Table2[AwayTeam], P$1)+SUMIFS(Table2[NewPointsHome],Table2[GameDate], "&lt;=" &amp; $A97, Table2[HomeTeam], P$1)</f>
        <v>38</v>
      </c>
      <c r="Q97" s="145">
        <f>SUMIFS(Table2[NewPointsAway],Table2[GameDate], "&lt;=" &amp; $A97, Table2[AwayTeam], Q$1)+SUMIFS(Table2[NewPointsHome],Table2[GameDate], "&lt;=" &amp; $A97, Table2[HomeTeam], Q$1)</f>
        <v>37</v>
      </c>
      <c r="R97" s="145">
        <f>SUMIFS(Table2[NewPointsAway],Table2[GameDate], "&lt;=" &amp; $A97, Table2[AwayTeam], R$1)+SUMIFS(Table2[NewPointsHome],Table2[GameDate], "&lt;=" &amp; $A97, Table2[HomeTeam], R$1)</f>
        <v>30</v>
      </c>
      <c r="S97" s="145">
        <f>SUMIFS(Table2[NewPointsAway],Table2[GameDate], "&lt;=" &amp; $A97, Table2[AwayTeam], S$1)+SUMIFS(Table2[NewPointsHome],Table2[GameDate], "&lt;=" &amp; $A97, Table2[HomeTeam], S$1)</f>
        <v>41</v>
      </c>
      <c r="T97" s="145">
        <f>SUMIFS(Table2[NewPointsAway],Table2[GameDate], "&lt;=" &amp; $A97, Table2[AwayTeam], T$1)+SUMIFS(Table2[NewPointsHome],Table2[GameDate], "&lt;=" &amp; $A97, Table2[HomeTeam], T$1)</f>
        <v>36</v>
      </c>
      <c r="U97" s="145">
        <f>SUMIFS(Table2[NewPointsAway],Table2[GameDate], "&lt;=" &amp; $A97, Table2[AwayTeam], U$1)+SUMIFS(Table2[NewPointsHome],Table2[GameDate], "&lt;=" &amp; $A97, Table2[HomeTeam], U$1)</f>
        <v>34</v>
      </c>
      <c r="V97" s="145">
        <f>SUMIFS(Table2[NewPointsAway],Table2[GameDate], "&lt;=" &amp; $A97, Table2[AwayTeam], V$1)+SUMIFS(Table2[NewPointsHome],Table2[GameDate], "&lt;=" &amp; $A97, Table2[HomeTeam], V$1)</f>
        <v>39</v>
      </c>
      <c r="W97" s="145">
        <f>SUMIFS(Table2[NewPointsAway],Table2[GameDate], "&lt;=" &amp; $A97, Table2[AwayTeam], W$1)+SUMIFS(Table2[NewPointsHome],Table2[GameDate], "&lt;=" &amp; $A97, Table2[HomeTeam], W$1)</f>
        <v>37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37</v>
      </c>
      <c r="Z97" s="145">
        <f>SUMIFS(Table2[NewPointsAway],Table2[GameDate], "&lt;=" &amp; $A97, Table2[AwayTeam], Z$1)+SUMIFS(Table2[NewPointsHome],Table2[GameDate], "&lt;=" &amp; $A97, Table2[HomeTeam], Z$1)</f>
        <v>32</v>
      </c>
      <c r="AA97" s="145">
        <f>SUMIFS(Table2[NewPointsAway],Table2[GameDate], "&lt;=" &amp; $A97, Table2[AwayTeam], AA$1)+SUMIFS(Table2[NewPointsHome],Table2[GameDate], "&lt;=" &amp; $A97, Table2[HomeTeam], AA$1)</f>
        <v>39</v>
      </c>
      <c r="AB97" s="145">
        <f>SUMIFS(Table2[NewPointsAway],Table2[GameDate], "&lt;=" &amp; $A97, Table2[AwayTeam], AB$1)+SUMIFS(Table2[NewPointsHome],Table2[GameDate], "&lt;=" &amp; $A97, Table2[HomeTeam], AB$1)</f>
        <v>35</v>
      </c>
      <c r="AC97" s="145">
        <f>SUMIFS(Table2[NewPointsAway],Table2[GameDate], "&lt;=" &amp; $A97, Table2[AwayTeam], AC$1)+SUMIFS(Table2[NewPointsHome],Table2[GameDate], "&lt;=" &amp; $A97, Table2[HomeTeam], AC$1)</f>
        <v>35</v>
      </c>
      <c r="AD97" s="145">
        <f>SUMIFS(Table2[NewPointsAway],Table2[GameDate], "&lt;=" &amp; $A97, Table2[AwayTeam], AD$1)+SUMIFS(Table2[NewPointsHome],Table2[GameDate], "&lt;=" &amp; $A97, Table2[HomeTeam], AD$1)</f>
        <v>29</v>
      </c>
      <c r="AE97" s="145">
        <f>SUMIFS(Table2[NewPointsAway],Table2[GameDate], "&lt;=" &amp; $A97, Table2[AwayTeam], AE$1)+SUMIFS(Table2[NewPointsHome],Table2[GameDate], "&lt;=" &amp; $A97, Table2[HomeTeam], AE$1)</f>
        <v>41</v>
      </c>
      <c r="AF97" s="145">
        <f>SUMIFS(Table2[NewPointsAway],Table2[GameDate], "&lt;=" &amp; $A97, Table2[AwayTeam], AF$1)+SUMIFS(Table2[NewPointsHome],Table2[GameDate], "&lt;=" &amp; $A97, Table2[HomeTeam], AF$1)</f>
        <v>32</v>
      </c>
      <c r="AG97" s="145">
        <f>SUMIFS(Table2[NewPointsAway],Table2[GameDate], "&lt;=" &amp; $A97, Table2[AwayTeam], AG$1)+SUMIFS(Table2[NewPointsHome],Table2[GameDate], "&lt;=" &amp; $A97, Table2[HomeTeam], AG$1)</f>
        <v>40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42</v>
      </c>
      <c r="C98" s="145">
        <f>SUMIFS(Table2[NewPointsAway],Table2[GameDate], "&lt;=" &amp; $A98, Table2[AwayTeam], C$1)+SUMIFS(Table2[NewPointsHome],Table2[GameDate], "&lt;=" &amp; $A98, Table2[HomeTeam], C$1)</f>
        <v>40</v>
      </c>
      <c r="D98" s="145">
        <f>SUMIFS(Table2[NewPointsAway],Table2[GameDate], "&lt;=" &amp; $A98, Table2[AwayTeam], D$1)+SUMIFS(Table2[NewPointsHome],Table2[GameDate], "&lt;=" &amp; $A98, Table2[HomeTeam], D$1)</f>
        <v>32</v>
      </c>
      <c r="E98" s="145">
        <f>SUMIFS(Table2[NewPointsAway],Table2[GameDate], "&lt;=" &amp; $A98, Table2[AwayTeam], E$1)+SUMIFS(Table2[NewPointsHome],Table2[GameDate], "&lt;=" &amp; $A98, Table2[HomeTeam], E$1)</f>
        <v>44</v>
      </c>
      <c r="F98" s="145">
        <f>SUMIFS(Table2[NewPointsAway],Table2[GameDate], "&lt;=" &amp; $A98, Table2[AwayTeam], F$1)+SUMIFS(Table2[NewPointsHome],Table2[GameDate], "&lt;=" &amp; $A98, Table2[HomeTeam], F$1)</f>
        <v>34</v>
      </c>
      <c r="G98" s="145">
        <f>SUMIFS(Table2[NewPointsAway],Table2[GameDate], "&lt;=" &amp; $A98, Table2[AwayTeam], G$1)+SUMIFS(Table2[NewPointsHome],Table2[GameDate], "&lt;=" &amp; $A98, Table2[HomeTeam], G$1)</f>
        <v>30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55</v>
      </c>
      <c r="J98" s="145">
        <f>SUMIFS(Table2[NewPointsAway],Table2[GameDate], "&lt;=" &amp; $A98, Table2[AwayTeam], J$1)+SUMIFS(Table2[NewPointsHome],Table2[GameDate], "&lt;=" &amp; $A98, Table2[HomeTeam], J$1)</f>
        <v>49</v>
      </c>
      <c r="K98" s="145">
        <f>SUMIFS(Table2[NewPointsAway],Table2[GameDate], "&lt;=" &amp; $A98, Table2[AwayTeam], K$1)+SUMIFS(Table2[NewPointsHome],Table2[GameDate], "&lt;=" &amp; $A98, Table2[HomeTeam], K$1)</f>
        <v>41</v>
      </c>
      <c r="L98" s="145">
        <f>SUMIFS(Table2[NewPointsAway],Table2[GameDate], "&lt;=" &amp; $A98, Table2[AwayTeam], L$1)+SUMIFS(Table2[NewPointsHome],Table2[GameDate], "&lt;=" &amp; $A98, Table2[HomeTeam], L$1)</f>
        <v>38</v>
      </c>
      <c r="M98" s="145">
        <f>SUMIFS(Table2[NewPointsAway],Table2[GameDate], "&lt;=" &amp; $A98, Table2[AwayTeam], M$1)+SUMIFS(Table2[NewPointsHome],Table2[GameDate], "&lt;=" &amp; $A98, Table2[HomeTeam], M$1)</f>
        <v>36</v>
      </c>
      <c r="N98" s="145">
        <f>SUMIFS(Table2[NewPointsAway],Table2[GameDate], "&lt;=" &amp; $A98, Table2[AwayTeam], N$1)+SUMIFS(Table2[NewPointsHome],Table2[GameDate], "&lt;=" &amp; $A98, Table2[HomeTeam], N$1)</f>
        <v>37</v>
      </c>
      <c r="O98" s="145">
        <f>SUMIFS(Table2[NewPointsAway],Table2[GameDate], "&lt;=" &amp; $A98, Table2[AwayTeam], O$1)+SUMIFS(Table2[NewPointsHome],Table2[GameDate], "&lt;=" &amp; $A98, Table2[HomeTeam], O$1)</f>
        <v>45</v>
      </c>
      <c r="P98" s="145">
        <f>SUMIFS(Table2[NewPointsAway],Table2[GameDate], "&lt;=" &amp; $A98, Table2[AwayTeam], P$1)+SUMIFS(Table2[NewPointsHome],Table2[GameDate], "&lt;=" &amp; $A98, Table2[HomeTeam], P$1)</f>
        <v>38</v>
      </c>
      <c r="Q98" s="145">
        <f>SUMIFS(Table2[NewPointsAway],Table2[GameDate], "&lt;=" &amp; $A98, Table2[AwayTeam], Q$1)+SUMIFS(Table2[NewPointsHome],Table2[GameDate], "&lt;=" &amp; $A98, Table2[HomeTeam], Q$1)</f>
        <v>37</v>
      </c>
      <c r="R98" s="145">
        <f>SUMIFS(Table2[NewPointsAway],Table2[GameDate], "&lt;=" &amp; $A98, Table2[AwayTeam], R$1)+SUMIFS(Table2[NewPointsHome],Table2[GameDate], "&lt;=" &amp; $A98, Table2[HomeTeam], R$1)</f>
        <v>30</v>
      </c>
      <c r="S98" s="145">
        <f>SUMIFS(Table2[NewPointsAway],Table2[GameDate], "&lt;=" &amp; $A98, Table2[AwayTeam], S$1)+SUMIFS(Table2[NewPointsHome],Table2[GameDate], "&lt;=" &amp; $A98, Table2[HomeTeam], S$1)</f>
        <v>41</v>
      </c>
      <c r="T98" s="145">
        <f>SUMIFS(Table2[NewPointsAway],Table2[GameDate], "&lt;=" &amp; $A98, Table2[AwayTeam], T$1)+SUMIFS(Table2[NewPointsHome],Table2[GameDate], "&lt;=" &amp; $A98, Table2[HomeTeam], T$1)</f>
        <v>36</v>
      </c>
      <c r="U98" s="145">
        <f>SUMIFS(Table2[NewPointsAway],Table2[GameDate], "&lt;=" &amp; $A98, Table2[AwayTeam], U$1)+SUMIFS(Table2[NewPointsHome],Table2[GameDate], "&lt;=" &amp; $A98, Table2[HomeTeam], U$1)</f>
        <v>34</v>
      </c>
      <c r="V98" s="145">
        <f>SUMIFS(Table2[NewPointsAway],Table2[GameDate], "&lt;=" &amp; $A98, Table2[AwayTeam], V$1)+SUMIFS(Table2[NewPointsHome],Table2[GameDate], "&lt;=" &amp; $A98, Table2[HomeTeam], V$1)</f>
        <v>39</v>
      </c>
      <c r="W98" s="145">
        <f>SUMIFS(Table2[NewPointsAway],Table2[GameDate], "&lt;=" &amp; $A98, Table2[AwayTeam], W$1)+SUMIFS(Table2[NewPointsHome],Table2[GameDate], "&lt;=" &amp; $A98, Table2[HomeTeam], W$1)</f>
        <v>37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37</v>
      </c>
      <c r="Z98" s="145">
        <f>SUMIFS(Table2[NewPointsAway],Table2[GameDate], "&lt;=" &amp; $A98, Table2[AwayTeam], Z$1)+SUMIFS(Table2[NewPointsHome],Table2[GameDate], "&lt;=" &amp; $A98, Table2[HomeTeam], Z$1)</f>
        <v>32</v>
      </c>
      <c r="AA98" s="145">
        <f>SUMIFS(Table2[NewPointsAway],Table2[GameDate], "&lt;=" &amp; $A98, Table2[AwayTeam], AA$1)+SUMIFS(Table2[NewPointsHome],Table2[GameDate], "&lt;=" &amp; $A98, Table2[HomeTeam], AA$1)</f>
        <v>39</v>
      </c>
      <c r="AB98" s="145">
        <f>SUMIFS(Table2[NewPointsAway],Table2[GameDate], "&lt;=" &amp; $A98, Table2[AwayTeam], AB$1)+SUMIFS(Table2[NewPointsHome],Table2[GameDate], "&lt;=" &amp; $A98, Table2[HomeTeam], AB$1)</f>
        <v>35</v>
      </c>
      <c r="AC98" s="145">
        <f>SUMIFS(Table2[NewPointsAway],Table2[GameDate], "&lt;=" &amp; $A98, Table2[AwayTeam], AC$1)+SUMIFS(Table2[NewPointsHome],Table2[GameDate], "&lt;=" &amp; $A98, Table2[HomeTeam], AC$1)</f>
        <v>35</v>
      </c>
      <c r="AD98" s="145">
        <f>SUMIFS(Table2[NewPointsAway],Table2[GameDate], "&lt;=" &amp; $A98, Table2[AwayTeam], AD$1)+SUMIFS(Table2[NewPointsHome],Table2[GameDate], "&lt;=" &amp; $A98, Table2[HomeTeam], AD$1)</f>
        <v>29</v>
      </c>
      <c r="AE98" s="145">
        <f>SUMIFS(Table2[NewPointsAway],Table2[GameDate], "&lt;=" &amp; $A98, Table2[AwayTeam], AE$1)+SUMIFS(Table2[NewPointsHome],Table2[GameDate], "&lt;=" &amp; $A98, Table2[HomeTeam], AE$1)</f>
        <v>41</v>
      </c>
      <c r="AF98" s="145">
        <f>SUMIFS(Table2[NewPointsAway],Table2[GameDate], "&lt;=" &amp; $A98, Table2[AwayTeam], AF$1)+SUMIFS(Table2[NewPointsHome],Table2[GameDate], "&lt;=" &amp; $A98, Table2[HomeTeam], AF$1)</f>
        <v>32</v>
      </c>
      <c r="AG98" s="145">
        <f>SUMIFS(Table2[NewPointsAway],Table2[GameDate], "&lt;=" &amp; $A98, Table2[AwayTeam], AG$1)+SUMIFS(Table2[NewPointsHome],Table2[GameDate], "&lt;=" &amp; $A98, Table2[HomeTeam], AG$1)</f>
        <v>40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42</v>
      </c>
      <c r="C99" s="145">
        <f>SUMIFS(Table2[NewPointsAway],Table2[GameDate], "&lt;=" &amp; $A99, Table2[AwayTeam], C$1)+SUMIFS(Table2[NewPointsHome],Table2[GameDate], "&lt;=" &amp; $A99, Table2[HomeTeam], C$1)</f>
        <v>40</v>
      </c>
      <c r="D99" s="145">
        <f>SUMIFS(Table2[NewPointsAway],Table2[GameDate], "&lt;=" &amp; $A99, Table2[AwayTeam], D$1)+SUMIFS(Table2[NewPointsHome],Table2[GameDate], "&lt;=" &amp; $A99, Table2[HomeTeam], D$1)</f>
        <v>32</v>
      </c>
      <c r="E99" s="145">
        <f>SUMIFS(Table2[NewPointsAway],Table2[GameDate], "&lt;=" &amp; $A99, Table2[AwayTeam], E$1)+SUMIFS(Table2[NewPointsHome],Table2[GameDate], "&lt;=" &amp; $A99, Table2[HomeTeam], E$1)</f>
        <v>44</v>
      </c>
      <c r="F99" s="145">
        <f>SUMIFS(Table2[NewPointsAway],Table2[GameDate], "&lt;=" &amp; $A99, Table2[AwayTeam], F$1)+SUMIFS(Table2[NewPointsHome],Table2[GameDate], "&lt;=" &amp; $A99, Table2[HomeTeam], F$1)</f>
        <v>34</v>
      </c>
      <c r="G99" s="145">
        <f>SUMIFS(Table2[NewPointsAway],Table2[GameDate], "&lt;=" &amp; $A99, Table2[AwayTeam], G$1)+SUMIFS(Table2[NewPointsHome],Table2[GameDate], "&lt;=" &amp; $A99, Table2[HomeTeam], G$1)</f>
        <v>30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55</v>
      </c>
      <c r="J99" s="145">
        <f>SUMIFS(Table2[NewPointsAway],Table2[GameDate], "&lt;=" &amp; $A99, Table2[AwayTeam], J$1)+SUMIFS(Table2[NewPointsHome],Table2[GameDate], "&lt;=" &amp; $A99, Table2[HomeTeam], J$1)</f>
        <v>49</v>
      </c>
      <c r="K99" s="145">
        <f>SUMIFS(Table2[NewPointsAway],Table2[GameDate], "&lt;=" &amp; $A99, Table2[AwayTeam], K$1)+SUMIFS(Table2[NewPointsHome],Table2[GameDate], "&lt;=" &amp; $A99, Table2[HomeTeam], K$1)</f>
        <v>41</v>
      </c>
      <c r="L99" s="145">
        <f>SUMIFS(Table2[NewPointsAway],Table2[GameDate], "&lt;=" &amp; $A99, Table2[AwayTeam], L$1)+SUMIFS(Table2[NewPointsHome],Table2[GameDate], "&lt;=" &amp; $A99, Table2[HomeTeam], L$1)</f>
        <v>38</v>
      </c>
      <c r="M99" s="145">
        <f>SUMIFS(Table2[NewPointsAway],Table2[GameDate], "&lt;=" &amp; $A99, Table2[AwayTeam], M$1)+SUMIFS(Table2[NewPointsHome],Table2[GameDate], "&lt;=" &amp; $A99, Table2[HomeTeam], M$1)</f>
        <v>36</v>
      </c>
      <c r="N99" s="145">
        <f>SUMIFS(Table2[NewPointsAway],Table2[GameDate], "&lt;=" &amp; $A99, Table2[AwayTeam], N$1)+SUMIFS(Table2[NewPointsHome],Table2[GameDate], "&lt;=" &amp; $A99, Table2[HomeTeam], N$1)</f>
        <v>37</v>
      </c>
      <c r="O99" s="145">
        <f>SUMIFS(Table2[NewPointsAway],Table2[GameDate], "&lt;=" &amp; $A99, Table2[AwayTeam], O$1)+SUMIFS(Table2[NewPointsHome],Table2[GameDate], "&lt;=" &amp; $A99, Table2[HomeTeam], O$1)</f>
        <v>45</v>
      </c>
      <c r="P99" s="145">
        <f>SUMIFS(Table2[NewPointsAway],Table2[GameDate], "&lt;=" &amp; $A99, Table2[AwayTeam], P$1)+SUMIFS(Table2[NewPointsHome],Table2[GameDate], "&lt;=" &amp; $A99, Table2[HomeTeam], P$1)</f>
        <v>38</v>
      </c>
      <c r="Q99" s="145">
        <f>SUMIFS(Table2[NewPointsAway],Table2[GameDate], "&lt;=" &amp; $A99, Table2[AwayTeam], Q$1)+SUMIFS(Table2[NewPointsHome],Table2[GameDate], "&lt;=" &amp; $A99, Table2[HomeTeam], Q$1)</f>
        <v>37</v>
      </c>
      <c r="R99" s="145">
        <f>SUMIFS(Table2[NewPointsAway],Table2[GameDate], "&lt;=" &amp; $A99, Table2[AwayTeam], R$1)+SUMIFS(Table2[NewPointsHome],Table2[GameDate], "&lt;=" &amp; $A99, Table2[HomeTeam], R$1)</f>
        <v>30</v>
      </c>
      <c r="S99" s="145">
        <f>SUMIFS(Table2[NewPointsAway],Table2[GameDate], "&lt;=" &amp; $A99, Table2[AwayTeam], S$1)+SUMIFS(Table2[NewPointsHome],Table2[GameDate], "&lt;=" &amp; $A99, Table2[HomeTeam], S$1)</f>
        <v>41</v>
      </c>
      <c r="T99" s="145">
        <f>SUMIFS(Table2[NewPointsAway],Table2[GameDate], "&lt;=" &amp; $A99, Table2[AwayTeam], T$1)+SUMIFS(Table2[NewPointsHome],Table2[GameDate], "&lt;=" &amp; $A99, Table2[HomeTeam], T$1)</f>
        <v>36</v>
      </c>
      <c r="U99" s="145">
        <f>SUMIFS(Table2[NewPointsAway],Table2[GameDate], "&lt;=" &amp; $A99, Table2[AwayTeam], U$1)+SUMIFS(Table2[NewPointsHome],Table2[GameDate], "&lt;=" &amp; $A99, Table2[HomeTeam], U$1)</f>
        <v>34</v>
      </c>
      <c r="V99" s="145">
        <f>SUMIFS(Table2[NewPointsAway],Table2[GameDate], "&lt;=" &amp; $A99, Table2[AwayTeam], V$1)+SUMIFS(Table2[NewPointsHome],Table2[GameDate], "&lt;=" &amp; $A99, Table2[HomeTeam], V$1)</f>
        <v>39</v>
      </c>
      <c r="W99" s="145">
        <f>SUMIFS(Table2[NewPointsAway],Table2[GameDate], "&lt;=" &amp; $A99, Table2[AwayTeam], W$1)+SUMIFS(Table2[NewPointsHome],Table2[GameDate], "&lt;=" &amp; $A99, Table2[HomeTeam], W$1)</f>
        <v>37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37</v>
      </c>
      <c r="Z99" s="145">
        <f>SUMIFS(Table2[NewPointsAway],Table2[GameDate], "&lt;=" &amp; $A99, Table2[AwayTeam], Z$1)+SUMIFS(Table2[NewPointsHome],Table2[GameDate], "&lt;=" &amp; $A99, Table2[HomeTeam], Z$1)</f>
        <v>32</v>
      </c>
      <c r="AA99" s="145">
        <f>SUMIFS(Table2[NewPointsAway],Table2[GameDate], "&lt;=" &amp; $A99, Table2[AwayTeam], AA$1)+SUMIFS(Table2[NewPointsHome],Table2[GameDate], "&lt;=" &amp; $A99, Table2[HomeTeam], AA$1)</f>
        <v>39</v>
      </c>
      <c r="AB99" s="145">
        <f>SUMIFS(Table2[NewPointsAway],Table2[GameDate], "&lt;=" &amp; $A99, Table2[AwayTeam], AB$1)+SUMIFS(Table2[NewPointsHome],Table2[GameDate], "&lt;=" &amp; $A99, Table2[HomeTeam], AB$1)</f>
        <v>35</v>
      </c>
      <c r="AC99" s="145">
        <f>SUMIFS(Table2[NewPointsAway],Table2[GameDate], "&lt;=" &amp; $A99, Table2[AwayTeam], AC$1)+SUMIFS(Table2[NewPointsHome],Table2[GameDate], "&lt;=" &amp; $A99, Table2[HomeTeam], AC$1)</f>
        <v>35</v>
      </c>
      <c r="AD99" s="145">
        <f>SUMIFS(Table2[NewPointsAway],Table2[GameDate], "&lt;=" &amp; $A99, Table2[AwayTeam], AD$1)+SUMIFS(Table2[NewPointsHome],Table2[GameDate], "&lt;=" &amp; $A99, Table2[HomeTeam], AD$1)</f>
        <v>29</v>
      </c>
      <c r="AE99" s="145">
        <f>SUMIFS(Table2[NewPointsAway],Table2[GameDate], "&lt;=" &amp; $A99, Table2[AwayTeam], AE$1)+SUMIFS(Table2[NewPointsHome],Table2[GameDate], "&lt;=" &amp; $A99, Table2[HomeTeam], AE$1)</f>
        <v>41</v>
      </c>
      <c r="AF99" s="145">
        <f>SUMIFS(Table2[NewPointsAway],Table2[GameDate], "&lt;=" &amp; $A99, Table2[AwayTeam], AF$1)+SUMIFS(Table2[NewPointsHome],Table2[GameDate], "&lt;=" &amp; $A99, Table2[HomeTeam], AF$1)</f>
        <v>32</v>
      </c>
      <c r="AG99" s="145">
        <f>SUMIFS(Table2[NewPointsAway],Table2[GameDate], "&lt;=" &amp; $A99, Table2[AwayTeam], AG$1)+SUMIFS(Table2[NewPointsHome],Table2[GameDate], "&lt;=" &amp; $A99, Table2[HomeTeam], AG$1)</f>
        <v>40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42</v>
      </c>
      <c r="C100" s="145">
        <f>SUMIFS(Table2[NewPointsAway],Table2[GameDate], "&lt;=" &amp; $A100, Table2[AwayTeam], C$1)+SUMIFS(Table2[NewPointsHome],Table2[GameDate], "&lt;=" &amp; $A100, Table2[HomeTeam], C$1)</f>
        <v>40</v>
      </c>
      <c r="D100" s="145">
        <f>SUMIFS(Table2[NewPointsAway],Table2[GameDate], "&lt;=" &amp; $A100, Table2[AwayTeam], D$1)+SUMIFS(Table2[NewPointsHome],Table2[GameDate], "&lt;=" &amp; $A100, Table2[HomeTeam], D$1)</f>
        <v>32</v>
      </c>
      <c r="E100" s="145">
        <f>SUMIFS(Table2[NewPointsAway],Table2[GameDate], "&lt;=" &amp; $A100, Table2[AwayTeam], E$1)+SUMIFS(Table2[NewPointsHome],Table2[GameDate], "&lt;=" &amp; $A100, Table2[HomeTeam], E$1)</f>
        <v>44</v>
      </c>
      <c r="F100" s="145">
        <f>SUMIFS(Table2[NewPointsAway],Table2[GameDate], "&lt;=" &amp; $A100, Table2[AwayTeam], F$1)+SUMIFS(Table2[NewPointsHome],Table2[GameDate], "&lt;=" &amp; $A100, Table2[HomeTeam], F$1)</f>
        <v>34</v>
      </c>
      <c r="G100" s="145">
        <f>SUMIFS(Table2[NewPointsAway],Table2[GameDate], "&lt;=" &amp; $A100, Table2[AwayTeam], G$1)+SUMIFS(Table2[NewPointsHome],Table2[GameDate], "&lt;=" &amp; $A100, Table2[HomeTeam], G$1)</f>
        <v>30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55</v>
      </c>
      <c r="J100" s="145">
        <f>SUMIFS(Table2[NewPointsAway],Table2[GameDate], "&lt;=" &amp; $A100, Table2[AwayTeam], J$1)+SUMIFS(Table2[NewPointsHome],Table2[GameDate], "&lt;=" &amp; $A100, Table2[HomeTeam], J$1)</f>
        <v>49</v>
      </c>
      <c r="K100" s="145">
        <f>SUMIFS(Table2[NewPointsAway],Table2[GameDate], "&lt;=" &amp; $A100, Table2[AwayTeam], K$1)+SUMIFS(Table2[NewPointsHome],Table2[GameDate], "&lt;=" &amp; $A100, Table2[HomeTeam], K$1)</f>
        <v>41</v>
      </c>
      <c r="L100" s="145">
        <f>SUMIFS(Table2[NewPointsAway],Table2[GameDate], "&lt;=" &amp; $A100, Table2[AwayTeam], L$1)+SUMIFS(Table2[NewPointsHome],Table2[GameDate], "&lt;=" &amp; $A100, Table2[HomeTeam], L$1)</f>
        <v>38</v>
      </c>
      <c r="M100" s="145">
        <f>SUMIFS(Table2[NewPointsAway],Table2[GameDate], "&lt;=" &amp; $A100, Table2[AwayTeam], M$1)+SUMIFS(Table2[NewPointsHome],Table2[GameDate], "&lt;=" &amp; $A100, Table2[HomeTeam], M$1)</f>
        <v>36</v>
      </c>
      <c r="N100" s="145">
        <f>SUMIFS(Table2[NewPointsAway],Table2[GameDate], "&lt;=" &amp; $A100, Table2[AwayTeam], N$1)+SUMIFS(Table2[NewPointsHome],Table2[GameDate], "&lt;=" &amp; $A100, Table2[HomeTeam], N$1)</f>
        <v>37</v>
      </c>
      <c r="O100" s="145">
        <f>SUMIFS(Table2[NewPointsAway],Table2[GameDate], "&lt;=" &amp; $A100, Table2[AwayTeam], O$1)+SUMIFS(Table2[NewPointsHome],Table2[GameDate], "&lt;=" &amp; $A100, Table2[HomeTeam], O$1)</f>
        <v>45</v>
      </c>
      <c r="P100" s="145">
        <f>SUMIFS(Table2[NewPointsAway],Table2[GameDate], "&lt;=" &amp; $A100, Table2[AwayTeam], P$1)+SUMIFS(Table2[NewPointsHome],Table2[GameDate], "&lt;=" &amp; $A100, Table2[HomeTeam], P$1)</f>
        <v>38</v>
      </c>
      <c r="Q100" s="145">
        <f>SUMIFS(Table2[NewPointsAway],Table2[GameDate], "&lt;=" &amp; $A100, Table2[AwayTeam], Q$1)+SUMIFS(Table2[NewPointsHome],Table2[GameDate], "&lt;=" &amp; $A100, Table2[HomeTeam], Q$1)</f>
        <v>37</v>
      </c>
      <c r="R100" s="145">
        <f>SUMIFS(Table2[NewPointsAway],Table2[GameDate], "&lt;=" &amp; $A100, Table2[AwayTeam], R$1)+SUMIFS(Table2[NewPointsHome],Table2[GameDate], "&lt;=" &amp; $A100, Table2[HomeTeam], R$1)</f>
        <v>30</v>
      </c>
      <c r="S100" s="145">
        <f>SUMIFS(Table2[NewPointsAway],Table2[GameDate], "&lt;=" &amp; $A100, Table2[AwayTeam], S$1)+SUMIFS(Table2[NewPointsHome],Table2[GameDate], "&lt;=" &amp; $A100, Table2[HomeTeam], S$1)</f>
        <v>41</v>
      </c>
      <c r="T100" s="145">
        <f>SUMIFS(Table2[NewPointsAway],Table2[GameDate], "&lt;=" &amp; $A100, Table2[AwayTeam], T$1)+SUMIFS(Table2[NewPointsHome],Table2[GameDate], "&lt;=" &amp; $A100, Table2[HomeTeam], T$1)</f>
        <v>36</v>
      </c>
      <c r="U100" s="145">
        <f>SUMIFS(Table2[NewPointsAway],Table2[GameDate], "&lt;=" &amp; $A100, Table2[AwayTeam], U$1)+SUMIFS(Table2[NewPointsHome],Table2[GameDate], "&lt;=" &amp; $A100, Table2[HomeTeam], U$1)</f>
        <v>34</v>
      </c>
      <c r="V100" s="145">
        <f>SUMIFS(Table2[NewPointsAway],Table2[GameDate], "&lt;=" &amp; $A100, Table2[AwayTeam], V$1)+SUMIFS(Table2[NewPointsHome],Table2[GameDate], "&lt;=" &amp; $A100, Table2[HomeTeam], V$1)</f>
        <v>39</v>
      </c>
      <c r="W100" s="145">
        <f>SUMIFS(Table2[NewPointsAway],Table2[GameDate], "&lt;=" &amp; $A100, Table2[AwayTeam], W$1)+SUMIFS(Table2[NewPointsHome],Table2[GameDate], "&lt;=" &amp; $A100, Table2[HomeTeam], W$1)</f>
        <v>37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37</v>
      </c>
      <c r="Z100" s="145">
        <f>SUMIFS(Table2[NewPointsAway],Table2[GameDate], "&lt;=" &amp; $A100, Table2[AwayTeam], Z$1)+SUMIFS(Table2[NewPointsHome],Table2[GameDate], "&lt;=" &amp; $A100, Table2[HomeTeam], Z$1)</f>
        <v>32</v>
      </c>
      <c r="AA100" s="145">
        <f>SUMIFS(Table2[NewPointsAway],Table2[GameDate], "&lt;=" &amp; $A100, Table2[AwayTeam], AA$1)+SUMIFS(Table2[NewPointsHome],Table2[GameDate], "&lt;=" &amp; $A100, Table2[HomeTeam], AA$1)</f>
        <v>39</v>
      </c>
      <c r="AB100" s="145">
        <f>SUMIFS(Table2[NewPointsAway],Table2[GameDate], "&lt;=" &amp; $A100, Table2[AwayTeam], AB$1)+SUMIFS(Table2[NewPointsHome],Table2[GameDate], "&lt;=" &amp; $A100, Table2[HomeTeam], AB$1)</f>
        <v>35</v>
      </c>
      <c r="AC100" s="145">
        <f>SUMIFS(Table2[NewPointsAway],Table2[GameDate], "&lt;=" &amp; $A100, Table2[AwayTeam], AC$1)+SUMIFS(Table2[NewPointsHome],Table2[GameDate], "&lt;=" &amp; $A100, Table2[HomeTeam], AC$1)</f>
        <v>35</v>
      </c>
      <c r="AD100" s="145">
        <f>SUMIFS(Table2[NewPointsAway],Table2[GameDate], "&lt;=" &amp; $A100, Table2[AwayTeam], AD$1)+SUMIFS(Table2[NewPointsHome],Table2[GameDate], "&lt;=" &amp; $A100, Table2[HomeTeam], AD$1)</f>
        <v>29</v>
      </c>
      <c r="AE100" s="145">
        <f>SUMIFS(Table2[NewPointsAway],Table2[GameDate], "&lt;=" &amp; $A100, Table2[AwayTeam], AE$1)+SUMIFS(Table2[NewPointsHome],Table2[GameDate], "&lt;=" &amp; $A100, Table2[HomeTeam], AE$1)</f>
        <v>41</v>
      </c>
      <c r="AF100" s="145">
        <f>SUMIFS(Table2[NewPointsAway],Table2[GameDate], "&lt;=" &amp; $A100, Table2[AwayTeam], AF$1)+SUMIFS(Table2[NewPointsHome],Table2[GameDate], "&lt;=" &amp; $A100, Table2[HomeTeam], AF$1)</f>
        <v>32</v>
      </c>
      <c r="AG100" s="145">
        <f>SUMIFS(Table2[NewPointsAway],Table2[GameDate], "&lt;=" &amp; $A100, Table2[AwayTeam], AG$1)+SUMIFS(Table2[NewPointsHome],Table2[GameDate], "&lt;=" &amp; $A100, Table2[HomeTeam], AG$1)</f>
        <v>40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42</v>
      </c>
      <c r="C101" s="145">
        <f>SUMIFS(Table2[NewPointsAway],Table2[GameDate], "&lt;=" &amp; $A101, Table2[AwayTeam], C$1)+SUMIFS(Table2[NewPointsHome],Table2[GameDate], "&lt;=" &amp; $A101, Table2[HomeTeam], C$1)</f>
        <v>40</v>
      </c>
      <c r="D101" s="145">
        <f>SUMIFS(Table2[NewPointsAway],Table2[GameDate], "&lt;=" &amp; $A101, Table2[AwayTeam], D$1)+SUMIFS(Table2[NewPointsHome],Table2[GameDate], "&lt;=" &amp; $A101, Table2[HomeTeam], D$1)</f>
        <v>32</v>
      </c>
      <c r="E101" s="145">
        <f>SUMIFS(Table2[NewPointsAway],Table2[GameDate], "&lt;=" &amp; $A101, Table2[AwayTeam], E$1)+SUMIFS(Table2[NewPointsHome],Table2[GameDate], "&lt;=" &amp; $A101, Table2[HomeTeam], E$1)</f>
        <v>44</v>
      </c>
      <c r="F101" s="145">
        <f>SUMIFS(Table2[NewPointsAway],Table2[GameDate], "&lt;=" &amp; $A101, Table2[AwayTeam], F$1)+SUMIFS(Table2[NewPointsHome],Table2[GameDate], "&lt;=" &amp; $A101, Table2[HomeTeam], F$1)</f>
        <v>34</v>
      </c>
      <c r="G101" s="145">
        <f>SUMIFS(Table2[NewPointsAway],Table2[GameDate], "&lt;=" &amp; $A101, Table2[AwayTeam], G$1)+SUMIFS(Table2[NewPointsHome],Table2[GameDate], "&lt;=" &amp; $A101, Table2[HomeTeam], G$1)</f>
        <v>30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55</v>
      </c>
      <c r="J101" s="145">
        <f>SUMIFS(Table2[NewPointsAway],Table2[GameDate], "&lt;=" &amp; $A101, Table2[AwayTeam], J$1)+SUMIFS(Table2[NewPointsHome],Table2[GameDate], "&lt;=" &amp; $A101, Table2[HomeTeam], J$1)</f>
        <v>49</v>
      </c>
      <c r="K101" s="145">
        <f>SUMIFS(Table2[NewPointsAway],Table2[GameDate], "&lt;=" &amp; $A101, Table2[AwayTeam], K$1)+SUMIFS(Table2[NewPointsHome],Table2[GameDate], "&lt;=" &amp; $A101, Table2[HomeTeam], K$1)</f>
        <v>41</v>
      </c>
      <c r="L101" s="145">
        <f>SUMIFS(Table2[NewPointsAway],Table2[GameDate], "&lt;=" &amp; $A101, Table2[AwayTeam], L$1)+SUMIFS(Table2[NewPointsHome],Table2[GameDate], "&lt;=" &amp; $A101, Table2[HomeTeam], L$1)</f>
        <v>38</v>
      </c>
      <c r="M101" s="145">
        <f>SUMIFS(Table2[NewPointsAway],Table2[GameDate], "&lt;=" &amp; $A101, Table2[AwayTeam], M$1)+SUMIFS(Table2[NewPointsHome],Table2[GameDate], "&lt;=" &amp; $A101, Table2[HomeTeam], M$1)</f>
        <v>36</v>
      </c>
      <c r="N101" s="145">
        <f>SUMIFS(Table2[NewPointsAway],Table2[GameDate], "&lt;=" &amp; $A101, Table2[AwayTeam], N$1)+SUMIFS(Table2[NewPointsHome],Table2[GameDate], "&lt;=" &amp; $A101, Table2[HomeTeam], N$1)</f>
        <v>37</v>
      </c>
      <c r="O101" s="145">
        <f>SUMIFS(Table2[NewPointsAway],Table2[GameDate], "&lt;=" &amp; $A101, Table2[AwayTeam], O$1)+SUMIFS(Table2[NewPointsHome],Table2[GameDate], "&lt;=" &amp; $A101, Table2[HomeTeam], O$1)</f>
        <v>45</v>
      </c>
      <c r="P101" s="145">
        <f>SUMIFS(Table2[NewPointsAway],Table2[GameDate], "&lt;=" &amp; $A101, Table2[AwayTeam], P$1)+SUMIFS(Table2[NewPointsHome],Table2[GameDate], "&lt;=" &amp; $A101, Table2[HomeTeam], P$1)</f>
        <v>38</v>
      </c>
      <c r="Q101" s="145">
        <f>SUMIFS(Table2[NewPointsAway],Table2[GameDate], "&lt;=" &amp; $A101, Table2[AwayTeam], Q$1)+SUMIFS(Table2[NewPointsHome],Table2[GameDate], "&lt;=" &amp; $A101, Table2[HomeTeam], Q$1)</f>
        <v>37</v>
      </c>
      <c r="R101" s="145">
        <f>SUMIFS(Table2[NewPointsAway],Table2[GameDate], "&lt;=" &amp; $A101, Table2[AwayTeam], R$1)+SUMIFS(Table2[NewPointsHome],Table2[GameDate], "&lt;=" &amp; $A101, Table2[HomeTeam], R$1)</f>
        <v>30</v>
      </c>
      <c r="S101" s="145">
        <f>SUMIFS(Table2[NewPointsAway],Table2[GameDate], "&lt;=" &amp; $A101, Table2[AwayTeam], S$1)+SUMIFS(Table2[NewPointsHome],Table2[GameDate], "&lt;=" &amp; $A101, Table2[HomeTeam], S$1)</f>
        <v>41</v>
      </c>
      <c r="T101" s="145">
        <f>SUMIFS(Table2[NewPointsAway],Table2[GameDate], "&lt;=" &amp; $A101, Table2[AwayTeam], T$1)+SUMIFS(Table2[NewPointsHome],Table2[GameDate], "&lt;=" &amp; $A101, Table2[HomeTeam], T$1)</f>
        <v>36</v>
      </c>
      <c r="U101" s="145">
        <f>SUMIFS(Table2[NewPointsAway],Table2[GameDate], "&lt;=" &amp; $A101, Table2[AwayTeam], U$1)+SUMIFS(Table2[NewPointsHome],Table2[GameDate], "&lt;=" &amp; $A101, Table2[HomeTeam], U$1)</f>
        <v>34</v>
      </c>
      <c r="V101" s="145">
        <f>SUMIFS(Table2[NewPointsAway],Table2[GameDate], "&lt;=" &amp; $A101, Table2[AwayTeam], V$1)+SUMIFS(Table2[NewPointsHome],Table2[GameDate], "&lt;=" &amp; $A101, Table2[HomeTeam], V$1)</f>
        <v>39</v>
      </c>
      <c r="W101" s="145">
        <f>SUMIFS(Table2[NewPointsAway],Table2[GameDate], "&lt;=" &amp; $A101, Table2[AwayTeam], W$1)+SUMIFS(Table2[NewPointsHome],Table2[GameDate], "&lt;=" &amp; $A101, Table2[HomeTeam], W$1)</f>
        <v>37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37</v>
      </c>
      <c r="Z101" s="145">
        <f>SUMIFS(Table2[NewPointsAway],Table2[GameDate], "&lt;=" &amp; $A101, Table2[AwayTeam], Z$1)+SUMIFS(Table2[NewPointsHome],Table2[GameDate], "&lt;=" &amp; $A101, Table2[HomeTeam], Z$1)</f>
        <v>32</v>
      </c>
      <c r="AA101" s="145">
        <f>SUMIFS(Table2[NewPointsAway],Table2[GameDate], "&lt;=" &amp; $A101, Table2[AwayTeam], AA$1)+SUMIFS(Table2[NewPointsHome],Table2[GameDate], "&lt;=" &amp; $A101, Table2[HomeTeam], AA$1)</f>
        <v>39</v>
      </c>
      <c r="AB101" s="145">
        <f>SUMIFS(Table2[NewPointsAway],Table2[GameDate], "&lt;=" &amp; $A101, Table2[AwayTeam], AB$1)+SUMIFS(Table2[NewPointsHome],Table2[GameDate], "&lt;=" &amp; $A101, Table2[HomeTeam], AB$1)</f>
        <v>35</v>
      </c>
      <c r="AC101" s="145">
        <f>SUMIFS(Table2[NewPointsAway],Table2[GameDate], "&lt;=" &amp; $A101, Table2[AwayTeam], AC$1)+SUMIFS(Table2[NewPointsHome],Table2[GameDate], "&lt;=" &amp; $A101, Table2[HomeTeam], AC$1)</f>
        <v>35</v>
      </c>
      <c r="AD101" s="145">
        <f>SUMIFS(Table2[NewPointsAway],Table2[GameDate], "&lt;=" &amp; $A101, Table2[AwayTeam], AD$1)+SUMIFS(Table2[NewPointsHome],Table2[GameDate], "&lt;=" &amp; $A101, Table2[HomeTeam], AD$1)</f>
        <v>29</v>
      </c>
      <c r="AE101" s="145">
        <f>SUMIFS(Table2[NewPointsAway],Table2[GameDate], "&lt;=" &amp; $A101, Table2[AwayTeam], AE$1)+SUMIFS(Table2[NewPointsHome],Table2[GameDate], "&lt;=" &amp; $A101, Table2[HomeTeam], AE$1)</f>
        <v>41</v>
      </c>
      <c r="AF101" s="145">
        <f>SUMIFS(Table2[NewPointsAway],Table2[GameDate], "&lt;=" &amp; $A101, Table2[AwayTeam], AF$1)+SUMIFS(Table2[NewPointsHome],Table2[GameDate], "&lt;=" &amp; $A101, Table2[HomeTeam], AF$1)</f>
        <v>32</v>
      </c>
      <c r="AG101" s="145">
        <f>SUMIFS(Table2[NewPointsAway],Table2[GameDate], "&lt;=" &amp; $A101, Table2[AwayTeam], AG$1)+SUMIFS(Table2[NewPointsHome],Table2[GameDate], "&lt;=" &amp; $A101, Table2[HomeTeam], AG$1)</f>
        <v>40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42</v>
      </c>
      <c r="C102" s="145">
        <f>SUMIFS(Table2[NewPointsAway],Table2[GameDate], "&lt;=" &amp; $A102, Table2[AwayTeam], C$1)+SUMIFS(Table2[NewPointsHome],Table2[GameDate], "&lt;=" &amp; $A102, Table2[HomeTeam], C$1)</f>
        <v>40</v>
      </c>
      <c r="D102" s="145">
        <f>SUMIFS(Table2[NewPointsAway],Table2[GameDate], "&lt;=" &amp; $A102, Table2[AwayTeam], D$1)+SUMIFS(Table2[NewPointsHome],Table2[GameDate], "&lt;=" &amp; $A102, Table2[HomeTeam], D$1)</f>
        <v>32</v>
      </c>
      <c r="E102" s="145">
        <f>SUMIFS(Table2[NewPointsAway],Table2[GameDate], "&lt;=" &amp; $A102, Table2[AwayTeam], E$1)+SUMIFS(Table2[NewPointsHome],Table2[GameDate], "&lt;=" &amp; $A102, Table2[HomeTeam], E$1)</f>
        <v>44</v>
      </c>
      <c r="F102" s="145">
        <f>SUMIFS(Table2[NewPointsAway],Table2[GameDate], "&lt;=" &amp; $A102, Table2[AwayTeam], F$1)+SUMIFS(Table2[NewPointsHome],Table2[GameDate], "&lt;=" &amp; $A102, Table2[HomeTeam], F$1)</f>
        <v>34</v>
      </c>
      <c r="G102" s="145">
        <f>SUMIFS(Table2[NewPointsAway],Table2[GameDate], "&lt;=" &amp; $A102, Table2[AwayTeam], G$1)+SUMIFS(Table2[NewPointsHome],Table2[GameDate], "&lt;=" &amp; $A102, Table2[HomeTeam], G$1)</f>
        <v>30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55</v>
      </c>
      <c r="J102" s="145">
        <f>SUMIFS(Table2[NewPointsAway],Table2[GameDate], "&lt;=" &amp; $A102, Table2[AwayTeam], J$1)+SUMIFS(Table2[NewPointsHome],Table2[GameDate], "&lt;=" &amp; $A102, Table2[HomeTeam], J$1)</f>
        <v>49</v>
      </c>
      <c r="K102" s="145">
        <f>SUMIFS(Table2[NewPointsAway],Table2[GameDate], "&lt;=" &amp; $A102, Table2[AwayTeam], K$1)+SUMIFS(Table2[NewPointsHome],Table2[GameDate], "&lt;=" &amp; $A102, Table2[HomeTeam], K$1)</f>
        <v>41</v>
      </c>
      <c r="L102" s="145">
        <f>SUMIFS(Table2[NewPointsAway],Table2[GameDate], "&lt;=" &amp; $A102, Table2[AwayTeam], L$1)+SUMIFS(Table2[NewPointsHome],Table2[GameDate], "&lt;=" &amp; $A102, Table2[HomeTeam], L$1)</f>
        <v>38</v>
      </c>
      <c r="M102" s="145">
        <f>SUMIFS(Table2[NewPointsAway],Table2[GameDate], "&lt;=" &amp; $A102, Table2[AwayTeam], M$1)+SUMIFS(Table2[NewPointsHome],Table2[GameDate], "&lt;=" &amp; $A102, Table2[HomeTeam], M$1)</f>
        <v>36</v>
      </c>
      <c r="N102" s="145">
        <f>SUMIFS(Table2[NewPointsAway],Table2[GameDate], "&lt;=" &amp; $A102, Table2[AwayTeam], N$1)+SUMIFS(Table2[NewPointsHome],Table2[GameDate], "&lt;=" &amp; $A102, Table2[HomeTeam], N$1)</f>
        <v>37</v>
      </c>
      <c r="O102" s="145">
        <f>SUMIFS(Table2[NewPointsAway],Table2[GameDate], "&lt;=" &amp; $A102, Table2[AwayTeam], O$1)+SUMIFS(Table2[NewPointsHome],Table2[GameDate], "&lt;=" &amp; $A102, Table2[HomeTeam], O$1)</f>
        <v>45</v>
      </c>
      <c r="P102" s="145">
        <f>SUMIFS(Table2[NewPointsAway],Table2[GameDate], "&lt;=" &amp; $A102, Table2[AwayTeam], P$1)+SUMIFS(Table2[NewPointsHome],Table2[GameDate], "&lt;=" &amp; $A102, Table2[HomeTeam], P$1)</f>
        <v>38</v>
      </c>
      <c r="Q102" s="145">
        <f>SUMIFS(Table2[NewPointsAway],Table2[GameDate], "&lt;=" &amp; $A102, Table2[AwayTeam], Q$1)+SUMIFS(Table2[NewPointsHome],Table2[GameDate], "&lt;=" &amp; $A102, Table2[HomeTeam], Q$1)</f>
        <v>37</v>
      </c>
      <c r="R102" s="145">
        <f>SUMIFS(Table2[NewPointsAway],Table2[GameDate], "&lt;=" &amp; $A102, Table2[AwayTeam], R$1)+SUMIFS(Table2[NewPointsHome],Table2[GameDate], "&lt;=" &amp; $A102, Table2[HomeTeam], R$1)</f>
        <v>30</v>
      </c>
      <c r="S102" s="145">
        <f>SUMIFS(Table2[NewPointsAway],Table2[GameDate], "&lt;=" &amp; $A102, Table2[AwayTeam], S$1)+SUMIFS(Table2[NewPointsHome],Table2[GameDate], "&lt;=" &amp; $A102, Table2[HomeTeam], S$1)</f>
        <v>41</v>
      </c>
      <c r="T102" s="145">
        <f>SUMIFS(Table2[NewPointsAway],Table2[GameDate], "&lt;=" &amp; $A102, Table2[AwayTeam], T$1)+SUMIFS(Table2[NewPointsHome],Table2[GameDate], "&lt;=" &amp; $A102, Table2[HomeTeam], T$1)</f>
        <v>36</v>
      </c>
      <c r="U102" s="145">
        <f>SUMIFS(Table2[NewPointsAway],Table2[GameDate], "&lt;=" &amp; $A102, Table2[AwayTeam], U$1)+SUMIFS(Table2[NewPointsHome],Table2[GameDate], "&lt;=" &amp; $A102, Table2[HomeTeam], U$1)</f>
        <v>34</v>
      </c>
      <c r="V102" s="145">
        <f>SUMIFS(Table2[NewPointsAway],Table2[GameDate], "&lt;=" &amp; $A102, Table2[AwayTeam], V$1)+SUMIFS(Table2[NewPointsHome],Table2[GameDate], "&lt;=" &amp; $A102, Table2[HomeTeam], V$1)</f>
        <v>39</v>
      </c>
      <c r="W102" s="145">
        <f>SUMIFS(Table2[NewPointsAway],Table2[GameDate], "&lt;=" &amp; $A102, Table2[AwayTeam], W$1)+SUMIFS(Table2[NewPointsHome],Table2[GameDate], "&lt;=" &amp; $A102, Table2[HomeTeam], W$1)</f>
        <v>37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37</v>
      </c>
      <c r="Z102" s="145">
        <f>SUMIFS(Table2[NewPointsAway],Table2[GameDate], "&lt;=" &amp; $A102, Table2[AwayTeam], Z$1)+SUMIFS(Table2[NewPointsHome],Table2[GameDate], "&lt;=" &amp; $A102, Table2[HomeTeam], Z$1)</f>
        <v>32</v>
      </c>
      <c r="AA102" s="145">
        <f>SUMIFS(Table2[NewPointsAway],Table2[GameDate], "&lt;=" &amp; $A102, Table2[AwayTeam], AA$1)+SUMIFS(Table2[NewPointsHome],Table2[GameDate], "&lt;=" &amp; $A102, Table2[HomeTeam], AA$1)</f>
        <v>39</v>
      </c>
      <c r="AB102" s="145">
        <f>SUMIFS(Table2[NewPointsAway],Table2[GameDate], "&lt;=" &amp; $A102, Table2[AwayTeam], AB$1)+SUMIFS(Table2[NewPointsHome],Table2[GameDate], "&lt;=" &amp; $A102, Table2[HomeTeam], AB$1)</f>
        <v>35</v>
      </c>
      <c r="AC102" s="145">
        <f>SUMIFS(Table2[NewPointsAway],Table2[GameDate], "&lt;=" &amp; $A102, Table2[AwayTeam], AC$1)+SUMIFS(Table2[NewPointsHome],Table2[GameDate], "&lt;=" &amp; $A102, Table2[HomeTeam], AC$1)</f>
        <v>35</v>
      </c>
      <c r="AD102" s="145">
        <f>SUMIFS(Table2[NewPointsAway],Table2[GameDate], "&lt;=" &amp; $A102, Table2[AwayTeam], AD$1)+SUMIFS(Table2[NewPointsHome],Table2[GameDate], "&lt;=" &amp; $A102, Table2[HomeTeam], AD$1)</f>
        <v>29</v>
      </c>
      <c r="AE102" s="145">
        <f>SUMIFS(Table2[NewPointsAway],Table2[GameDate], "&lt;=" &amp; $A102, Table2[AwayTeam], AE$1)+SUMIFS(Table2[NewPointsHome],Table2[GameDate], "&lt;=" &amp; $A102, Table2[HomeTeam], AE$1)</f>
        <v>41</v>
      </c>
      <c r="AF102" s="145">
        <f>SUMIFS(Table2[NewPointsAway],Table2[GameDate], "&lt;=" &amp; $A102, Table2[AwayTeam], AF$1)+SUMIFS(Table2[NewPointsHome],Table2[GameDate], "&lt;=" &amp; $A102, Table2[HomeTeam], AF$1)</f>
        <v>32</v>
      </c>
      <c r="AG102" s="145">
        <f>SUMIFS(Table2[NewPointsAway],Table2[GameDate], "&lt;=" &amp; $A102, Table2[AwayTeam], AG$1)+SUMIFS(Table2[NewPointsHome],Table2[GameDate], "&lt;=" &amp; $A102, Table2[HomeTeam], AG$1)</f>
        <v>40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42</v>
      </c>
      <c r="C103" s="145">
        <f>SUMIFS(Table2[NewPointsAway],Table2[GameDate], "&lt;=" &amp; $A103, Table2[AwayTeam], C$1)+SUMIFS(Table2[NewPointsHome],Table2[GameDate], "&lt;=" &amp; $A103, Table2[HomeTeam], C$1)</f>
        <v>40</v>
      </c>
      <c r="D103" s="145">
        <f>SUMIFS(Table2[NewPointsAway],Table2[GameDate], "&lt;=" &amp; $A103, Table2[AwayTeam], D$1)+SUMIFS(Table2[NewPointsHome],Table2[GameDate], "&lt;=" &amp; $A103, Table2[HomeTeam], D$1)</f>
        <v>32</v>
      </c>
      <c r="E103" s="145">
        <f>SUMIFS(Table2[NewPointsAway],Table2[GameDate], "&lt;=" &amp; $A103, Table2[AwayTeam], E$1)+SUMIFS(Table2[NewPointsHome],Table2[GameDate], "&lt;=" &amp; $A103, Table2[HomeTeam], E$1)</f>
        <v>44</v>
      </c>
      <c r="F103" s="145">
        <f>SUMIFS(Table2[NewPointsAway],Table2[GameDate], "&lt;=" &amp; $A103, Table2[AwayTeam], F$1)+SUMIFS(Table2[NewPointsHome],Table2[GameDate], "&lt;=" &amp; $A103, Table2[HomeTeam], F$1)</f>
        <v>34</v>
      </c>
      <c r="G103" s="145">
        <f>SUMIFS(Table2[NewPointsAway],Table2[GameDate], "&lt;=" &amp; $A103, Table2[AwayTeam], G$1)+SUMIFS(Table2[NewPointsHome],Table2[GameDate], "&lt;=" &amp; $A103, Table2[HomeTeam], G$1)</f>
        <v>30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55</v>
      </c>
      <c r="J103" s="145">
        <f>SUMIFS(Table2[NewPointsAway],Table2[GameDate], "&lt;=" &amp; $A103, Table2[AwayTeam], J$1)+SUMIFS(Table2[NewPointsHome],Table2[GameDate], "&lt;=" &amp; $A103, Table2[HomeTeam], J$1)</f>
        <v>49</v>
      </c>
      <c r="K103" s="145">
        <f>SUMIFS(Table2[NewPointsAway],Table2[GameDate], "&lt;=" &amp; $A103, Table2[AwayTeam], K$1)+SUMIFS(Table2[NewPointsHome],Table2[GameDate], "&lt;=" &amp; $A103, Table2[HomeTeam], K$1)</f>
        <v>41</v>
      </c>
      <c r="L103" s="145">
        <f>SUMIFS(Table2[NewPointsAway],Table2[GameDate], "&lt;=" &amp; $A103, Table2[AwayTeam], L$1)+SUMIFS(Table2[NewPointsHome],Table2[GameDate], "&lt;=" &amp; $A103, Table2[HomeTeam], L$1)</f>
        <v>38</v>
      </c>
      <c r="M103" s="145">
        <f>SUMIFS(Table2[NewPointsAway],Table2[GameDate], "&lt;=" &amp; $A103, Table2[AwayTeam], M$1)+SUMIFS(Table2[NewPointsHome],Table2[GameDate], "&lt;=" &amp; $A103, Table2[HomeTeam], M$1)</f>
        <v>36</v>
      </c>
      <c r="N103" s="145">
        <f>SUMIFS(Table2[NewPointsAway],Table2[GameDate], "&lt;=" &amp; $A103, Table2[AwayTeam], N$1)+SUMIFS(Table2[NewPointsHome],Table2[GameDate], "&lt;=" &amp; $A103, Table2[HomeTeam], N$1)</f>
        <v>37</v>
      </c>
      <c r="O103" s="145">
        <f>SUMIFS(Table2[NewPointsAway],Table2[GameDate], "&lt;=" &amp; $A103, Table2[AwayTeam], O$1)+SUMIFS(Table2[NewPointsHome],Table2[GameDate], "&lt;=" &amp; $A103, Table2[HomeTeam], O$1)</f>
        <v>45</v>
      </c>
      <c r="P103" s="145">
        <f>SUMIFS(Table2[NewPointsAway],Table2[GameDate], "&lt;=" &amp; $A103, Table2[AwayTeam], P$1)+SUMIFS(Table2[NewPointsHome],Table2[GameDate], "&lt;=" &amp; $A103, Table2[HomeTeam], P$1)</f>
        <v>38</v>
      </c>
      <c r="Q103" s="145">
        <f>SUMIFS(Table2[NewPointsAway],Table2[GameDate], "&lt;=" &amp; $A103, Table2[AwayTeam], Q$1)+SUMIFS(Table2[NewPointsHome],Table2[GameDate], "&lt;=" &amp; $A103, Table2[HomeTeam], Q$1)</f>
        <v>37</v>
      </c>
      <c r="R103" s="145">
        <f>SUMIFS(Table2[NewPointsAway],Table2[GameDate], "&lt;=" &amp; $A103, Table2[AwayTeam], R$1)+SUMIFS(Table2[NewPointsHome],Table2[GameDate], "&lt;=" &amp; $A103, Table2[HomeTeam], R$1)</f>
        <v>30</v>
      </c>
      <c r="S103" s="145">
        <f>SUMIFS(Table2[NewPointsAway],Table2[GameDate], "&lt;=" &amp; $A103, Table2[AwayTeam], S$1)+SUMIFS(Table2[NewPointsHome],Table2[GameDate], "&lt;=" &amp; $A103, Table2[HomeTeam], S$1)</f>
        <v>41</v>
      </c>
      <c r="T103" s="145">
        <f>SUMIFS(Table2[NewPointsAway],Table2[GameDate], "&lt;=" &amp; $A103, Table2[AwayTeam], T$1)+SUMIFS(Table2[NewPointsHome],Table2[GameDate], "&lt;=" &amp; $A103, Table2[HomeTeam], T$1)</f>
        <v>36</v>
      </c>
      <c r="U103" s="145">
        <f>SUMIFS(Table2[NewPointsAway],Table2[GameDate], "&lt;=" &amp; $A103, Table2[AwayTeam], U$1)+SUMIFS(Table2[NewPointsHome],Table2[GameDate], "&lt;=" &amp; $A103, Table2[HomeTeam], U$1)</f>
        <v>34</v>
      </c>
      <c r="V103" s="145">
        <f>SUMIFS(Table2[NewPointsAway],Table2[GameDate], "&lt;=" &amp; $A103, Table2[AwayTeam], V$1)+SUMIFS(Table2[NewPointsHome],Table2[GameDate], "&lt;=" &amp; $A103, Table2[HomeTeam], V$1)</f>
        <v>39</v>
      </c>
      <c r="W103" s="145">
        <f>SUMIFS(Table2[NewPointsAway],Table2[GameDate], "&lt;=" &amp; $A103, Table2[AwayTeam], W$1)+SUMIFS(Table2[NewPointsHome],Table2[GameDate], "&lt;=" &amp; $A103, Table2[HomeTeam], W$1)</f>
        <v>37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37</v>
      </c>
      <c r="Z103" s="145">
        <f>SUMIFS(Table2[NewPointsAway],Table2[GameDate], "&lt;=" &amp; $A103, Table2[AwayTeam], Z$1)+SUMIFS(Table2[NewPointsHome],Table2[GameDate], "&lt;=" &amp; $A103, Table2[HomeTeam], Z$1)</f>
        <v>32</v>
      </c>
      <c r="AA103" s="145">
        <f>SUMIFS(Table2[NewPointsAway],Table2[GameDate], "&lt;=" &amp; $A103, Table2[AwayTeam], AA$1)+SUMIFS(Table2[NewPointsHome],Table2[GameDate], "&lt;=" &amp; $A103, Table2[HomeTeam], AA$1)</f>
        <v>39</v>
      </c>
      <c r="AB103" s="145">
        <f>SUMIFS(Table2[NewPointsAway],Table2[GameDate], "&lt;=" &amp; $A103, Table2[AwayTeam], AB$1)+SUMIFS(Table2[NewPointsHome],Table2[GameDate], "&lt;=" &amp; $A103, Table2[HomeTeam], AB$1)</f>
        <v>35</v>
      </c>
      <c r="AC103" s="145">
        <f>SUMIFS(Table2[NewPointsAway],Table2[GameDate], "&lt;=" &amp; $A103, Table2[AwayTeam], AC$1)+SUMIFS(Table2[NewPointsHome],Table2[GameDate], "&lt;=" &amp; $A103, Table2[HomeTeam], AC$1)</f>
        <v>35</v>
      </c>
      <c r="AD103" s="145">
        <f>SUMIFS(Table2[NewPointsAway],Table2[GameDate], "&lt;=" &amp; $A103, Table2[AwayTeam], AD$1)+SUMIFS(Table2[NewPointsHome],Table2[GameDate], "&lt;=" &amp; $A103, Table2[HomeTeam], AD$1)</f>
        <v>29</v>
      </c>
      <c r="AE103" s="145">
        <f>SUMIFS(Table2[NewPointsAway],Table2[GameDate], "&lt;=" &amp; $A103, Table2[AwayTeam], AE$1)+SUMIFS(Table2[NewPointsHome],Table2[GameDate], "&lt;=" &amp; $A103, Table2[HomeTeam], AE$1)</f>
        <v>41</v>
      </c>
      <c r="AF103" s="145">
        <f>SUMIFS(Table2[NewPointsAway],Table2[GameDate], "&lt;=" &amp; $A103, Table2[AwayTeam], AF$1)+SUMIFS(Table2[NewPointsHome],Table2[GameDate], "&lt;=" &amp; $A103, Table2[HomeTeam], AF$1)</f>
        <v>32</v>
      </c>
      <c r="AG103" s="145">
        <f>SUMIFS(Table2[NewPointsAway],Table2[GameDate], "&lt;=" &amp; $A103, Table2[AwayTeam], AG$1)+SUMIFS(Table2[NewPointsHome],Table2[GameDate], "&lt;=" &amp; $A103, Table2[HomeTeam], AG$1)</f>
        <v>40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42</v>
      </c>
      <c r="C104" s="145">
        <f>SUMIFS(Table2[NewPointsAway],Table2[GameDate], "&lt;=" &amp; $A104, Table2[AwayTeam], C$1)+SUMIFS(Table2[NewPointsHome],Table2[GameDate], "&lt;=" &amp; $A104, Table2[HomeTeam], C$1)</f>
        <v>40</v>
      </c>
      <c r="D104" s="145">
        <f>SUMIFS(Table2[NewPointsAway],Table2[GameDate], "&lt;=" &amp; $A104, Table2[AwayTeam], D$1)+SUMIFS(Table2[NewPointsHome],Table2[GameDate], "&lt;=" &amp; $A104, Table2[HomeTeam], D$1)</f>
        <v>32</v>
      </c>
      <c r="E104" s="145">
        <f>SUMIFS(Table2[NewPointsAway],Table2[GameDate], "&lt;=" &amp; $A104, Table2[AwayTeam], E$1)+SUMIFS(Table2[NewPointsHome],Table2[GameDate], "&lt;=" &amp; $A104, Table2[HomeTeam], E$1)</f>
        <v>44</v>
      </c>
      <c r="F104" s="145">
        <f>SUMIFS(Table2[NewPointsAway],Table2[GameDate], "&lt;=" &amp; $A104, Table2[AwayTeam], F$1)+SUMIFS(Table2[NewPointsHome],Table2[GameDate], "&lt;=" &amp; $A104, Table2[HomeTeam], F$1)</f>
        <v>34</v>
      </c>
      <c r="G104" s="145">
        <f>SUMIFS(Table2[NewPointsAway],Table2[GameDate], "&lt;=" &amp; $A104, Table2[AwayTeam], G$1)+SUMIFS(Table2[NewPointsHome],Table2[GameDate], "&lt;=" &amp; $A104, Table2[HomeTeam], G$1)</f>
        <v>30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55</v>
      </c>
      <c r="J104" s="145">
        <f>SUMIFS(Table2[NewPointsAway],Table2[GameDate], "&lt;=" &amp; $A104, Table2[AwayTeam], J$1)+SUMIFS(Table2[NewPointsHome],Table2[GameDate], "&lt;=" &amp; $A104, Table2[HomeTeam], J$1)</f>
        <v>49</v>
      </c>
      <c r="K104" s="145">
        <f>SUMIFS(Table2[NewPointsAway],Table2[GameDate], "&lt;=" &amp; $A104, Table2[AwayTeam], K$1)+SUMIFS(Table2[NewPointsHome],Table2[GameDate], "&lt;=" &amp; $A104, Table2[HomeTeam], K$1)</f>
        <v>41</v>
      </c>
      <c r="L104" s="145">
        <f>SUMIFS(Table2[NewPointsAway],Table2[GameDate], "&lt;=" &amp; $A104, Table2[AwayTeam], L$1)+SUMIFS(Table2[NewPointsHome],Table2[GameDate], "&lt;=" &amp; $A104, Table2[HomeTeam], L$1)</f>
        <v>38</v>
      </c>
      <c r="M104" s="145">
        <f>SUMIFS(Table2[NewPointsAway],Table2[GameDate], "&lt;=" &amp; $A104, Table2[AwayTeam], M$1)+SUMIFS(Table2[NewPointsHome],Table2[GameDate], "&lt;=" &amp; $A104, Table2[HomeTeam], M$1)</f>
        <v>36</v>
      </c>
      <c r="N104" s="145">
        <f>SUMIFS(Table2[NewPointsAway],Table2[GameDate], "&lt;=" &amp; $A104, Table2[AwayTeam], N$1)+SUMIFS(Table2[NewPointsHome],Table2[GameDate], "&lt;=" &amp; $A104, Table2[HomeTeam], N$1)</f>
        <v>37</v>
      </c>
      <c r="O104" s="145">
        <f>SUMIFS(Table2[NewPointsAway],Table2[GameDate], "&lt;=" &amp; $A104, Table2[AwayTeam], O$1)+SUMIFS(Table2[NewPointsHome],Table2[GameDate], "&lt;=" &amp; $A104, Table2[HomeTeam], O$1)</f>
        <v>45</v>
      </c>
      <c r="P104" s="145">
        <f>SUMIFS(Table2[NewPointsAway],Table2[GameDate], "&lt;=" &amp; $A104, Table2[AwayTeam], P$1)+SUMIFS(Table2[NewPointsHome],Table2[GameDate], "&lt;=" &amp; $A104, Table2[HomeTeam], P$1)</f>
        <v>38</v>
      </c>
      <c r="Q104" s="145">
        <f>SUMIFS(Table2[NewPointsAway],Table2[GameDate], "&lt;=" &amp; $A104, Table2[AwayTeam], Q$1)+SUMIFS(Table2[NewPointsHome],Table2[GameDate], "&lt;=" &amp; $A104, Table2[HomeTeam], Q$1)</f>
        <v>37</v>
      </c>
      <c r="R104" s="145">
        <f>SUMIFS(Table2[NewPointsAway],Table2[GameDate], "&lt;=" &amp; $A104, Table2[AwayTeam], R$1)+SUMIFS(Table2[NewPointsHome],Table2[GameDate], "&lt;=" &amp; $A104, Table2[HomeTeam], R$1)</f>
        <v>30</v>
      </c>
      <c r="S104" s="145">
        <f>SUMIFS(Table2[NewPointsAway],Table2[GameDate], "&lt;=" &amp; $A104, Table2[AwayTeam], S$1)+SUMIFS(Table2[NewPointsHome],Table2[GameDate], "&lt;=" &amp; $A104, Table2[HomeTeam], S$1)</f>
        <v>41</v>
      </c>
      <c r="T104" s="145">
        <f>SUMIFS(Table2[NewPointsAway],Table2[GameDate], "&lt;=" &amp; $A104, Table2[AwayTeam], T$1)+SUMIFS(Table2[NewPointsHome],Table2[GameDate], "&lt;=" &amp; $A104, Table2[HomeTeam], T$1)</f>
        <v>36</v>
      </c>
      <c r="U104" s="145">
        <f>SUMIFS(Table2[NewPointsAway],Table2[GameDate], "&lt;=" &amp; $A104, Table2[AwayTeam], U$1)+SUMIFS(Table2[NewPointsHome],Table2[GameDate], "&lt;=" &amp; $A104, Table2[HomeTeam], U$1)</f>
        <v>34</v>
      </c>
      <c r="V104" s="145">
        <f>SUMIFS(Table2[NewPointsAway],Table2[GameDate], "&lt;=" &amp; $A104, Table2[AwayTeam], V$1)+SUMIFS(Table2[NewPointsHome],Table2[GameDate], "&lt;=" &amp; $A104, Table2[HomeTeam], V$1)</f>
        <v>39</v>
      </c>
      <c r="W104" s="145">
        <f>SUMIFS(Table2[NewPointsAway],Table2[GameDate], "&lt;=" &amp; $A104, Table2[AwayTeam], W$1)+SUMIFS(Table2[NewPointsHome],Table2[GameDate], "&lt;=" &amp; $A104, Table2[HomeTeam], W$1)</f>
        <v>37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37</v>
      </c>
      <c r="Z104" s="145">
        <f>SUMIFS(Table2[NewPointsAway],Table2[GameDate], "&lt;=" &amp; $A104, Table2[AwayTeam], Z$1)+SUMIFS(Table2[NewPointsHome],Table2[GameDate], "&lt;=" &amp; $A104, Table2[HomeTeam], Z$1)</f>
        <v>32</v>
      </c>
      <c r="AA104" s="145">
        <f>SUMIFS(Table2[NewPointsAway],Table2[GameDate], "&lt;=" &amp; $A104, Table2[AwayTeam], AA$1)+SUMIFS(Table2[NewPointsHome],Table2[GameDate], "&lt;=" &amp; $A104, Table2[HomeTeam], AA$1)</f>
        <v>39</v>
      </c>
      <c r="AB104" s="145">
        <f>SUMIFS(Table2[NewPointsAway],Table2[GameDate], "&lt;=" &amp; $A104, Table2[AwayTeam], AB$1)+SUMIFS(Table2[NewPointsHome],Table2[GameDate], "&lt;=" &amp; $A104, Table2[HomeTeam], AB$1)</f>
        <v>35</v>
      </c>
      <c r="AC104" s="145">
        <f>SUMIFS(Table2[NewPointsAway],Table2[GameDate], "&lt;=" &amp; $A104, Table2[AwayTeam], AC$1)+SUMIFS(Table2[NewPointsHome],Table2[GameDate], "&lt;=" &amp; $A104, Table2[HomeTeam], AC$1)</f>
        <v>35</v>
      </c>
      <c r="AD104" s="145">
        <f>SUMIFS(Table2[NewPointsAway],Table2[GameDate], "&lt;=" &amp; $A104, Table2[AwayTeam], AD$1)+SUMIFS(Table2[NewPointsHome],Table2[GameDate], "&lt;=" &amp; $A104, Table2[HomeTeam], AD$1)</f>
        <v>29</v>
      </c>
      <c r="AE104" s="145">
        <f>SUMIFS(Table2[NewPointsAway],Table2[GameDate], "&lt;=" &amp; $A104, Table2[AwayTeam], AE$1)+SUMIFS(Table2[NewPointsHome],Table2[GameDate], "&lt;=" &amp; $A104, Table2[HomeTeam], AE$1)</f>
        <v>41</v>
      </c>
      <c r="AF104" s="145">
        <f>SUMIFS(Table2[NewPointsAway],Table2[GameDate], "&lt;=" &amp; $A104, Table2[AwayTeam], AF$1)+SUMIFS(Table2[NewPointsHome],Table2[GameDate], "&lt;=" &amp; $A104, Table2[HomeTeam], AF$1)</f>
        <v>32</v>
      </c>
      <c r="AG104" s="145">
        <f>SUMIFS(Table2[NewPointsAway],Table2[GameDate], "&lt;=" &amp; $A104, Table2[AwayTeam], AG$1)+SUMIFS(Table2[NewPointsHome],Table2[GameDate], "&lt;=" &amp; $A104, Table2[HomeTeam], AG$1)</f>
        <v>40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42</v>
      </c>
      <c r="C105" s="145">
        <f>SUMIFS(Table2[NewPointsAway],Table2[GameDate], "&lt;=" &amp; $A105, Table2[AwayTeam], C$1)+SUMIFS(Table2[NewPointsHome],Table2[GameDate], "&lt;=" &amp; $A105, Table2[HomeTeam], C$1)</f>
        <v>40</v>
      </c>
      <c r="D105" s="145">
        <f>SUMIFS(Table2[NewPointsAway],Table2[GameDate], "&lt;=" &amp; $A105, Table2[AwayTeam], D$1)+SUMIFS(Table2[NewPointsHome],Table2[GameDate], "&lt;=" &amp; $A105, Table2[HomeTeam], D$1)</f>
        <v>32</v>
      </c>
      <c r="E105" s="145">
        <f>SUMIFS(Table2[NewPointsAway],Table2[GameDate], "&lt;=" &amp; $A105, Table2[AwayTeam], E$1)+SUMIFS(Table2[NewPointsHome],Table2[GameDate], "&lt;=" &amp; $A105, Table2[HomeTeam], E$1)</f>
        <v>44</v>
      </c>
      <c r="F105" s="145">
        <f>SUMIFS(Table2[NewPointsAway],Table2[GameDate], "&lt;=" &amp; $A105, Table2[AwayTeam], F$1)+SUMIFS(Table2[NewPointsHome],Table2[GameDate], "&lt;=" &amp; $A105, Table2[HomeTeam], F$1)</f>
        <v>34</v>
      </c>
      <c r="G105" s="145">
        <f>SUMIFS(Table2[NewPointsAway],Table2[GameDate], "&lt;=" &amp; $A105, Table2[AwayTeam], G$1)+SUMIFS(Table2[NewPointsHome],Table2[GameDate], "&lt;=" &amp; $A105, Table2[HomeTeam], G$1)</f>
        <v>30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55</v>
      </c>
      <c r="J105" s="145">
        <f>SUMIFS(Table2[NewPointsAway],Table2[GameDate], "&lt;=" &amp; $A105, Table2[AwayTeam], J$1)+SUMIFS(Table2[NewPointsHome],Table2[GameDate], "&lt;=" &amp; $A105, Table2[HomeTeam], J$1)</f>
        <v>49</v>
      </c>
      <c r="K105" s="145">
        <f>SUMIFS(Table2[NewPointsAway],Table2[GameDate], "&lt;=" &amp; $A105, Table2[AwayTeam], K$1)+SUMIFS(Table2[NewPointsHome],Table2[GameDate], "&lt;=" &amp; $A105, Table2[HomeTeam], K$1)</f>
        <v>41</v>
      </c>
      <c r="L105" s="145">
        <f>SUMIFS(Table2[NewPointsAway],Table2[GameDate], "&lt;=" &amp; $A105, Table2[AwayTeam], L$1)+SUMIFS(Table2[NewPointsHome],Table2[GameDate], "&lt;=" &amp; $A105, Table2[HomeTeam], L$1)</f>
        <v>38</v>
      </c>
      <c r="M105" s="145">
        <f>SUMIFS(Table2[NewPointsAway],Table2[GameDate], "&lt;=" &amp; $A105, Table2[AwayTeam], M$1)+SUMIFS(Table2[NewPointsHome],Table2[GameDate], "&lt;=" &amp; $A105, Table2[HomeTeam], M$1)</f>
        <v>36</v>
      </c>
      <c r="N105" s="145">
        <f>SUMIFS(Table2[NewPointsAway],Table2[GameDate], "&lt;=" &amp; $A105, Table2[AwayTeam], N$1)+SUMIFS(Table2[NewPointsHome],Table2[GameDate], "&lt;=" &amp; $A105, Table2[HomeTeam], N$1)</f>
        <v>37</v>
      </c>
      <c r="O105" s="145">
        <f>SUMIFS(Table2[NewPointsAway],Table2[GameDate], "&lt;=" &amp; $A105, Table2[AwayTeam], O$1)+SUMIFS(Table2[NewPointsHome],Table2[GameDate], "&lt;=" &amp; $A105, Table2[HomeTeam], O$1)</f>
        <v>45</v>
      </c>
      <c r="P105" s="145">
        <f>SUMIFS(Table2[NewPointsAway],Table2[GameDate], "&lt;=" &amp; $A105, Table2[AwayTeam], P$1)+SUMIFS(Table2[NewPointsHome],Table2[GameDate], "&lt;=" &amp; $A105, Table2[HomeTeam], P$1)</f>
        <v>38</v>
      </c>
      <c r="Q105" s="145">
        <f>SUMIFS(Table2[NewPointsAway],Table2[GameDate], "&lt;=" &amp; $A105, Table2[AwayTeam], Q$1)+SUMIFS(Table2[NewPointsHome],Table2[GameDate], "&lt;=" &amp; $A105, Table2[HomeTeam], Q$1)</f>
        <v>37</v>
      </c>
      <c r="R105" s="145">
        <f>SUMIFS(Table2[NewPointsAway],Table2[GameDate], "&lt;=" &amp; $A105, Table2[AwayTeam], R$1)+SUMIFS(Table2[NewPointsHome],Table2[GameDate], "&lt;=" &amp; $A105, Table2[HomeTeam], R$1)</f>
        <v>30</v>
      </c>
      <c r="S105" s="145">
        <f>SUMIFS(Table2[NewPointsAway],Table2[GameDate], "&lt;=" &amp; $A105, Table2[AwayTeam], S$1)+SUMIFS(Table2[NewPointsHome],Table2[GameDate], "&lt;=" &amp; $A105, Table2[HomeTeam], S$1)</f>
        <v>41</v>
      </c>
      <c r="T105" s="145">
        <f>SUMIFS(Table2[NewPointsAway],Table2[GameDate], "&lt;=" &amp; $A105, Table2[AwayTeam], T$1)+SUMIFS(Table2[NewPointsHome],Table2[GameDate], "&lt;=" &amp; $A105, Table2[HomeTeam], T$1)</f>
        <v>36</v>
      </c>
      <c r="U105" s="145">
        <f>SUMIFS(Table2[NewPointsAway],Table2[GameDate], "&lt;=" &amp; $A105, Table2[AwayTeam], U$1)+SUMIFS(Table2[NewPointsHome],Table2[GameDate], "&lt;=" &amp; $A105, Table2[HomeTeam], U$1)</f>
        <v>34</v>
      </c>
      <c r="V105" s="145">
        <f>SUMIFS(Table2[NewPointsAway],Table2[GameDate], "&lt;=" &amp; $A105, Table2[AwayTeam], V$1)+SUMIFS(Table2[NewPointsHome],Table2[GameDate], "&lt;=" &amp; $A105, Table2[HomeTeam], V$1)</f>
        <v>39</v>
      </c>
      <c r="W105" s="145">
        <f>SUMIFS(Table2[NewPointsAway],Table2[GameDate], "&lt;=" &amp; $A105, Table2[AwayTeam], W$1)+SUMIFS(Table2[NewPointsHome],Table2[GameDate], "&lt;=" &amp; $A105, Table2[HomeTeam], W$1)</f>
        <v>37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37</v>
      </c>
      <c r="Z105" s="145">
        <f>SUMIFS(Table2[NewPointsAway],Table2[GameDate], "&lt;=" &amp; $A105, Table2[AwayTeam], Z$1)+SUMIFS(Table2[NewPointsHome],Table2[GameDate], "&lt;=" &amp; $A105, Table2[HomeTeam], Z$1)</f>
        <v>32</v>
      </c>
      <c r="AA105" s="145">
        <f>SUMIFS(Table2[NewPointsAway],Table2[GameDate], "&lt;=" &amp; $A105, Table2[AwayTeam], AA$1)+SUMIFS(Table2[NewPointsHome],Table2[GameDate], "&lt;=" &amp; $A105, Table2[HomeTeam], AA$1)</f>
        <v>39</v>
      </c>
      <c r="AB105" s="145">
        <f>SUMIFS(Table2[NewPointsAway],Table2[GameDate], "&lt;=" &amp; $A105, Table2[AwayTeam], AB$1)+SUMIFS(Table2[NewPointsHome],Table2[GameDate], "&lt;=" &amp; $A105, Table2[HomeTeam], AB$1)</f>
        <v>35</v>
      </c>
      <c r="AC105" s="145">
        <f>SUMIFS(Table2[NewPointsAway],Table2[GameDate], "&lt;=" &amp; $A105, Table2[AwayTeam], AC$1)+SUMIFS(Table2[NewPointsHome],Table2[GameDate], "&lt;=" &amp; $A105, Table2[HomeTeam], AC$1)</f>
        <v>35</v>
      </c>
      <c r="AD105" s="145">
        <f>SUMIFS(Table2[NewPointsAway],Table2[GameDate], "&lt;=" &amp; $A105, Table2[AwayTeam], AD$1)+SUMIFS(Table2[NewPointsHome],Table2[GameDate], "&lt;=" &amp; $A105, Table2[HomeTeam], AD$1)</f>
        <v>29</v>
      </c>
      <c r="AE105" s="145">
        <f>SUMIFS(Table2[NewPointsAway],Table2[GameDate], "&lt;=" &amp; $A105, Table2[AwayTeam], AE$1)+SUMIFS(Table2[NewPointsHome],Table2[GameDate], "&lt;=" &amp; $A105, Table2[HomeTeam], AE$1)</f>
        <v>41</v>
      </c>
      <c r="AF105" s="145">
        <f>SUMIFS(Table2[NewPointsAway],Table2[GameDate], "&lt;=" &amp; $A105, Table2[AwayTeam], AF$1)+SUMIFS(Table2[NewPointsHome],Table2[GameDate], "&lt;=" &amp; $A105, Table2[HomeTeam], AF$1)</f>
        <v>32</v>
      </c>
      <c r="AG105" s="145">
        <f>SUMIFS(Table2[NewPointsAway],Table2[GameDate], "&lt;=" &amp; $A105, Table2[AwayTeam], AG$1)+SUMIFS(Table2[NewPointsHome],Table2[GameDate], "&lt;=" &amp; $A105, Table2[HomeTeam], AG$1)</f>
        <v>40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42</v>
      </c>
      <c r="C106" s="145">
        <f>SUMIFS(Table2[NewPointsAway],Table2[GameDate], "&lt;=" &amp; $A106, Table2[AwayTeam], C$1)+SUMIFS(Table2[NewPointsHome],Table2[GameDate], "&lt;=" &amp; $A106, Table2[HomeTeam], C$1)</f>
        <v>40</v>
      </c>
      <c r="D106" s="145">
        <f>SUMIFS(Table2[NewPointsAway],Table2[GameDate], "&lt;=" &amp; $A106, Table2[AwayTeam], D$1)+SUMIFS(Table2[NewPointsHome],Table2[GameDate], "&lt;=" &amp; $A106, Table2[HomeTeam], D$1)</f>
        <v>32</v>
      </c>
      <c r="E106" s="145">
        <f>SUMIFS(Table2[NewPointsAway],Table2[GameDate], "&lt;=" &amp; $A106, Table2[AwayTeam], E$1)+SUMIFS(Table2[NewPointsHome],Table2[GameDate], "&lt;=" &amp; $A106, Table2[HomeTeam], E$1)</f>
        <v>44</v>
      </c>
      <c r="F106" s="145">
        <f>SUMIFS(Table2[NewPointsAway],Table2[GameDate], "&lt;=" &amp; $A106, Table2[AwayTeam], F$1)+SUMIFS(Table2[NewPointsHome],Table2[GameDate], "&lt;=" &amp; $A106, Table2[HomeTeam], F$1)</f>
        <v>34</v>
      </c>
      <c r="G106" s="145">
        <f>SUMIFS(Table2[NewPointsAway],Table2[GameDate], "&lt;=" &amp; $A106, Table2[AwayTeam], G$1)+SUMIFS(Table2[NewPointsHome],Table2[GameDate], "&lt;=" &amp; $A106, Table2[HomeTeam], G$1)</f>
        <v>30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55</v>
      </c>
      <c r="J106" s="145">
        <f>SUMIFS(Table2[NewPointsAway],Table2[GameDate], "&lt;=" &amp; $A106, Table2[AwayTeam], J$1)+SUMIFS(Table2[NewPointsHome],Table2[GameDate], "&lt;=" &amp; $A106, Table2[HomeTeam], J$1)</f>
        <v>49</v>
      </c>
      <c r="K106" s="145">
        <f>SUMIFS(Table2[NewPointsAway],Table2[GameDate], "&lt;=" &amp; $A106, Table2[AwayTeam], K$1)+SUMIFS(Table2[NewPointsHome],Table2[GameDate], "&lt;=" &amp; $A106, Table2[HomeTeam], K$1)</f>
        <v>41</v>
      </c>
      <c r="L106" s="145">
        <f>SUMIFS(Table2[NewPointsAway],Table2[GameDate], "&lt;=" &amp; $A106, Table2[AwayTeam], L$1)+SUMIFS(Table2[NewPointsHome],Table2[GameDate], "&lt;=" &amp; $A106, Table2[HomeTeam], L$1)</f>
        <v>38</v>
      </c>
      <c r="M106" s="145">
        <f>SUMIFS(Table2[NewPointsAway],Table2[GameDate], "&lt;=" &amp; $A106, Table2[AwayTeam], M$1)+SUMIFS(Table2[NewPointsHome],Table2[GameDate], "&lt;=" &amp; $A106, Table2[HomeTeam], M$1)</f>
        <v>36</v>
      </c>
      <c r="N106" s="145">
        <f>SUMIFS(Table2[NewPointsAway],Table2[GameDate], "&lt;=" &amp; $A106, Table2[AwayTeam], N$1)+SUMIFS(Table2[NewPointsHome],Table2[GameDate], "&lt;=" &amp; $A106, Table2[HomeTeam], N$1)</f>
        <v>37</v>
      </c>
      <c r="O106" s="145">
        <f>SUMIFS(Table2[NewPointsAway],Table2[GameDate], "&lt;=" &amp; $A106, Table2[AwayTeam], O$1)+SUMIFS(Table2[NewPointsHome],Table2[GameDate], "&lt;=" &amp; $A106, Table2[HomeTeam], O$1)</f>
        <v>45</v>
      </c>
      <c r="P106" s="145">
        <f>SUMIFS(Table2[NewPointsAway],Table2[GameDate], "&lt;=" &amp; $A106, Table2[AwayTeam], P$1)+SUMIFS(Table2[NewPointsHome],Table2[GameDate], "&lt;=" &amp; $A106, Table2[HomeTeam], P$1)</f>
        <v>38</v>
      </c>
      <c r="Q106" s="145">
        <f>SUMIFS(Table2[NewPointsAway],Table2[GameDate], "&lt;=" &amp; $A106, Table2[AwayTeam], Q$1)+SUMIFS(Table2[NewPointsHome],Table2[GameDate], "&lt;=" &amp; $A106, Table2[HomeTeam], Q$1)</f>
        <v>37</v>
      </c>
      <c r="R106" s="145">
        <f>SUMIFS(Table2[NewPointsAway],Table2[GameDate], "&lt;=" &amp; $A106, Table2[AwayTeam], R$1)+SUMIFS(Table2[NewPointsHome],Table2[GameDate], "&lt;=" &amp; $A106, Table2[HomeTeam], R$1)</f>
        <v>30</v>
      </c>
      <c r="S106" s="145">
        <f>SUMIFS(Table2[NewPointsAway],Table2[GameDate], "&lt;=" &amp; $A106, Table2[AwayTeam], S$1)+SUMIFS(Table2[NewPointsHome],Table2[GameDate], "&lt;=" &amp; $A106, Table2[HomeTeam], S$1)</f>
        <v>41</v>
      </c>
      <c r="T106" s="145">
        <f>SUMIFS(Table2[NewPointsAway],Table2[GameDate], "&lt;=" &amp; $A106, Table2[AwayTeam], T$1)+SUMIFS(Table2[NewPointsHome],Table2[GameDate], "&lt;=" &amp; $A106, Table2[HomeTeam], T$1)</f>
        <v>36</v>
      </c>
      <c r="U106" s="145">
        <f>SUMIFS(Table2[NewPointsAway],Table2[GameDate], "&lt;=" &amp; $A106, Table2[AwayTeam], U$1)+SUMIFS(Table2[NewPointsHome],Table2[GameDate], "&lt;=" &amp; $A106, Table2[HomeTeam], U$1)</f>
        <v>34</v>
      </c>
      <c r="V106" s="145">
        <f>SUMIFS(Table2[NewPointsAway],Table2[GameDate], "&lt;=" &amp; $A106, Table2[AwayTeam], V$1)+SUMIFS(Table2[NewPointsHome],Table2[GameDate], "&lt;=" &amp; $A106, Table2[HomeTeam], V$1)</f>
        <v>39</v>
      </c>
      <c r="W106" s="145">
        <f>SUMIFS(Table2[NewPointsAway],Table2[GameDate], "&lt;=" &amp; $A106, Table2[AwayTeam], W$1)+SUMIFS(Table2[NewPointsHome],Table2[GameDate], "&lt;=" &amp; $A106, Table2[HomeTeam], W$1)</f>
        <v>37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37</v>
      </c>
      <c r="Z106" s="145">
        <f>SUMIFS(Table2[NewPointsAway],Table2[GameDate], "&lt;=" &amp; $A106, Table2[AwayTeam], Z$1)+SUMIFS(Table2[NewPointsHome],Table2[GameDate], "&lt;=" &amp; $A106, Table2[HomeTeam], Z$1)</f>
        <v>32</v>
      </c>
      <c r="AA106" s="145">
        <f>SUMIFS(Table2[NewPointsAway],Table2[GameDate], "&lt;=" &amp; $A106, Table2[AwayTeam], AA$1)+SUMIFS(Table2[NewPointsHome],Table2[GameDate], "&lt;=" &amp; $A106, Table2[HomeTeam], AA$1)</f>
        <v>39</v>
      </c>
      <c r="AB106" s="145">
        <f>SUMIFS(Table2[NewPointsAway],Table2[GameDate], "&lt;=" &amp; $A106, Table2[AwayTeam], AB$1)+SUMIFS(Table2[NewPointsHome],Table2[GameDate], "&lt;=" &amp; $A106, Table2[HomeTeam], AB$1)</f>
        <v>35</v>
      </c>
      <c r="AC106" s="145">
        <f>SUMIFS(Table2[NewPointsAway],Table2[GameDate], "&lt;=" &amp; $A106, Table2[AwayTeam], AC$1)+SUMIFS(Table2[NewPointsHome],Table2[GameDate], "&lt;=" &amp; $A106, Table2[HomeTeam], AC$1)</f>
        <v>35</v>
      </c>
      <c r="AD106" s="145">
        <f>SUMIFS(Table2[NewPointsAway],Table2[GameDate], "&lt;=" &amp; $A106, Table2[AwayTeam], AD$1)+SUMIFS(Table2[NewPointsHome],Table2[GameDate], "&lt;=" &amp; $A106, Table2[HomeTeam], AD$1)</f>
        <v>29</v>
      </c>
      <c r="AE106" s="145">
        <f>SUMIFS(Table2[NewPointsAway],Table2[GameDate], "&lt;=" &amp; $A106, Table2[AwayTeam], AE$1)+SUMIFS(Table2[NewPointsHome],Table2[GameDate], "&lt;=" &amp; $A106, Table2[HomeTeam], AE$1)</f>
        <v>41</v>
      </c>
      <c r="AF106" s="145">
        <f>SUMIFS(Table2[NewPointsAway],Table2[GameDate], "&lt;=" &amp; $A106, Table2[AwayTeam], AF$1)+SUMIFS(Table2[NewPointsHome],Table2[GameDate], "&lt;=" &amp; $A106, Table2[HomeTeam], AF$1)</f>
        <v>32</v>
      </c>
      <c r="AG106" s="145">
        <f>SUMIFS(Table2[NewPointsAway],Table2[GameDate], "&lt;=" &amp; $A106, Table2[AwayTeam], AG$1)+SUMIFS(Table2[NewPointsHome],Table2[GameDate], "&lt;=" &amp; $A106, Table2[HomeTeam], AG$1)</f>
        <v>40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42</v>
      </c>
      <c r="C107" s="145">
        <f>SUMIFS(Table2[NewPointsAway],Table2[GameDate], "&lt;=" &amp; $A107, Table2[AwayTeam], C$1)+SUMIFS(Table2[NewPointsHome],Table2[GameDate], "&lt;=" &amp; $A107, Table2[HomeTeam], C$1)</f>
        <v>40</v>
      </c>
      <c r="D107" s="145">
        <f>SUMIFS(Table2[NewPointsAway],Table2[GameDate], "&lt;=" &amp; $A107, Table2[AwayTeam], D$1)+SUMIFS(Table2[NewPointsHome],Table2[GameDate], "&lt;=" &amp; $A107, Table2[HomeTeam], D$1)</f>
        <v>32</v>
      </c>
      <c r="E107" s="145">
        <f>SUMIFS(Table2[NewPointsAway],Table2[GameDate], "&lt;=" &amp; $A107, Table2[AwayTeam], E$1)+SUMIFS(Table2[NewPointsHome],Table2[GameDate], "&lt;=" &amp; $A107, Table2[HomeTeam], E$1)</f>
        <v>44</v>
      </c>
      <c r="F107" s="145">
        <f>SUMIFS(Table2[NewPointsAway],Table2[GameDate], "&lt;=" &amp; $A107, Table2[AwayTeam], F$1)+SUMIFS(Table2[NewPointsHome],Table2[GameDate], "&lt;=" &amp; $A107, Table2[HomeTeam], F$1)</f>
        <v>34</v>
      </c>
      <c r="G107" s="145">
        <f>SUMIFS(Table2[NewPointsAway],Table2[GameDate], "&lt;=" &amp; $A107, Table2[AwayTeam], G$1)+SUMIFS(Table2[NewPointsHome],Table2[GameDate], "&lt;=" &amp; $A107, Table2[HomeTeam], G$1)</f>
        <v>30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55</v>
      </c>
      <c r="J107" s="145">
        <f>SUMIFS(Table2[NewPointsAway],Table2[GameDate], "&lt;=" &amp; $A107, Table2[AwayTeam], J$1)+SUMIFS(Table2[NewPointsHome],Table2[GameDate], "&lt;=" &amp; $A107, Table2[HomeTeam], J$1)</f>
        <v>49</v>
      </c>
      <c r="K107" s="145">
        <f>SUMIFS(Table2[NewPointsAway],Table2[GameDate], "&lt;=" &amp; $A107, Table2[AwayTeam], K$1)+SUMIFS(Table2[NewPointsHome],Table2[GameDate], "&lt;=" &amp; $A107, Table2[HomeTeam], K$1)</f>
        <v>41</v>
      </c>
      <c r="L107" s="145">
        <f>SUMIFS(Table2[NewPointsAway],Table2[GameDate], "&lt;=" &amp; $A107, Table2[AwayTeam], L$1)+SUMIFS(Table2[NewPointsHome],Table2[GameDate], "&lt;=" &amp; $A107, Table2[HomeTeam], L$1)</f>
        <v>38</v>
      </c>
      <c r="M107" s="145">
        <f>SUMIFS(Table2[NewPointsAway],Table2[GameDate], "&lt;=" &amp; $A107, Table2[AwayTeam], M$1)+SUMIFS(Table2[NewPointsHome],Table2[GameDate], "&lt;=" &amp; $A107, Table2[HomeTeam], M$1)</f>
        <v>36</v>
      </c>
      <c r="N107" s="145">
        <f>SUMIFS(Table2[NewPointsAway],Table2[GameDate], "&lt;=" &amp; $A107, Table2[AwayTeam], N$1)+SUMIFS(Table2[NewPointsHome],Table2[GameDate], "&lt;=" &amp; $A107, Table2[HomeTeam], N$1)</f>
        <v>37</v>
      </c>
      <c r="O107" s="145">
        <f>SUMIFS(Table2[NewPointsAway],Table2[GameDate], "&lt;=" &amp; $A107, Table2[AwayTeam], O$1)+SUMIFS(Table2[NewPointsHome],Table2[GameDate], "&lt;=" &amp; $A107, Table2[HomeTeam], O$1)</f>
        <v>45</v>
      </c>
      <c r="P107" s="145">
        <f>SUMIFS(Table2[NewPointsAway],Table2[GameDate], "&lt;=" &amp; $A107, Table2[AwayTeam], P$1)+SUMIFS(Table2[NewPointsHome],Table2[GameDate], "&lt;=" &amp; $A107, Table2[HomeTeam], P$1)</f>
        <v>38</v>
      </c>
      <c r="Q107" s="145">
        <f>SUMIFS(Table2[NewPointsAway],Table2[GameDate], "&lt;=" &amp; $A107, Table2[AwayTeam], Q$1)+SUMIFS(Table2[NewPointsHome],Table2[GameDate], "&lt;=" &amp; $A107, Table2[HomeTeam], Q$1)</f>
        <v>37</v>
      </c>
      <c r="R107" s="145">
        <f>SUMIFS(Table2[NewPointsAway],Table2[GameDate], "&lt;=" &amp; $A107, Table2[AwayTeam], R$1)+SUMIFS(Table2[NewPointsHome],Table2[GameDate], "&lt;=" &amp; $A107, Table2[HomeTeam], R$1)</f>
        <v>30</v>
      </c>
      <c r="S107" s="145">
        <f>SUMIFS(Table2[NewPointsAway],Table2[GameDate], "&lt;=" &amp; $A107, Table2[AwayTeam], S$1)+SUMIFS(Table2[NewPointsHome],Table2[GameDate], "&lt;=" &amp; $A107, Table2[HomeTeam], S$1)</f>
        <v>41</v>
      </c>
      <c r="T107" s="145">
        <f>SUMIFS(Table2[NewPointsAway],Table2[GameDate], "&lt;=" &amp; $A107, Table2[AwayTeam], T$1)+SUMIFS(Table2[NewPointsHome],Table2[GameDate], "&lt;=" &amp; $A107, Table2[HomeTeam], T$1)</f>
        <v>36</v>
      </c>
      <c r="U107" s="145">
        <f>SUMIFS(Table2[NewPointsAway],Table2[GameDate], "&lt;=" &amp; $A107, Table2[AwayTeam], U$1)+SUMIFS(Table2[NewPointsHome],Table2[GameDate], "&lt;=" &amp; $A107, Table2[HomeTeam], U$1)</f>
        <v>34</v>
      </c>
      <c r="V107" s="145">
        <f>SUMIFS(Table2[NewPointsAway],Table2[GameDate], "&lt;=" &amp; $A107, Table2[AwayTeam], V$1)+SUMIFS(Table2[NewPointsHome],Table2[GameDate], "&lt;=" &amp; $A107, Table2[HomeTeam], V$1)</f>
        <v>39</v>
      </c>
      <c r="W107" s="145">
        <f>SUMIFS(Table2[NewPointsAway],Table2[GameDate], "&lt;=" &amp; $A107, Table2[AwayTeam], W$1)+SUMIFS(Table2[NewPointsHome],Table2[GameDate], "&lt;=" &amp; $A107, Table2[HomeTeam], W$1)</f>
        <v>37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37</v>
      </c>
      <c r="Z107" s="145">
        <f>SUMIFS(Table2[NewPointsAway],Table2[GameDate], "&lt;=" &amp; $A107, Table2[AwayTeam], Z$1)+SUMIFS(Table2[NewPointsHome],Table2[GameDate], "&lt;=" &amp; $A107, Table2[HomeTeam], Z$1)</f>
        <v>32</v>
      </c>
      <c r="AA107" s="145">
        <f>SUMIFS(Table2[NewPointsAway],Table2[GameDate], "&lt;=" &amp; $A107, Table2[AwayTeam], AA$1)+SUMIFS(Table2[NewPointsHome],Table2[GameDate], "&lt;=" &amp; $A107, Table2[HomeTeam], AA$1)</f>
        <v>39</v>
      </c>
      <c r="AB107" s="145">
        <f>SUMIFS(Table2[NewPointsAway],Table2[GameDate], "&lt;=" &amp; $A107, Table2[AwayTeam], AB$1)+SUMIFS(Table2[NewPointsHome],Table2[GameDate], "&lt;=" &amp; $A107, Table2[HomeTeam], AB$1)</f>
        <v>35</v>
      </c>
      <c r="AC107" s="145">
        <f>SUMIFS(Table2[NewPointsAway],Table2[GameDate], "&lt;=" &amp; $A107, Table2[AwayTeam], AC$1)+SUMIFS(Table2[NewPointsHome],Table2[GameDate], "&lt;=" &amp; $A107, Table2[HomeTeam], AC$1)</f>
        <v>35</v>
      </c>
      <c r="AD107" s="145">
        <f>SUMIFS(Table2[NewPointsAway],Table2[GameDate], "&lt;=" &amp; $A107, Table2[AwayTeam], AD$1)+SUMIFS(Table2[NewPointsHome],Table2[GameDate], "&lt;=" &amp; $A107, Table2[HomeTeam], AD$1)</f>
        <v>29</v>
      </c>
      <c r="AE107" s="145">
        <f>SUMIFS(Table2[NewPointsAway],Table2[GameDate], "&lt;=" &amp; $A107, Table2[AwayTeam], AE$1)+SUMIFS(Table2[NewPointsHome],Table2[GameDate], "&lt;=" &amp; $A107, Table2[HomeTeam], AE$1)</f>
        <v>41</v>
      </c>
      <c r="AF107" s="145">
        <f>SUMIFS(Table2[NewPointsAway],Table2[GameDate], "&lt;=" &amp; $A107, Table2[AwayTeam], AF$1)+SUMIFS(Table2[NewPointsHome],Table2[GameDate], "&lt;=" &amp; $A107, Table2[HomeTeam], AF$1)</f>
        <v>32</v>
      </c>
      <c r="AG107" s="145">
        <f>SUMIFS(Table2[NewPointsAway],Table2[GameDate], "&lt;=" &amp; $A107, Table2[AwayTeam], AG$1)+SUMIFS(Table2[NewPointsHome],Table2[GameDate], "&lt;=" &amp; $A107, Table2[HomeTeam], AG$1)</f>
        <v>40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42</v>
      </c>
      <c r="C108" s="145">
        <f>SUMIFS(Table2[NewPointsAway],Table2[GameDate], "&lt;=" &amp; $A108, Table2[AwayTeam], C$1)+SUMIFS(Table2[NewPointsHome],Table2[GameDate], "&lt;=" &amp; $A108, Table2[HomeTeam], C$1)</f>
        <v>40</v>
      </c>
      <c r="D108" s="145">
        <f>SUMIFS(Table2[NewPointsAway],Table2[GameDate], "&lt;=" &amp; $A108, Table2[AwayTeam], D$1)+SUMIFS(Table2[NewPointsHome],Table2[GameDate], "&lt;=" &amp; $A108, Table2[HomeTeam], D$1)</f>
        <v>32</v>
      </c>
      <c r="E108" s="145">
        <f>SUMIFS(Table2[NewPointsAway],Table2[GameDate], "&lt;=" &amp; $A108, Table2[AwayTeam], E$1)+SUMIFS(Table2[NewPointsHome],Table2[GameDate], "&lt;=" &amp; $A108, Table2[HomeTeam], E$1)</f>
        <v>44</v>
      </c>
      <c r="F108" s="145">
        <f>SUMIFS(Table2[NewPointsAway],Table2[GameDate], "&lt;=" &amp; $A108, Table2[AwayTeam], F$1)+SUMIFS(Table2[NewPointsHome],Table2[GameDate], "&lt;=" &amp; $A108, Table2[HomeTeam], F$1)</f>
        <v>34</v>
      </c>
      <c r="G108" s="145">
        <f>SUMIFS(Table2[NewPointsAway],Table2[GameDate], "&lt;=" &amp; $A108, Table2[AwayTeam], G$1)+SUMIFS(Table2[NewPointsHome],Table2[GameDate], "&lt;=" &amp; $A108, Table2[HomeTeam], G$1)</f>
        <v>30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55</v>
      </c>
      <c r="J108" s="145">
        <f>SUMIFS(Table2[NewPointsAway],Table2[GameDate], "&lt;=" &amp; $A108, Table2[AwayTeam], J$1)+SUMIFS(Table2[NewPointsHome],Table2[GameDate], "&lt;=" &amp; $A108, Table2[HomeTeam], J$1)</f>
        <v>49</v>
      </c>
      <c r="K108" s="145">
        <f>SUMIFS(Table2[NewPointsAway],Table2[GameDate], "&lt;=" &amp; $A108, Table2[AwayTeam], K$1)+SUMIFS(Table2[NewPointsHome],Table2[GameDate], "&lt;=" &amp; $A108, Table2[HomeTeam], K$1)</f>
        <v>41</v>
      </c>
      <c r="L108" s="145">
        <f>SUMIFS(Table2[NewPointsAway],Table2[GameDate], "&lt;=" &amp; $A108, Table2[AwayTeam], L$1)+SUMIFS(Table2[NewPointsHome],Table2[GameDate], "&lt;=" &amp; $A108, Table2[HomeTeam], L$1)</f>
        <v>38</v>
      </c>
      <c r="M108" s="145">
        <f>SUMIFS(Table2[NewPointsAway],Table2[GameDate], "&lt;=" &amp; $A108, Table2[AwayTeam], M$1)+SUMIFS(Table2[NewPointsHome],Table2[GameDate], "&lt;=" &amp; $A108, Table2[HomeTeam], M$1)</f>
        <v>36</v>
      </c>
      <c r="N108" s="145">
        <f>SUMIFS(Table2[NewPointsAway],Table2[GameDate], "&lt;=" &amp; $A108, Table2[AwayTeam], N$1)+SUMIFS(Table2[NewPointsHome],Table2[GameDate], "&lt;=" &amp; $A108, Table2[HomeTeam], N$1)</f>
        <v>37</v>
      </c>
      <c r="O108" s="145">
        <f>SUMIFS(Table2[NewPointsAway],Table2[GameDate], "&lt;=" &amp; $A108, Table2[AwayTeam], O$1)+SUMIFS(Table2[NewPointsHome],Table2[GameDate], "&lt;=" &amp; $A108, Table2[HomeTeam], O$1)</f>
        <v>45</v>
      </c>
      <c r="P108" s="145">
        <f>SUMIFS(Table2[NewPointsAway],Table2[GameDate], "&lt;=" &amp; $A108, Table2[AwayTeam], P$1)+SUMIFS(Table2[NewPointsHome],Table2[GameDate], "&lt;=" &amp; $A108, Table2[HomeTeam], P$1)</f>
        <v>38</v>
      </c>
      <c r="Q108" s="145">
        <f>SUMIFS(Table2[NewPointsAway],Table2[GameDate], "&lt;=" &amp; $A108, Table2[AwayTeam], Q$1)+SUMIFS(Table2[NewPointsHome],Table2[GameDate], "&lt;=" &amp; $A108, Table2[HomeTeam], Q$1)</f>
        <v>37</v>
      </c>
      <c r="R108" s="145">
        <f>SUMIFS(Table2[NewPointsAway],Table2[GameDate], "&lt;=" &amp; $A108, Table2[AwayTeam], R$1)+SUMIFS(Table2[NewPointsHome],Table2[GameDate], "&lt;=" &amp; $A108, Table2[HomeTeam], R$1)</f>
        <v>30</v>
      </c>
      <c r="S108" s="145">
        <f>SUMIFS(Table2[NewPointsAway],Table2[GameDate], "&lt;=" &amp; $A108, Table2[AwayTeam], S$1)+SUMIFS(Table2[NewPointsHome],Table2[GameDate], "&lt;=" &amp; $A108, Table2[HomeTeam], S$1)</f>
        <v>41</v>
      </c>
      <c r="T108" s="145">
        <f>SUMIFS(Table2[NewPointsAway],Table2[GameDate], "&lt;=" &amp; $A108, Table2[AwayTeam], T$1)+SUMIFS(Table2[NewPointsHome],Table2[GameDate], "&lt;=" &amp; $A108, Table2[HomeTeam], T$1)</f>
        <v>36</v>
      </c>
      <c r="U108" s="145">
        <f>SUMIFS(Table2[NewPointsAway],Table2[GameDate], "&lt;=" &amp; $A108, Table2[AwayTeam], U$1)+SUMIFS(Table2[NewPointsHome],Table2[GameDate], "&lt;=" &amp; $A108, Table2[HomeTeam], U$1)</f>
        <v>34</v>
      </c>
      <c r="V108" s="145">
        <f>SUMIFS(Table2[NewPointsAway],Table2[GameDate], "&lt;=" &amp; $A108, Table2[AwayTeam], V$1)+SUMIFS(Table2[NewPointsHome],Table2[GameDate], "&lt;=" &amp; $A108, Table2[HomeTeam], V$1)</f>
        <v>39</v>
      </c>
      <c r="W108" s="145">
        <f>SUMIFS(Table2[NewPointsAway],Table2[GameDate], "&lt;=" &amp; $A108, Table2[AwayTeam], W$1)+SUMIFS(Table2[NewPointsHome],Table2[GameDate], "&lt;=" &amp; $A108, Table2[HomeTeam], W$1)</f>
        <v>37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37</v>
      </c>
      <c r="Z108" s="145">
        <f>SUMIFS(Table2[NewPointsAway],Table2[GameDate], "&lt;=" &amp; $A108, Table2[AwayTeam], Z$1)+SUMIFS(Table2[NewPointsHome],Table2[GameDate], "&lt;=" &amp; $A108, Table2[HomeTeam], Z$1)</f>
        <v>32</v>
      </c>
      <c r="AA108" s="145">
        <f>SUMIFS(Table2[NewPointsAway],Table2[GameDate], "&lt;=" &amp; $A108, Table2[AwayTeam], AA$1)+SUMIFS(Table2[NewPointsHome],Table2[GameDate], "&lt;=" &amp; $A108, Table2[HomeTeam], AA$1)</f>
        <v>39</v>
      </c>
      <c r="AB108" s="145">
        <f>SUMIFS(Table2[NewPointsAway],Table2[GameDate], "&lt;=" &amp; $A108, Table2[AwayTeam], AB$1)+SUMIFS(Table2[NewPointsHome],Table2[GameDate], "&lt;=" &amp; $A108, Table2[HomeTeam], AB$1)</f>
        <v>35</v>
      </c>
      <c r="AC108" s="145">
        <f>SUMIFS(Table2[NewPointsAway],Table2[GameDate], "&lt;=" &amp; $A108, Table2[AwayTeam], AC$1)+SUMIFS(Table2[NewPointsHome],Table2[GameDate], "&lt;=" &amp; $A108, Table2[HomeTeam], AC$1)</f>
        <v>35</v>
      </c>
      <c r="AD108" s="145">
        <f>SUMIFS(Table2[NewPointsAway],Table2[GameDate], "&lt;=" &amp; $A108, Table2[AwayTeam], AD$1)+SUMIFS(Table2[NewPointsHome],Table2[GameDate], "&lt;=" &amp; $A108, Table2[HomeTeam], AD$1)</f>
        <v>29</v>
      </c>
      <c r="AE108" s="145">
        <f>SUMIFS(Table2[NewPointsAway],Table2[GameDate], "&lt;=" &amp; $A108, Table2[AwayTeam], AE$1)+SUMIFS(Table2[NewPointsHome],Table2[GameDate], "&lt;=" &amp; $A108, Table2[HomeTeam], AE$1)</f>
        <v>41</v>
      </c>
      <c r="AF108" s="145">
        <f>SUMIFS(Table2[NewPointsAway],Table2[GameDate], "&lt;=" &amp; $A108, Table2[AwayTeam], AF$1)+SUMIFS(Table2[NewPointsHome],Table2[GameDate], "&lt;=" &amp; $A108, Table2[HomeTeam], AF$1)</f>
        <v>32</v>
      </c>
      <c r="AG108" s="145">
        <f>SUMIFS(Table2[NewPointsAway],Table2[GameDate], "&lt;=" &amp; $A108, Table2[AwayTeam], AG$1)+SUMIFS(Table2[NewPointsHome],Table2[GameDate], "&lt;=" &amp; $A108, Table2[HomeTeam], AG$1)</f>
        <v>40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42</v>
      </c>
      <c r="C109" s="145">
        <f>SUMIFS(Table2[NewPointsAway],Table2[GameDate], "&lt;=" &amp; $A109, Table2[AwayTeam], C$1)+SUMIFS(Table2[NewPointsHome],Table2[GameDate], "&lt;=" &amp; $A109, Table2[HomeTeam], C$1)</f>
        <v>40</v>
      </c>
      <c r="D109" s="145">
        <f>SUMIFS(Table2[NewPointsAway],Table2[GameDate], "&lt;=" &amp; $A109, Table2[AwayTeam], D$1)+SUMIFS(Table2[NewPointsHome],Table2[GameDate], "&lt;=" &amp; $A109, Table2[HomeTeam], D$1)</f>
        <v>32</v>
      </c>
      <c r="E109" s="145">
        <f>SUMIFS(Table2[NewPointsAway],Table2[GameDate], "&lt;=" &amp; $A109, Table2[AwayTeam], E$1)+SUMIFS(Table2[NewPointsHome],Table2[GameDate], "&lt;=" &amp; $A109, Table2[HomeTeam], E$1)</f>
        <v>44</v>
      </c>
      <c r="F109" s="145">
        <f>SUMIFS(Table2[NewPointsAway],Table2[GameDate], "&lt;=" &amp; $A109, Table2[AwayTeam], F$1)+SUMIFS(Table2[NewPointsHome],Table2[GameDate], "&lt;=" &amp; $A109, Table2[HomeTeam], F$1)</f>
        <v>34</v>
      </c>
      <c r="G109" s="145">
        <f>SUMIFS(Table2[NewPointsAway],Table2[GameDate], "&lt;=" &amp; $A109, Table2[AwayTeam], G$1)+SUMIFS(Table2[NewPointsHome],Table2[GameDate], "&lt;=" &amp; $A109, Table2[HomeTeam], G$1)</f>
        <v>30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55</v>
      </c>
      <c r="J109" s="145">
        <f>SUMIFS(Table2[NewPointsAway],Table2[GameDate], "&lt;=" &amp; $A109, Table2[AwayTeam], J$1)+SUMIFS(Table2[NewPointsHome],Table2[GameDate], "&lt;=" &amp; $A109, Table2[HomeTeam], J$1)</f>
        <v>49</v>
      </c>
      <c r="K109" s="145">
        <f>SUMIFS(Table2[NewPointsAway],Table2[GameDate], "&lt;=" &amp; $A109, Table2[AwayTeam], K$1)+SUMIFS(Table2[NewPointsHome],Table2[GameDate], "&lt;=" &amp; $A109, Table2[HomeTeam], K$1)</f>
        <v>41</v>
      </c>
      <c r="L109" s="145">
        <f>SUMIFS(Table2[NewPointsAway],Table2[GameDate], "&lt;=" &amp; $A109, Table2[AwayTeam], L$1)+SUMIFS(Table2[NewPointsHome],Table2[GameDate], "&lt;=" &amp; $A109, Table2[HomeTeam], L$1)</f>
        <v>38</v>
      </c>
      <c r="M109" s="145">
        <f>SUMIFS(Table2[NewPointsAway],Table2[GameDate], "&lt;=" &amp; $A109, Table2[AwayTeam], M$1)+SUMIFS(Table2[NewPointsHome],Table2[GameDate], "&lt;=" &amp; $A109, Table2[HomeTeam], M$1)</f>
        <v>36</v>
      </c>
      <c r="N109" s="145">
        <f>SUMIFS(Table2[NewPointsAway],Table2[GameDate], "&lt;=" &amp; $A109, Table2[AwayTeam], N$1)+SUMIFS(Table2[NewPointsHome],Table2[GameDate], "&lt;=" &amp; $A109, Table2[HomeTeam], N$1)</f>
        <v>37</v>
      </c>
      <c r="O109" s="145">
        <f>SUMIFS(Table2[NewPointsAway],Table2[GameDate], "&lt;=" &amp; $A109, Table2[AwayTeam], O$1)+SUMIFS(Table2[NewPointsHome],Table2[GameDate], "&lt;=" &amp; $A109, Table2[HomeTeam], O$1)</f>
        <v>45</v>
      </c>
      <c r="P109" s="145">
        <f>SUMIFS(Table2[NewPointsAway],Table2[GameDate], "&lt;=" &amp; $A109, Table2[AwayTeam], P$1)+SUMIFS(Table2[NewPointsHome],Table2[GameDate], "&lt;=" &amp; $A109, Table2[HomeTeam], P$1)</f>
        <v>38</v>
      </c>
      <c r="Q109" s="145">
        <f>SUMIFS(Table2[NewPointsAway],Table2[GameDate], "&lt;=" &amp; $A109, Table2[AwayTeam], Q$1)+SUMIFS(Table2[NewPointsHome],Table2[GameDate], "&lt;=" &amp; $A109, Table2[HomeTeam], Q$1)</f>
        <v>37</v>
      </c>
      <c r="R109" s="145">
        <f>SUMIFS(Table2[NewPointsAway],Table2[GameDate], "&lt;=" &amp; $A109, Table2[AwayTeam], R$1)+SUMIFS(Table2[NewPointsHome],Table2[GameDate], "&lt;=" &amp; $A109, Table2[HomeTeam], R$1)</f>
        <v>30</v>
      </c>
      <c r="S109" s="145">
        <f>SUMIFS(Table2[NewPointsAway],Table2[GameDate], "&lt;=" &amp; $A109, Table2[AwayTeam], S$1)+SUMIFS(Table2[NewPointsHome],Table2[GameDate], "&lt;=" &amp; $A109, Table2[HomeTeam], S$1)</f>
        <v>41</v>
      </c>
      <c r="T109" s="145">
        <f>SUMIFS(Table2[NewPointsAway],Table2[GameDate], "&lt;=" &amp; $A109, Table2[AwayTeam], T$1)+SUMIFS(Table2[NewPointsHome],Table2[GameDate], "&lt;=" &amp; $A109, Table2[HomeTeam], T$1)</f>
        <v>36</v>
      </c>
      <c r="U109" s="145">
        <f>SUMIFS(Table2[NewPointsAway],Table2[GameDate], "&lt;=" &amp; $A109, Table2[AwayTeam], U$1)+SUMIFS(Table2[NewPointsHome],Table2[GameDate], "&lt;=" &amp; $A109, Table2[HomeTeam], U$1)</f>
        <v>34</v>
      </c>
      <c r="V109" s="145">
        <f>SUMIFS(Table2[NewPointsAway],Table2[GameDate], "&lt;=" &amp; $A109, Table2[AwayTeam], V$1)+SUMIFS(Table2[NewPointsHome],Table2[GameDate], "&lt;=" &amp; $A109, Table2[HomeTeam], V$1)</f>
        <v>39</v>
      </c>
      <c r="W109" s="145">
        <f>SUMIFS(Table2[NewPointsAway],Table2[GameDate], "&lt;=" &amp; $A109, Table2[AwayTeam], W$1)+SUMIFS(Table2[NewPointsHome],Table2[GameDate], "&lt;=" &amp; $A109, Table2[HomeTeam], W$1)</f>
        <v>37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37</v>
      </c>
      <c r="Z109" s="145">
        <f>SUMIFS(Table2[NewPointsAway],Table2[GameDate], "&lt;=" &amp; $A109, Table2[AwayTeam], Z$1)+SUMIFS(Table2[NewPointsHome],Table2[GameDate], "&lt;=" &amp; $A109, Table2[HomeTeam], Z$1)</f>
        <v>32</v>
      </c>
      <c r="AA109" s="145">
        <f>SUMIFS(Table2[NewPointsAway],Table2[GameDate], "&lt;=" &amp; $A109, Table2[AwayTeam], AA$1)+SUMIFS(Table2[NewPointsHome],Table2[GameDate], "&lt;=" &amp; $A109, Table2[HomeTeam], AA$1)</f>
        <v>39</v>
      </c>
      <c r="AB109" s="145">
        <f>SUMIFS(Table2[NewPointsAway],Table2[GameDate], "&lt;=" &amp; $A109, Table2[AwayTeam], AB$1)+SUMIFS(Table2[NewPointsHome],Table2[GameDate], "&lt;=" &amp; $A109, Table2[HomeTeam], AB$1)</f>
        <v>35</v>
      </c>
      <c r="AC109" s="145">
        <f>SUMIFS(Table2[NewPointsAway],Table2[GameDate], "&lt;=" &amp; $A109, Table2[AwayTeam], AC$1)+SUMIFS(Table2[NewPointsHome],Table2[GameDate], "&lt;=" &amp; $A109, Table2[HomeTeam], AC$1)</f>
        <v>35</v>
      </c>
      <c r="AD109" s="145">
        <f>SUMIFS(Table2[NewPointsAway],Table2[GameDate], "&lt;=" &amp; $A109, Table2[AwayTeam], AD$1)+SUMIFS(Table2[NewPointsHome],Table2[GameDate], "&lt;=" &amp; $A109, Table2[HomeTeam], AD$1)</f>
        <v>29</v>
      </c>
      <c r="AE109" s="145">
        <f>SUMIFS(Table2[NewPointsAway],Table2[GameDate], "&lt;=" &amp; $A109, Table2[AwayTeam], AE$1)+SUMIFS(Table2[NewPointsHome],Table2[GameDate], "&lt;=" &amp; $A109, Table2[HomeTeam], AE$1)</f>
        <v>41</v>
      </c>
      <c r="AF109" s="145">
        <f>SUMIFS(Table2[NewPointsAway],Table2[GameDate], "&lt;=" &amp; $A109, Table2[AwayTeam], AF$1)+SUMIFS(Table2[NewPointsHome],Table2[GameDate], "&lt;=" &amp; $A109, Table2[HomeTeam], AF$1)</f>
        <v>32</v>
      </c>
      <c r="AG109" s="145">
        <f>SUMIFS(Table2[NewPointsAway],Table2[GameDate], "&lt;=" &amp; $A109, Table2[AwayTeam], AG$1)+SUMIFS(Table2[NewPointsHome],Table2[GameDate], "&lt;=" &amp; $A109, Table2[HomeTeam], AG$1)</f>
        <v>40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42</v>
      </c>
      <c r="C110" s="145">
        <f>SUMIFS(Table2[NewPointsAway],Table2[GameDate], "&lt;=" &amp; $A110, Table2[AwayTeam], C$1)+SUMIFS(Table2[NewPointsHome],Table2[GameDate], "&lt;=" &amp; $A110, Table2[HomeTeam], C$1)</f>
        <v>40</v>
      </c>
      <c r="D110" s="145">
        <f>SUMIFS(Table2[NewPointsAway],Table2[GameDate], "&lt;=" &amp; $A110, Table2[AwayTeam], D$1)+SUMIFS(Table2[NewPointsHome],Table2[GameDate], "&lt;=" &amp; $A110, Table2[HomeTeam], D$1)</f>
        <v>32</v>
      </c>
      <c r="E110" s="145">
        <f>SUMIFS(Table2[NewPointsAway],Table2[GameDate], "&lt;=" &amp; $A110, Table2[AwayTeam], E$1)+SUMIFS(Table2[NewPointsHome],Table2[GameDate], "&lt;=" &amp; $A110, Table2[HomeTeam], E$1)</f>
        <v>44</v>
      </c>
      <c r="F110" s="145">
        <f>SUMIFS(Table2[NewPointsAway],Table2[GameDate], "&lt;=" &amp; $A110, Table2[AwayTeam], F$1)+SUMIFS(Table2[NewPointsHome],Table2[GameDate], "&lt;=" &amp; $A110, Table2[HomeTeam], F$1)</f>
        <v>34</v>
      </c>
      <c r="G110" s="145">
        <f>SUMIFS(Table2[NewPointsAway],Table2[GameDate], "&lt;=" &amp; $A110, Table2[AwayTeam], G$1)+SUMIFS(Table2[NewPointsHome],Table2[GameDate], "&lt;=" &amp; $A110, Table2[HomeTeam], G$1)</f>
        <v>30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55</v>
      </c>
      <c r="J110" s="145">
        <f>SUMIFS(Table2[NewPointsAway],Table2[GameDate], "&lt;=" &amp; $A110, Table2[AwayTeam], J$1)+SUMIFS(Table2[NewPointsHome],Table2[GameDate], "&lt;=" &amp; $A110, Table2[HomeTeam], J$1)</f>
        <v>49</v>
      </c>
      <c r="K110" s="145">
        <f>SUMIFS(Table2[NewPointsAway],Table2[GameDate], "&lt;=" &amp; $A110, Table2[AwayTeam], K$1)+SUMIFS(Table2[NewPointsHome],Table2[GameDate], "&lt;=" &amp; $A110, Table2[HomeTeam], K$1)</f>
        <v>41</v>
      </c>
      <c r="L110" s="145">
        <f>SUMIFS(Table2[NewPointsAway],Table2[GameDate], "&lt;=" &amp; $A110, Table2[AwayTeam], L$1)+SUMIFS(Table2[NewPointsHome],Table2[GameDate], "&lt;=" &amp; $A110, Table2[HomeTeam], L$1)</f>
        <v>38</v>
      </c>
      <c r="M110" s="145">
        <f>SUMIFS(Table2[NewPointsAway],Table2[GameDate], "&lt;=" &amp; $A110, Table2[AwayTeam], M$1)+SUMIFS(Table2[NewPointsHome],Table2[GameDate], "&lt;=" &amp; $A110, Table2[HomeTeam], M$1)</f>
        <v>36</v>
      </c>
      <c r="N110" s="145">
        <f>SUMIFS(Table2[NewPointsAway],Table2[GameDate], "&lt;=" &amp; $A110, Table2[AwayTeam], N$1)+SUMIFS(Table2[NewPointsHome],Table2[GameDate], "&lt;=" &amp; $A110, Table2[HomeTeam], N$1)</f>
        <v>37</v>
      </c>
      <c r="O110" s="145">
        <f>SUMIFS(Table2[NewPointsAway],Table2[GameDate], "&lt;=" &amp; $A110, Table2[AwayTeam], O$1)+SUMIFS(Table2[NewPointsHome],Table2[GameDate], "&lt;=" &amp; $A110, Table2[HomeTeam], O$1)</f>
        <v>45</v>
      </c>
      <c r="P110" s="145">
        <f>SUMIFS(Table2[NewPointsAway],Table2[GameDate], "&lt;=" &amp; $A110, Table2[AwayTeam], P$1)+SUMIFS(Table2[NewPointsHome],Table2[GameDate], "&lt;=" &amp; $A110, Table2[HomeTeam], P$1)</f>
        <v>38</v>
      </c>
      <c r="Q110" s="145">
        <f>SUMIFS(Table2[NewPointsAway],Table2[GameDate], "&lt;=" &amp; $A110, Table2[AwayTeam], Q$1)+SUMIFS(Table2[NewPointsHome],Table2[GameDate], "&lt;=" &amp; $A110, Table2[HomeTeam], Q$1)</f>
        <v>37</v>
      </c>
      <c r="R110" s="145">
        <f>SUMIFS(Table2[NewPointsAway],Table2[GameDate], "&lt;=" &amp; $A110, Table2[AwayTeam], R$1)+SUMIFS(Table2[NewPointsHome],Table2[GameDate], "&lt;=" &amp; $A110, Table2[HomeTeam], R$1)</f>
        <v>30</v>
      </c>
      <c r="S110" s="145">
        <f>SUMIFS(Table2[NewPointsAway],Table2[GameDate], "&lt;=" &amp; $A110, Table2[AwayTeam], S$1)+SUMIFS(Table2[NewPointsHome],Table2[GameDate], "&lt;=" &amp; $A110, Table2[HomeTeam], S$1)</f>
        <v>41</v>
      </c>
      <c r="T110" s="145">
        <f>SUMIFS(Table2[NewPointsAway],Table2[GameDate], "&lt;=" &amp; $A110, Table2[AwayTeam], T$1)+SUMIFS(Table2[NewPointsHome],Table2[GameDate], "&lt;=" &amp; $A110, Table2[HomeTeam], T$1)</f>
        <v>36</v>
      </c>
      <c r="U110" s="145">
        <f>SUMIFS(Table2[NewPointsAway],Table2[GameDate], "&lt;=" &amp; $A110, Table2[AwayTeam], U$1)+SUMIFS(Table2[NewPointsHome],Table2[GameDate], "&lt;=" &amp; $A110, Table2[HomeTeam], U$1)</f>
        <v>34</v>
      </c>
      <c r="V110" s="145">
        <f>SUMIFS(Table2[NewPointsAway],Table2[GameDate], "&lt;=" &amp; $A110, Table2[AwayTeam], V$1)+SUMIFS(Table2[NewPointsHome],Table2[GameDate], "&lt;=" &amp; $A110, Table2[HomeTeam], V$1)</f>
        <v>39</v>
      </c>
      <c r="W110" s="145">
        <f>SUMIFS(Table2[NewPointsAway],Table2[GameDate], "&lt;=" &amp; $A110, Table2[AwayTeam], W$1)+SUMIFS(Table2[NewPointsHome],Table2[GameDate], "&lt;=" &amp; $A110, Table2[HomeTeam], W$1)</f>
        <v>37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37</v>
      </c>
      <c r="Z110" s="145">
        <f>SUMIFS(Table2[NewPointsAway],Table2[GameDate], "&lt;=" &amp; $A110, Table2[AwayTeam], Z$1)+SUMIFS(Table2[NewPointsHome],Table2[GameDate], "&lt;=" &amp; $A110, Table2[HomeTeam], Z$1)</f>
        <v>32</v>
      </c>
      <c r="AA110" s="145">
        <f>SUMIFS(Table2[NewPointsAway],Table2[GameDate], "&lt;=" &amp; $A110, Table2[AwayTeam], AA$1)+SUMIFS(Table2[NewPointsHome],Table2[GameDate], "&lt;=" &amp; $A110, Table2[HomeTeam], AA$1)</f>
        <v>39</v>
      </c>
      <c r="AB110" s="145">
        <f>SUMIFS(Table2[NewPointsAway],Table2[GameDate], "&lt;=" &amp; $A110, Table2[AwayTeam], AB$1)+SUMIFS(Table2[NewPointsHome],Table2[GameDate], "&lt;=" &amp; $A110, Table2[HomeTeam], AB$1)</f>
        <v>35</v>
      </c>
      <c r="AC110" s="145">
        <f>SUMIFS(Table2[NewPointsAway],Table2[GameDate], "&lt;=" &amp; $A110, Table2[AwayTeam], AC$1)+SUMIFS(Table2[NewPointsHome],Table2[GameDate], "&lt;=" &amp; $A110, Table2[HomeTeam], AC$1)</f>
        <v>35</v>
      </c>
      <c r="AD110" s="145">
        <f>SUMIFS(Table2[NewPointsAway],Table2[GameDate], "&lt;=" &amp; $A110, Table2[AwayTeam], AD$1)+SUMIFS(Table2[NewPointsHome],Table2[GameDate], "&lt;=" &amp; $A110, Table2[HomeTeam], AD$1)</f>
        <v>29</v>
      </c>
      <c r="AE110" s="145">
        <f>SUMIFS(Table2[NewPointsAway],Table2[GameDate], "&lt;=" &amp; $A110, Table2[AwayTeam], AE$1)+SUMIFS(Table2[NewPointsHome],Table2[GameDate], "&lt;=" &amp; $A110, Table2[HomeTeam], AE$1)</f>
        <v>41</v>
      </c>
      <c r="AF110" s="145">
        <f>SUMIFS(Table2[NewPointsAway],Table2[GameDate], "&lt;=" &amp; $A110, Table2[AwayTeam], AF$1)+SUMIFS(Table2[NewPointsHome],Table2[GameDate], "&lt;=" &amp; $A110, Table2[HomeTeam], AF$1)</f>
        <v>32</v>
      </c>
      <c r="AG110" s="145">
        <f>SUMIFS(Table2[NewPointsAway],Table2[GameDate], "&lt;=" &amp; $A110, Table2[AwayTeam], AG$1)+SUMIFS(Table2[NewPointsHome],Table2[GameDate], "&lt;=" &amp; $A110, Table2[HomeTeam], AG$1)</f>
        <v>40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42</v>
      </c>
      <c r="C111" s="145">
        <f>SUMIFS(Table2[NewPointsAway],Table2[GameDate], "&lt;=" &amp; $A111, Table2[AwayTeam], C$1)+SUMIFS(Table2[NewPointsHome],Table2[GameDate], "&lt;=" &amp; $A111, Table2[HomeTeam], C$1)</f>
        <v>40</v>
      </c>
      <c r="D111" s="145">
        <f>SUMIFS(Table2[NewPointsAway],Table2[GameDate], "&lt;=" &amp; $A111, Table2[AwayTeam], D$1)+SUMIFS(Table2[NewPointsHome],Table2[GameDate], "&lt;=" &amp; $A111, Table2[HomeTeam], D$1)</f>
        <v>32</v>
      </c>
      <c r="E111" s="145">
        <f>SUMIFS(Table2[NewPointsAway],Table2[GameDate], "&lt;=" &amp; $A111, Table2[AwayTeam], E$1)+SUMIFS(Table2[NewPointsHome],Table2[GameDate], "&lt;=" &amp; $A111, Table2[HomeTeam], E$1)</f>
        <v>44</v>
      </c>
      <c r="F111" s="145">
        <f>SUMIFS(Table2[NewPointsAway],Table2[GameDate], "&lt;=" &amp; $A111, Table2[AwayTeam], F$1)+SUMIFS(Table2[NewPointsHome],Table2[GameDate], "&lt;=" &amp; $A111, Table2[HomeTeam], F$1)</f>
        <v>34</v>
      </c>
      <c r="G111" s="145">
        <f>SUMIFS(Table2[NewPointsAway],Table2[GameDate], "&lt;=" &amp; $A111, Table2[AwayTeam], G$1)+SUMIFS(Table2[NewPointsHome],Table2[GameDate], "&lt;=" &amp; $A111, Table2[HomeTeam], G$1)</f>
        <v>30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55</v>
      </c>
      <c r="J111" s="145">
        <f>SUMIFS(Table2[NewPointsAway],Table2[GameDate], "&lt;=" &amp; $A111, Table2[AwayTeam], J$1)+SUMIFS(Table2[NewPointsHome],Table2[GameDate], "&lt;=" &amp; $A111, Table2[HomeTeam], J$1)</f>
        <v>49</v>
      </c>
      <c r="K111" s="145">
        <f>SUMIFS(Table2[NewPointsAway],Table2[GameDate], "&lt;=" &amp; $A111, Table2[AwayTeam], K$1)+SUMIFS(Table2[NewPointsHome],Table2[GameDate], "&lt;=" &amp; $A111, Table2[HomeTeam], K$1)</f>
        <v>41</v>
      </c>
      <c r="L111" s="145">
        <f>SUMIFS(Table2[NewPointsAway],Table2[GameDate], "&lt;=" &amp; $A111, Table2[AwayTeam], L$1)+SUMIFS(Table2[NewPointsHome],Table2[GameDate], "&lt;=" &amp; $A111, Table2[HomeTeam], L$1)</f>
        <v>38</v>
      </c>
      <c r="M111" s="145">
        <f>SUMIFS(Table2[NewPointsAway],Table2[GameDate], "&lt;=" &amp; $A111, Table2[AwayTeam], M$1)+SUMIFS(Table2[NewPointsHome],Table2[GameDate], "&lt;=" &amp; $A111, Table2[HomeTeam], M$1)</f>
        <v>36</v>
      </c>
      <c r="N111" s="145">
        <f>SUMIFS(Table2[NewPointsAway],Table2[GameDate], "&lt;=" &amp; $A111, Table2[AwayTeam], N$1)+SUMIFS(Table2[NewPointsHome],Table2[GameDate], "&lt;=" &amp; $A111, Table2[HomeTeam], N$1)</f>
        <v>37</v>
      </c>
      <c r="O111" s="145">
        <f>SUMIFS(Table2[NewPointsAway],Table2[GameDate], "&lt;=" &amp; $A111, Table2[AwayTeam], O$1)+SUMIFS(Table2[NewPointsHome],Table2[GameDate], "&lt;=" &amp; $A111, Table2[HomeTeam], O$1)</f>
        <v>45</v>
      </c>
      <c r="P111" s="145">
        <f>SUMIFS(Table2[NewPointsAway],Table2[GameDate], "&lt;=" &amp; $A111, Table2[AwayTeam], P$1)+SUMIFS(Table2[NewPointsHome],Table2[GameDate], "&lt;=" &amp; $A111, Table2[HomeTeam], P$1)</f>
        <v>38</v>
      </c>
      <c r="Q111" s="145">
        <f>SUMIFS(Table2[NewPointsAway],Table2[GameDate], "&lt;=" &amp; $A111, Table2[AwayTeam], Q$1)+SUMIFS(Table2[NewPointsHome],Table2[GameDate], "&lt;=" &amp; $A111, Table2[HomeTeam], Q$1)</f>
        <v>37</v>
      </c>
      <c r="R111" s="145">
        <f>SUMIFS(Table2[NewPointsAway],Table2[GameDate], "&lt;=" &amp; $A111, Table2[AwayTeam], R$1)+SUMIFS(Table2[NewPointsHome],Table2[GameDate], "&lt;=" &amp; $A111, Table2[HomeTeam], R$1)</f>
        <v>30</v>
      </c>
      <c r="S111" s="145">
        <f>SUMIFS(Table2[NewPointsAway],Table2[GameDate], "&lt;=" &amp; $A111, Table2[AwayTeam], S$1)+SUMIFS(Table2[NewPointsHome],Table2[GameDate], "&lt;=" &amp; $A111, Table2[HomeTeam], S$1)</f>
        <v>41</v>
      </c>
      <c r="T111" s="145">
        <f>SUMIFS(Table2[NewPointsAway],Table2[GameDate], "&lt;=" &amp; $A111, Table2[AwayTeam], T$1)+SUMIFS(Table2[NewPointsHome],Table2[GameDate], "&lt;=" &amp; $A111, Table2[HomeTeam], T$1)</f>
        <v>36</v>
      </c>
      <c r="U111" s="145">
        <f>SUMIFS(Table2[NewPointsAway],Table2[GameDate], "&lt;=" &amp; $A111, Table2[AwayTeam], U$1)+SUMIFS(Table2[NewPointsHome],Table2[GameDate], "&lt;=" &amp; $A111, Table2[HomeTeam], U$1)</f>
        <v>34</v>
      </c>
      <c r="V111" s="145">
        <f>SUMIFS(Table2[NewPointsAway],Table2[GameDate], "&lt;=" &amp; $A111, Table2[AwayTeam], V$1)+SUMIFS(Table2[NewPointsHome],Table2[GameDate], "&lt;=" &amp; $A111, Table2[HomeTeam], V$1)</f>
        <v>39</v>
      </c>
      <c r="W111" s="145">
        <f>SUMIFS(Table2[NewPointsAway],Table2[GameDate], "&lt;=" &amp; $A111, Table2[AwayTeam], W$1)+SUMIFS(Table2[NewPointsHome],Table2[GameDate], "&lt;=" &amp; $A111, Table2[HomeTeam], W$1)</f>
        <v>37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37</v>
      </c>
      <c r="Z111" s="145">
        <f>SUMIFS(Table2[NewPointsAway],Table2[GameDate], "&lt;=" &amp; $A111, Table2[AwayTeam], Z$1)+SUMIFS(Table2[NewPointsHome],Table2[GameDate], "&lt;=" &amp; $A111, Table2[HomeTeam], Z$1)</f>
        <v>32</v>
      </c>
      <c r="AA111" s="145">
        <f>SUMIFS(Table2[NewPointsAway],Table2[GameDate], "&lt;=" &amp; $A111, Table2[AwayTeam], AA$1)+SUMIFS(Table2[NewPointsHome],Table2[GameDate], "&lt;=" &amp; $A111, Table2[HomeTeam], AA$1)</f>
        <v>39</v>
      </c>
      <c r="AB111" s="145">
        <f>SUMIFS(Table2[NewPointsAway],Table2[GameDate], "&lt;=" &amp; $A111, Table2[AwayTeam], AB$1)+SUMIFS(Table2[NewPointsHome],Table2[GameDate], "&lt;=" &amp; $A111, Table2[HomeTeam], AB$1)</f>
        <v>35</v>
      </c>
      <c r="AC111" s="145">
        <f>SUMIFS(Table2[NewPointsAway],Table2[GameDate], "&lt;=" &amp; $A111, Table2[AwayTeam], AC$1)+SUMIFS(Table2[NewPointsHome],Table2[GameDate], "&lt;=" &amp; $A111, Table2[HomeTeam], AC$1)</f>
        <v>35</v>
      </c>
      <c r="AD111" s="145">
        <f>SUMIFS(Table2[NewPointsAway],Table2[GameDate], "&lt;=" &amp; $A111, Table2[AwayTeam], AD$1)+SUMIFS(Table2[NewPointsHome],Table2[GameDate], "&lt;=" &amp; $A111, Table2[HomeTeam], AD$1)</f>
        <v>29</v>
      </c>
      <c r="AE111" s="145">
        <f>SUMIFS(Table2[NewPointsAway],Table2[GameDate], "&lt;=" &amp; $A111, Table2[AwayTeam], AE$1)+SUMIFS(Table2[NewPointsHome],Table2[GameDate], "&lt;=" &amp; $A111, Table2[HomeTeam], AE$1)</f>
        <v>41</v>
      </c>
      <c r="AF111" s="145">
        <f>SUMIFS(Table2[NewPointsAway],Table2[GameDate], "&lt;=" &amp; $A111, Table2[AwayTeam], AF$1)+SUMIFS(Table2[NewPointsHome],Table2[GameDate], "&lt;=" &amp; $A111, Table2[HomeTeam], AF$1)</f>
        <v>32</v>
      </c>
      <c r="AG111" s="145">
        <f>SUMIFS(Table2[NewPointsAway],Table2[GameDate], "&lt;=" &amp; $A111, Table2[AwayTeam], AG$1)+SUMIFS(Table2[NewPointsHome],Table2[GameDate], "&lt;=" &amp; $A111, Table2[HomeTeam], AG$1)</f>
        <v>40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42</v>
      </c>
      <c r="C112" s="145">
        <f>SUMIFS(Table2[NewPointsAway],Table2[GameDate], "&lt;=" &amp; $A112, Table2[AwayTeam], C$1)+SUMIFS(Table2[NewPointsHome],Table2[GameDate], "&lt;=" &amp; $A112, Table2[HomeTeam], C$1)</f>
        <v>40</v>
      </c>
      <c r="D112" s="145">
        <f>SUMIFS(Table2[NewPointsAway],Table2[GameDate], "&lt;=" &amp; $A112, Table2[AwayTeam], D$1)+SUMIFS(Table2[NewPointsHome],Table2[GameDate], "&lt;=" &amp; $A112, Table2[HomeTeam], D$1)</f>
        <v>32</v>
      </c>
      <c r="E112" s="145">
        <f>SUMIFS(Table2[NewPointsAway],Table2[GameDate], "&lt;=" &amp; $A112, Table2[AwayTeam], E$1)+SUMIFS(Table2[NewPointsHome],Table2[GameDate], "&lt;=" &amp; $A112, Table2[HomeTeam], E$1)</f>
        <v>44</v>
      </c>
      <c r="F112" s="145">
        <f>SUMIFS(Table2[NewPointsAway],Table2[GameDate], "&lt;=" &amp; $A112, Table2[AwayTeam], F$1)+SUMIFS(Table2[NewPointsHome],Table2[GameDate], "&lt;=" &amp; $A112, Table2[HomeTeam], F$1)</f>
        <v>34</v>
      </c>
      <c r="G112" s="145">
        <f>SUMIFS(Table2[NewPointsAway],Table2[GameDate], "&lt;=" &amp; $A112, Table2[AwayTeam], G$1)+SUMIFS(Table2[NewPointsHome],Table2[GameDate], "&lt;=" &amp; $A112, Table2[HomeTeam], G$1)</f>
        <v>30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55</v>
      </c>
      <c r="J112" s="145">
        <f>SUMIFS(Table2[NewPointsAway],Table2[GameDate], "&lt;=" &amp; $A112, Table2[AwayTeam], J$1)+SUMIFS(Table2[NewPointsHome],Table2[GameDate], "&lt;=" &amp; $A112, Table2[HomeTeam], J$1)</f>
        <v>49</v>
      </c>
      <c r="K112" s="145">
        <f>SUMIFS(Table2[NewPointsAway],Table2[GameDate], "&lt;=" &amp; $A112, Table2[AwayTeam], K$1)+SUMIFS(Table2[NewPointsHome],Table2[GameDate], "&lt;=" &amp; $A112, Table2[HomeTeam], K$1)</f>
        <v>41</v>
      </c>
      <c r="L112" s="145">
        <f>SUMIFS(Table2[NewPointsAway],Table2[GameDate], "&lt;=" &amp; $A112, Table2[AwayTeam], L$1)+SUMIFS(Table2[NewPointsHome],Table2[GameDate], "&lt;=" &amp; $A112, Table2[HomeTeam], L$1)</f>
        <v>38</v>
      </c>
      <c r="M112" s="145">
        <f>SUMIFS(Table2[NewPointsAway],Table2[GameDate], "&lt;=" &amp; $A112, Table2[AwayTeam], M$1)+SUMIFS(Table2[NewPointsHome],Table2[GameDate], "&lt;=" &amp; $A112, Table2[HomeTeam], M$1)</f>
        <v>36</v>
      </c>
      <c r="N112" s="145">
        <f>SUMIFS(Table2[NewPointsAway],Table2[GameDate], "&lt;=" &amp; $A112, Table2[AwayTeam], N$1)+SUMIFS(Table2[NewPointsHome],Table2[GameDate], "&lt;=" &amp; $A112, Table2[HomeTeam], N$1)</f>
        <v>37</v>
      </c>
      <c r="O112" s="145">
        <f>SUMIFS(Table2[NewPointsAway],Table2[GameDate], "&lt;=" &amp; $A112, Table2[AwayTeam], O$1)+SUMIFS(Table2[NewPointsHome],Table2[GameDate], "&lt;=" &amp; $A112, Table2[HomeTeam], O$1)</f>
        <v>45</v>
      </c>
      <c r="P112" s="145">
        <f>SUMIFS(Table2[NewPointsAway],Table2[GameDate], "&lt;=" &amp; $A112, Table2[AwayTeam], P$1)+SUMIFS(Table2[NewPointsHome],Table2[GameDate], "&lt;=" &amp; $A112, Table2[HomeTeam], P$1)</f>
        <v>38</v>
      </c>
      <c r="Q112" s="145">
        <f>SUMIFS(Table2[NewPointsAway],Table2[GameDate], "&lt;=" &amp; $A112, Table2[AwayTeam], Q$1)+SUMIFS(Table2[NewPointsHome],Table2[GameDate], "&lt;=" &amp; $A112, Table2[HomeTeam], Q$1)</f>
        <v>37</v>
      </c>
      <c r="R112" s="145">
        <f>SUMIFS(Table2[NewPointsAway],Table2[GameDate], "&lt;=" &amp; $A112, Table2[AwayTeam], R$1)+SUMIFS(Table2[NewPointsHome],Table2[GameDate], "&lt;=" &amp; $A112, Table2[HomeTeam], R$1)</f>
        <v>30</v>
      </c>
      <c r="S112" s="145">
        <f>SUMIFS(Table2[NewPointsAway],Table2[GameDate], "&lt;=" &amp; $A112, Table2[AwayTeam], S$1)+SUMIFS(Table2[NewPointsHome],Table2[GameDate], "&lt;=" &amp; $A112, Table2[HomeTeam], S$1)</f>
        <v>41</v>
      </c>
      <c r="T112" s="145">
        <f>SUMIFS(Table2[NewPointsAway],Table2[GameDate], "&lt;=" &amp; $A112, Table2[AwayTeam], T$1)+SUMIFS(Table2[NewPointsHome],Table2[GameDate], "&lt;=" &amp; $A112, Table2[HomeTeam], T$1)</f>
        <v>36</v>
      </c>
      <c r="U112" s="145">
        <f>SUMIFS(Table2[NewPointsAway],Table2[GameDate], "&lt;=" &amp; $A112, Table2[AwayTeam], U$1)+SUMIFS(Table2[NewPointsHome],Table2[GameDate], "&lt;=" &amp; $A112, Table2[HomeTeam], U$1)</f>
        <v>34</v>
      </c>
      <c r="V112" s="145">
        <f>SUMIFS(Table2[NewPointsAway],Table2[GameDate], "&lt;=" &amp; $A112, Table2[AwayTeam], V$1)+SUMIFS(Table2[NewPointsHome],Table2[GameDate], "&lt;=" &amp; $A112, Table2[HomeTeam], V$1)</f>
        <v>39</v>
      </c>
      <c r="W112" s="145">
        <f>SUMIFS(Table2[NewPointsAway],Table2[GameDate], "&lt;=" &amp; $A112, Table2[AwayTeam], W$1)+SUMIFS(Table2[NewPointsHome],Table2[GameDate], "&lt;=" &amp; $A112, Table2[HomeTeam], W$1)</f>
        <v>37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37</v>
      </c>
      <c r="Z112" s="145">
        <f>SUMIFS(Table2[NewPointsAway],Table2[GameDate], "&lt;=" &amp; $A112, Table2[AwayTeam], Z$1)+SUMIFS(Table2[NewPointsHome],Table2[GameDate], "&lt;=" &amp; $A112, Table2[HomeTeam], Z$1)</f>
        <v>32</v>
      </c>
      <c r="AA112" s="145">
        <f>SUMIFS(Table2[NewPointsAway],Table2[GameDate], "&lt;=" &amp; $A112, Table2[AwayTeam], AA$1)+SUMIFS(Table2[NewPointsHome],Table2[GameDate], "&lt;=" &amp; $A112, Table2[HomeTeam], AA$1)</f>
        <v>39</v>
      </c>
      <c r="AB112" s="145">
        <f>SUMIFS(Table2[NewPointsAway],Table2[GameDate], "&lt;=" &amp; $A112, Table2[AwayTeam], AB$1)+SUMIFS(Table2[NewPointsHome],Table2[GameDate], "&lt;=" &amp; $A112, Table2[HomeTeam], AB$1)</f>
        <v>35</v>
      </c>
      <c r="AC112" s="145">
        <f>SUMIFS(Table2[NewPointsAway],Table2[GameDate], "&lt;=" &amp; $A112, Table2[AwayTeam], AC$1)+SUMIFS(Table2[NewPointsHome],Table2[GameDate], "&lt;=" &amp; $A112, Table2[HomeTeam], AC$1)</f>
        <v>35</v>
      </c>
      <c r="AD112" s="145">
        <f>SUMIFS(Table2[NewPointsAway],Table2[GameDate], "&lt;=" &amp; $A112, Table2[AwayTeam], AD$1)+SUMIFS(Table2[NewPointsHome],Table2[GameDate], "&lt;=" &amp; $A112, Table2[HomeTeam], AD$1)</f>
        <v>29</v>
      </c>
      <c r="AE112" s="145">
        <f>SUMIFS(Table2[NewPointsAway],Table2[GameDate], "&lt;=" &amp; $A112, Table2[AwayTeam], AE$1)+SUMIFS(Table2[NewPointsHome],Table2[GameDate], "&lt;=" &amp; $A112, Table2[HomeTeam], AE$1)</f>
        <v>41</v>
      </c>
      <c r="AF112" s="145">
        <f>SUMIFS(Table2[NewPointsAway],Table2[GameDate], "&lt;=" &amp; $A112, Table2[AwayTeam], AF$1)+SUMIFS(Table2[NewPointsHome],Table2[GameDate], "&lt;=" &amp; $A112, Table2[HomeTeam], AF$1)</f>
        <v>32</v>
      </c>
      <c r="AG112" s="145">
        <f>SUMIFS(Table2[NewPointsAway],Table2[GameDate], "&lt;=" &amp; $A112, Table2[AwayTeam], AG$1)+SUMIFS(Table2[NewPointsHome],Table2[GameDate], "&lt;=" &amp; $A112, Table2[HomeTeam], AG$1)</f>
        <v>40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42</v>
      </c>
      <c r="C113" s="145">
        <f>SUMIFS(Table2[NewPointsAway],Table2[GameDate], "&lt;=" &amp; $A113, Table2[AwayTeam], C$1)+SUMIFS(Table2[NewPointsHome],Table2[GameDate], "&lt;=" &amp; $A113, Table2[HomeTeam], C$1)</f>
        <v>40</v>
      </c>
      <c r="D113" s="145">
        <f>SUMIFS(Table2[NewPointsAway],Table2[GameDate], "&lt;=" &amp; $A113, Table2[AwayTeam], D$1)+SUMIFS(Table2[NewPointsHome],Table2[GameDate], "&lt;=" &amp; $A113, Table2[HomeTeam], D$1)</f>
        <v>32</v>
      </c>
      <c r="E113" s="145">
        <f>SUMIFS(Table2[NewPointsAway],Table2[GameDate], "&lt;=" &amp; $A113, Table2[AwayTeam], E$1)+SUMIFS(Table2[NewPointsHome],Table2[GameDate], "&lt;=" &amp; $A113, Table2[HomeTeam], E$1)</f>
        <v>44</v>
      </c>
      <c r="F113" s="145">
        <f>SUMIFS(Table2[NewPointsAway],Table2[GameDate], "&lt;=" &amp; $A113, Table2[AwayTeam], F$1)+SUMIFS(Table2[NewPointsHome],Table2[GameDate], "&lt;=" &amp; $A113, Table2[HomeTeam], F$1)</f>
        <v>34</v>
      </c>
      <c r="G113" s="145">
        <f>SUMIFS(Table2[NewPointsAway],Table2[GameDate], "&lt;=" &amp; $A113, Table2[AwayTeam], G$1)+SUMIFS(Table2[NewPointsHome],Table2[GameDate], "&lt;=" &amp; $A113, Table2[HomeTeam], G$1)</f>
        <v>30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55</v>
      </c>
      <c r="J113" s="145">
        <f>SUMIFS(Table2[NewPointsAway],Table2[GameDate], "&lt;=" &amp; $A113, Table2[AwayTeam], J$1)+SUMIFS(Table2[NewPointsHome],Table2[GameDate], "&lt;=" &amp; $A113, Table2[HomeTeam], J$1)</f>
        <v>49</v>
      </c>
      <c r="K113" s="145">
        <f>SUMIFS(Table2[NewPointsAway],Table2[GameDate], "&lt;=" &amp; $A113, Table2[AwayTeam], K$1)+SUMIFS(Table2[NewPointsHome],Table2[GameDate], "&lt;=" &amp; $A113, Table2[HomeTeam], K$1)</f>
        <v>41</v>
      </c>
      <c r="L113" s="145">
        <f>SUMIFS(Table2[NewPointsAway],Table2[GameDate], "&lt;=" &amp; $A113, Table2[AwayTeam], L$1)+SUMIFS(Table2[NewPointsHome],Table2[GameDate], "&lt;=" &amp; $A113, Table2[HomeTeam], L$1)</f>
        <v>38</v>
      </c>
      <c r="M113" s="145">
        <f>SUMIFS(Table2[NewPointsAway],Table2[GameDate], "&lt;=" &amp; $A113, Table2[AwayTeam], M$1)+SUMIFS(Table2[NewPointsHome],Table2[GameDate], "&lt;=" &amp; $A113, Table2[HomeTeam], M$1)</f>
        <v>36</v>
      </c>
      <c r="N113" s="145">
        <f>SUMIFS(Table2[NewPointsAway],Table2[GameDate], "&lt;=" &amp; $A113, Table2[AwayTeam], N$1)+SUMIFS(Table2[NewPointsHome],Table2[GameDate], "&lt;=" &amp; $A113, Table2[HomeTeam], N$1)</f>
        <v>37</v>
      </c>
      <c r="O113" s="145">
        <f>SUMIFS(Table2[NewPointsAway],Table2[GameDate], "&lt;=" &amp; $A113, Table2[AwayTeam], O$1)+SUMIFS(Table2[NewPointsHome],Table2[GameDate], "&lt;=" &amp; $A113, Table2[HomeTeam], O$1)</f>
        <v>45</v>
      </c>
      <c r="P113" s="145">
        <f>SUMIFS(Table2[NewPointsAway],Table2[GameDate], "&lt;=" &amp; $A113, Table2[AwayTeam], P$1)+SUMIFS(Table2[NewPointsHome],Table2[GameDate], "&lt;=" &amp; $A113, Table2[HomeTeam], P$1)</f>
        <v>38</v>
      </c>
      <c r="Q113" s="145">
        <f>SUMIFS(Table2[NewPointsAway],Table2[GameDate], "&lt;=" &amp; $A113, Table2[AwayTeam], Q$1)+SUMIFS(Table2[NewPointsHome],Table2[GameDate], "&lt;=" &amp; $A113, Table2[HomeTeam], Q$1)</f>
        <v>37</v>
      </c>
      <c r="R113" s="145">
        <f>SUMIFS(Table2[NewPointsAway],Table2[GameDate], "&lt;=" &amp; $A113, Table2[AwayTeam], R$1)+SUMIFS(Table2[NewPointsHome],Table2[GameDate], "&lt;=" &amp; $A113, Table2[HomeTeam], R$1)</f>
        <v>30</v>
      </c>
      <c r="S113" s="145">
        <f>SUMIFS(Table2[NewPointsAway],Table2[GameDate], "&lt;=" &amp; $A113, Table2[AwayTeam], S$1)+SUMIFS(Table2[NewPointsHome],Table2[GameDate], "&lt;=" &amp; $A113, Table2[HomeTeam], S$1)</f>
        <v>41</v>
      </c>
      <c r="T113" s="145">
        <f>SUMIFS(Table2[NewPointsAway],Table2[GameDate], "&lt;=" &amp; $A113, Table2[AwayTeam], T$1)+SUMIFS(Table2[NewPointsHome],Table2[GameDate], "&lt;=" &amp; $A113, Table2[HomeTeam], T$1)</f>
        <v>36</v>
      </c>
      <c r="U113" s="145">
        <f>SUMIFS(Table2[NewPointsAway],Table2[GameDate], "&lt;=" &amp; $A113, Table2[AwayTeam], U$1)+SUMIFS(Table2[NewPointsHome],Table2[GameDate], "&lt;=" &amp; $A113, Table2[HomeTeam], U$1)</f>
        <v>34</v>
      </c>
      <c r="V113" s="145">
        <f>SUMIFS(Table2[NewPointsAway],Table2[GameDate], "&lt;=" &amp; $A113, Table2[AwayTeam], V$1)+SUMIFS(Table2[NewPointsHome],Table2[GameDate], "&lt;=" &amp; $A113, Table2[HomeTeam], V$1)</f>
        <v>39</v>
      </c>
      <c r="W113" s="145">
        <f>SUMIFS(Table2[NewPointsAway],Table2[GameDate], "&lt;=" &amp; $A113, Table2[AwayTeam], W$1)+SUMIFS(Table2[NewPointsHome],Table2[GameDate], "&lt;=" &amp; $A113, Table2[HomeTeam], W$1)</f>
        <v>37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37</v>
      </c>
      <c r="Z113" s="145">
        <f>SUMIFS(Table2[NewPointsAway],Table2[GameDate], "&lt;=" &amp; $A113, Table2[AwayTeam], Z$1)+SUMIFS(Table2[NewPointsHome],Table2[GameDate], "&lt;=" &amp; $A113, Table2[HomeTeam], Z$1)</f>
        <v>32</v>
      </c>
      <c r="AA113" s="145">
        <f>SUMIFS(Table2[NewPointsAway],Table2[GameDate], "&lt;=" &amp; $A113, Table2[AwayTeam], AA$1)+SUMIFS(Table2[NewPointsHome],Table2[GameDate], "&lt;=" &amp; $A113, Table2[HomeTeam], AA$1)</f>
        <v>39</v>
      </c>
      <c r="AB113" s="145">
        <f>SUMIFS(Table2[NewPointsAway],Table2[GameDate], "&lt;=" &amp; $A113, Table2[AwayTeam], AB$1)+SUMIFS(Table2[NewPointsHome],Table2[GameDate], "&lt;=" &amp; $A113, Table2[HomeTeam], AB$1)</f>
        <v>35</v>
      </c>
      <c r="AC113" s="145">
        <f>SUMIFS(Table2[NewPointsAway],Table2[GameDate], "&lt;=" &amp; $A113, Table2[AwayTeam], AC$1)+SUMIFS(Table2[NewPointsHome],Table2[GameDate], "&lt;=" &amp; $A113, Table2[HomeTeam], AC$1)</f>
        <v>35</v>
      </c>
      <c r="AD113" s="145">
        <f>SUMIFS(Table2[NewPointsAway],Table2[GameDate], "&lt;=" &amp; $A113, Table2[AwayTeam], AD$1)+SUMIFS(Table2[NewPointsHome],Table2[GameDate], "&lt;=" &amp; $A113, Table2[HomeTeam], AD$1)</f>
        <v>29</v>
      </c>
      <c r="AE113" s="145">
        <f>SUMIFS(Table2[NewPointsAway],Table2[GameDate], "&lt;=" &amp; $A113, Table2[AwayTeam], AE$1)+SUMIFS(Table2[NewPointsHome],Table2[GameDate], "&lt;=" &amp; $A113, Table2[HomeTeam], AE$1)</f>
        <v>41</v>
      </c>
      <c r="AF113" s="145">
        <f>SUMIFS(Table2[NewPointsAway],Table2[GameDate], "&lt;=" &amp; $A113, Table2[AwayTeam], AF$1)+SUMIFS(Table2[NewPointsHome],Table2[GameDate], "&lt;=" &amp; $A113, Table2[HomeTeam], AF$1)</f>
        <v>32</v>
      </c>
      <c r="AG113" s="145">
        <f>SUMIFS(Table2[NewPointsAway],Table2[GameDate], "&lt;=" &amp; $A113, Table2[AwayTeam], AG$1)+SUMIFS(Table2[NewPointsHome],Table2[GameDate], "&lt;=" &amp; $A113, Table2[HomeTeam], AG$1)</f>
        <v>40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42</v>
      </c>
      <c r="C114" s="145">
        <f>SUMIFS(Table2[NewPointsAway],Table2[GameDate], "&lt;=" &amp; $A114, Table2[AwayTeam], C$1)+SUMIFS(Table2[NewPointsHome],Table2[GameDate], "&lt;=" &amp; $A114, Table2[HomeTeam], C$1)</f>
        <v>40</v>
      </c>
      <c r="D114" s="145">
        <f>SUMIFS(Table2[NewPointsAway],Table2[GameDate], "&lt;=" &amp; $A114, Table2[AwayTeam], D$1)+SUMIFS(Table2[NewPointsHome],Table2[GameDate], "&lt;=" &amp; $A114, Table2[HomeTeam], D$1)</f>
        <v>32</v>
      </c>
      <c r="E114" s="145">
        <f>SUMIFS(Table2[NewPointsAway],Table2[GameDate], "&lt;=" &amp; $A114, Table2[AwayTeam], E$1)+SUMIFS(Table2[NewPointsHome],Table2[GameDate], "&lt;=" &amp; $A114, Table2[HomeTeam], E$1)</f>
        <v>44</v>
      </c>
      <c r="F114" s="145">
        <f>SUMIFS(Table2[NewPointsAway],Table2[GameDate], "&lt;=" &amp; $A114, Table2[AwayTeam], F$1)+SUMIFS(Table2[NewPointsHome],Table2[GameDate], "&lt;=" &amp; $A114, Table2[HomeTeam], F$1)</f>
        <v>34</v>
      </c>
      <c r="G114" s="145">
        <f>SUMIFS(Table2[NewPointsAway],Table2[GameDate], "&lt;=" &amp; $A114, Table2[AwayTeam], G$1)+SUMIFS(Table2[NewPointsHome],Table2[GameDate], "&lt;=" &amp; $A114, Table2[HomeTeam], G$1)</f>
        <v>30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55</v>
      </c>
      <c r="J114" s="145">
        <f>SUMIFS(Table2[NewPointsAway],Table2[GameDate], "&lt;=" &amp; $A114, Table2[AwayTeam], J$1)+SUMIFS(Table2[NewPointsHome],Table2[GameDate], "&lt;=" &amp; $A114, Table2[HomeTeam], J$1)</f>
        <v>49</v>
      </c>
      <c r="K114" s="145">
        <f>SUMIFS(Table2[NewPointsAway],Table2[GameDate], "&lt;=" &amp; $A114, Table2[AwayTeam], K$1)+SUMIFS(Table2[NewPointsHome],Table2[GameDate], "&lt;=" &amp; $A114, Table2[HomeTeam], K$1)</f>
        <v>41</v>
      </c>
      <c r="L114" s="145">
        <f>SUMIFS(Table2[NewPointsAway],Table2[GameDate], "&lt;=" &amp; $A114, Table2[AwayTeam], L$1)+SUMIFS(Table2[NewPointsHome],Table2[GameDate], "&lt;=" &amp; $A114, Table2[HomeTeam], L$1)</f>
        <v>38</v>
      </c>
      <c r="M114" s="145">
        <f>SUMIFS(Table2[NewPointsAway],Table2[GameDate], "&lt;=" &amp; $A114, Table2[AwayTeam], M$1)+SUMIFS(Table2[NewPointsHome],Table2[GameDate], "&lt;=" &amp; $A114, Table2[HomeTeam], M$1)</f>
        <v>36</v>
      </c>
      <c r="N114" s="145">
        <f>SUMIFS(Table2[NewPointsAway],Table2[GameDate], "&lt;=" &amp; $A114, Table2[AwayTeam], N$1)+SUMIFS(Table2[NewPointsHome],Table2[GameDate], "&lt;=" &amp; $A114, Table2[HomeTeam], N$1)</f>
        <v>37</v>
      </c>
      <c r="O114" s="145">
        <f>SUMIFS(Table2[NewPointsAway],Table2[GameDate], "&lt;=" &amp; $A114, Table2[AwayTeam], O$1)+SUMIFS(Table2[NewPointsHome],Table2[GameDate], "&lt;=" &amp; $A114, Table2[HomeTeam], O$1)</f>
        <v>45</v>
      </c>
      <c r="P114" s="145">
        <f>SUMIFS(Table2[NewPointsAway],Table2[GameDate], "&lt;=" &amp; $A114, Table2[AwayTeam], P$1)+SUMIFS(Table2[NewPointsHome],Table2[GameDate], "&lt;=" &amp; $A114, Table2[HomeTeam], P$1)</f>
        <v>38</v>
      </c>
      <c r="Q114" s="145">
        <f>SUMIFS(Table2[NewPointsAway],Table2[GameDate], "&lt;=" &amp; $A114, Table2[AwayTeam], Q$1)+SUMIFS(Table2[NewPointsHome],Table2[GameDate], "&lt;=" &amp; $A114, Table2[HomeTeam], Q$1)</f>
        <v>37</v>
      </c>
      <c r="R114" s="145">
        <f>SUMIFS(Table2[NewPointsAway],Table2[GameDate], "&lt;=" &amp; $A114, Table2[AwayTeam], R$1)+SUMIFS(Table2[NewPointsHome],Table2[GameDate], "&lt;=" &amp; $A114, Table2[HomeTeam], R$1)</f>
        <v>30</v>
      </c>
      <c r="S114" s="145">
        <f>SUMIFS(Table2[NewPointsAway],Table2[GameDate], "&lt;=" &amp; $A114, Table2[AwayTeam], S$1)+SUMIFS(Table2[NewPointsHome],Table2[GameDate], "&lt;=" &amp; $A114, Table2[HomeTeam], S$1)</f>
        <v>41</v>
      </c>
      <c r="T114" s="145">
        <f>SUMIFS(Table2[NewPointsAway],Table2[GameDate], "&lt;=" &amp; $A114, Table2[AwayTeam], T$1)+SUMIFS(Table2[NewPointsHome],Table2[GameDate], "&lt;=" &amp; $A114, Table2[HomeTeam], T$1)</f>
        <v>36</v>
      </c>
      <c r="U114" s="145">
        <f>SUMIFS(Table2[NewPointsAway],Table2[GameDate], "&lt;=" &amp; $A114, Table2[AwayTeam], U$1)+SUMIFS(Table2[NewPointsHome],Table2[GameDate], "&lt;=" &amp; $A114, Table2[HomeTeam], U$1)</f>
        <v>34</v>
      </c>
      <c r="V114" s="145">
        <f>SUMIFS(Table2[NewPointsAway],Table2[GameDate], "&lt;=" &amp; $A114, Table2[AwayTeam], V$1)+SUMIFS(Table2[NewPointsHome],Table2[GameDate], "&lt;=" &amp; $A114, Table2[HomeTeam], V$1)</f>
        <v>39</v>
      </c>
      <c r="W114" s="145">
        <f>SUMIFS(Table2[NewPointsAway],Table2[GameDate], "&lt;=" &amp; $A114, Table2[AwayTeam], W$1)+SUMIFS(Table2[NewPointsHome],Table2[GameDate], "&lt;=" &amp; $A114, Table2[HomeTeam], W$1)</f>
        <v>37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37</v>
      </c>
      <c r="Z114" s="145">
        <f>SUMIFS(Table2[NewPointsAway],Table2[GameDate], "&lt;=" &amp; $A114, Table2[AwayTeam], Z$1)+SUMIFS(Table2[NewPointsHome],Table2[GameDate], "&lt;=" &amp; $A114, Table2[HomeTeam], Z$1)</f>
        <v>32</v>
      </c>
      <c r="AA114" s="145">
        <f>SUMIFS(Table2[NewPointsAway],Table2[GameDate], "&lt;=" &amp; $A114, Table2[AwayTeam], AA$1)+SUMIFS(Table2[NewPointsHome],Table2[GameDate], "&lt;=" &amp; $A114, Table2[HomeTeam], AA$1)</f>
        <v>39</v>
      </c>
      <c r="AB114" s="145">
        <f>SUMIFS(Table2[NewPointsAway],Table2[GameDate], "&lt;=" &amp; $A114, Table2[AwayTeam], AB$1)+SUMIFS(Table2[NewPointsHome],Table2[GameDate], "&lt;=" &amp; $A114, Table2[HomeTeam], AB$1)</f>
        <v>35</v>
      </c>
      <c r="AC114" s="145">
        <f>SUMIFS(Table2[NewPointsAway],Table2[GameDate], "&lt;=" &amp; $A114, Table2[AwayTeam], AC$1)+SUMIFS(Table2[NewPointsHome],Table2[GameDate], "&lt;=" &amp; $A114, Table2[HomeTeam], AC$1)</f>
        <v>35</v>
      </c>
      <c r="AD114" s="145">
        <f>SUMIFS(Table2[NewPointsAway],Table2[GameDate], "&lt;=" &amp; $A114, Table2[AwayTeam], AD$1)+SUMIFS(Table2[NewPointsHome],Table2[GameDate], "&lt;=" &amp; $A114, Table2[HomeTeam], AD$1)</f>
        <v>29</v>
      </c>
      <c r="AE114" s="145">
        <f>SUMIFS(Table2[NewPointsAway],Table2[GameDate], "&lt;=" &amp; $A114, Table2[AwayTeam], AE$1)+SUMIFS(Table2[NewPointsHome],Table2[GameDate], "&lt;=" &amp; $A114, Table2[HomeTeam], AE$1)</f>
        <v>41</v>
      </c>
      <c r="AF114" s="145">
        <f>SUMIFS(Table2[NewPointsAway],Table2[GameDate], "&lt;=" &amp; $A114, Table2[AwayTeam], AF$1)+SUMIFS(Table2[NewPointsHome],Table2[GameDate], "&lt;=" &amp; $A114, Table2[HomeTeam], AF$1)</f>
        <v>32</v>
      </c>
      <c r="AG114" s="145">
        <f>SUMIFS(Table2[NewPointsAway],Table2[GameDate], "&lt;=" &amp; $A114, Table2[AwayTeam], AG$1)+SUMIFS(Table2[NewPointsHome],Table2[GameDate], "&lt;=" &amp; $A114, Table2[HomeTeam], AG$1)</f>
        <v>40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42</v>
      </c>
      <c r="C115" s="145">
        <f>SUMIFS(Table2[NewPointsAway],Table2[GameDate], "&lt;=" &amp; $A115, Table2[AwayTeam], C$1)+SUMIFS(Table2[NewPointsHome],Table2[GameDate], "&lt;=" &amp; $A115, Table2[HomeTeam], C$1)</f>
        <v>40</v>
      </c>
      <c r="D115" s="145">
        <f>SUMIFS(Table2[NewPointsAway],Table2[GameDate], "&lt;=" &amp; $A115, Table2[AwayTeam], D$1)+SUMIFS(Table2[NewPointsHome],Table2[GameDate], "&lt;=" &amp; $A115, Table2[HomeTeam], D$1)</f>
        <v>32</v>
      </c>
      <c r="E115" s="145">
        <f>SUMIFS(Table2[NewPointsAway],Table2[GameDate], "&lt;=" &amp; $A115, Table2[AwayTeam], E$1)+SUMIFS(Table2[NewPointsHome],Table2[GameDate], "&lt;=" &amp; $A115, Table2[HomeTeam], E$1)</f>
        <v>44</v>
      </c>
      <c r="F115" s="145">
        <f>SUMIFS(Table2[NewPointsAway],Table2[GameDate], "&lt;=" &amp; $A115, Table2[AwayTeam], F$1)+SUMIFS(Table2[NewPointsHome],Table2[GameDate], "&lt;=" &amp; $A115, Table2[HomeTeam], F$1)</f>
        <v>34</v>
      </c>
      <c r="G115" s="145">
        <f>SUMIFS(Table2[NewPointsAway],Table2[GameDate], "&lt;=" &amp; $A115, Table2[AwayTeam], G$1)+SUMIFS(Table2[NewPointsHome],Table2[GameDate], "&lt;=" &amp; $A115, Table2[HomeTeam], G$1)</f>
        <v>30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55</v>
      </c>
      <c r="J115" s="145">
        <f>SUMIFS(Table2[NewPointsAway],Table2[GameDate], "&lt;=" &amp; $A115, Table2[AwayTeam], J$1)+SUMIFS(Table2[NewPointsHome],Table2[GameDate], "&lt;=" &amp; $A115, Table2[HomeTeam], J$1)</f>
        <v>49</v>
      </c>
      <c r="K115" s="145">
        <f>SUMIFS(Table2[NewPointsAway],Table2[GameDate], "&lt;=" &amp; $A115, Table2[AwayTeam], K$1)+SUMIFS(Table2[NewPointsHome],Table2[GameDate], "&lt;=" &amp; $A115, Table2[HomeTeam], K$1)</f>
        <v>41</v>
      </c>
      <c r="L115" s="145">
        <f>SUMIFS(Table2[NewPointsAway],Table2[GameDate], "&lt;=" &amp; $A115, Table2[AwayTeam], L$1)+SUMIFS(Table2[NewPointsHome],Table2[GameDate], "&lt;=" &amp; $A115, Table2[HomeTeam], L$1)</f>
        <v>38</v>
      </c>
      <c r="M115" s="145">
        <f>SUMIFS(Table2[NewPointsAway],Table2[GameDate], "&lt;=" &amp; $A115, Table2[AwayTeam], M$1)+SUMIFS(Table2[NewPointsHome],Table2[GameDate], "&lt;=" &amp; $A115, Table2[HomeTeam], M$1)</f>
        <v>36</v>
      </c>
      <c r="N115" s="145">
        <f>SUMIFS(Table2[NewPointsAway],Table2[GameDate], "&lt;=" &amp; $A115, Table2[AwayTeam], N$1)+SUMIFS(Table2[NewPointsHome],Table2[GameDate], "&lt;=" &amp; $A115, Table2[HomeTeam], N$1)</f>
        <v>37</v>
      </c>
      <c r="O115" s="145">
        <f>SUMIFS(Table2[NewPointsAway],Table2[GameDate], "&lt;=" &amp; $A115, Table2[AwayTeam], O$1)+SUMIFS(Table2[NewPointsHome],Table2[GameDate], "&lt;=" &amp; $A115, Table2[HomeTeam], O$1)</f>
        <v>45</v>
      </c>
      <c r="P115" s="145">
        <f>SUMIFS(Table2[NewPointsAway],Table2[GameDate], "&lt;=" &amp; $A115, Table2[AwayTeam], P$1)+SUMIFS(Table2[NewPointsHome],Table2[GameDate], "&lt;=" &amp; $A115, Table2[HomeTeam], P$1)</f>
        <v>38</v>
      </c>
      <c r="Q115" s="145">
        <f>SUMIFS(Table2[NewPointsAway],Table2[GameDate], "&lt;=" &amp; $A115, Table2[AwayTeam], Q$1)+SUMIFS(Table2[NewPointsHome],Table2[GameDate], "&lt;=" &amp; $A115, Table2[HomeTeam], Q$1)</f>
        <v>37</v>
      </c>
      <c r="R115" s="145">
        <f>SUMIFS(Table2[NewPointsAway],Table2[GameDate], "&lt;=" &amp; $A115, Table2[AwayTeam], R$1)+SUMIFS(Table2[NewPointsHome],Table2[GameDate], "&lt;=" &amp; $A115, Table2[HomeTeam], R$1)</f>
        <v>30</v>
      </c>
      <c r="S115" s="145">
        <f>SUMIFS(Table2[NewPointsAway],Table2[GameDate], "&lt;=" &amp; $A115, Table2[AwayTeam], S$1)+SUMIFS(Table2[NewPointsHome],Table2[GameDate], "&lt;=" &amp; $A115, Table2[HomeTeam], S$1)</f>
        <v>41</v>
      </c>
      <c r="T115" s="145">
        <f>SUMIFS(Table2[NewPointsAway],Table2[GameDate], "&lt;=" &amp; $A115, Table2[AwayTeam], T$1)+SUMIFS(Table2[NewPointsHome],Table2[GameDate], "&lt;=" &amp; $A115, Table2[HomeTeam], T$1)</f>
        <v>36</v>
      </c>
      <c r="U115" s="145">
        <f>SUMIFS(Table2[NewPointsAway],Table2[GameDate], "&lt;=" &amp; $A115, Table2[AwayTeam], U$1)+SUMIFS(Table2[NewPointsHome],Table2[GameDate], "&lt;=" &amp; $A115, Table2[HomeTeam], U$1)</f>
        <v>34</v>
      </c>
      <c r="V115" s="145">
        <f>SUMIFS(Table2[NewPointsAway],Table2[GameDate], "&lt;=" &amp; $A115, Table2[AwayTeam], V$1)+SUMIFS(Table2[NewPointsHome],Table2[GameDate], "&lt;=" &amp; $A115, Table2[HomeTeam], V$1)</f>
        <v>39</v>
      </c>
      <c r="W115" s="145">
        <f>SUMIFS(Table2[NewPointsAway],Table2[GameDate], "&lt;=" &amp; $A115, Table2[AwayTeam], W$1)+SUMIFS(Table2[NewPointsHome],Table2[GameDate], "&lt;=" &amp; $A115, Table2[HomeTeam], W$1)</f>
        <v>37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37</v>
      </c>
      <c r="Z115" s="145">
        <f>SUMIFS(Table2[NewPointsAway],Table2[GameDate], "&lt;=" &amp; $A115, Table2[AwayTeam], Z$1)+SUMIFS(Table2[NewPointsHome],Table2[GameDate], "&lt;=" &amp; $A115, Table2[HomeTeam], Z$1)</f>
        <v>32</v>
      </c>
      <c r="AA115" s="145">
        <f>SUMIFS(Table2[NewPointsAway],Table2[GameDate], "&lt;=" &amp; $A115, Table2[AwayTeam], AA$1)+SUMIFS(Table2[NewPointsHome],Table2[GameDate], "&lt;=" &amp; $A115, Table2[HomeTeam], AA$1)</f>
        <v>39</v>
      </c>
      <c r="AB115" s="145">
        <f>SUMIFS(Table2[NewPointsAway],Table2[GameDate], "&lt;=" &amp; $A115, Table2[AwayTeam], AB$1)+SUMIFS(Table2[NewPointsHome],Table2[GameDate], "&lt;=" &amp; $A115, Table2[HomeTeam], AB$1)</f>
        <v>35</v>
      </c>
      <c r="AC115" s="145">
        <f>SUMIFS(Table2[NewPointsAway],Table2[GameDate], "&lt;=" &amp; $A115, Table2[AwayTeam], AC$1)+SUMIFS(Table2[NewPointsHome],Table2[GameDate], "&lt;=" &amp; $A115, Table2[HomeTeam], AC$1)</f>
        <v>35</v>
      </c>
      <c r="AD115" s="145">
        <f>SUMIFS(Table2[NewPointsAway],Table2[GameDate], "&lt;=" &amp; $A115, Table2[AwayTeam], AD$1)+SUMIFS(Table2[NewPointsHome],Table2[GameDate], "&lt;=" &amp; $A115, Table2[HomeTeam], AD$1)</f>
        <v>29</v>
      </c>
      <c r="AE115" s="145">
        <f>SUMIFS(Table2[NewPointsAway],Table2[GameDate], "&lt;=" &amp; $A115, Table2[AwayTeam], AE$1)+SUMIFS(Table2[NewPointsHome],Table2[GameDate], "&lt;=" &amp; $A115, Table2[HomeTeam], AE$1)</f>
        <v>41</v>
      </c>
      <c r="AF115" s="145">
        <f>SUMIFS(Table2[NewPointsAway],Table2[GameDate], "&lt;=" &amp; $A115, Table2[AwayTeam], AF$1)+SUMIFS(Table2[NewPointsHome],Table2[GameDate], "&lt;=" &amp; $A115, Table2[HomeTeam], AF$1)</f>
        <v>32</v>
      </c>
      <c r="AG115" s="145">
        <f>SUMIFS(Table2[NewPointsAway],Table2[GameDate], "&lt;=" &amp; $A115, Table2[AwayTeam], AG$1)+SUMIFS(Table2[NewPointsHome],Table2[GameDate], "&lt;=" &amp; $A115, Table2[HomeTeam], AG$1)</f>
        <v>40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42</v>
      </c>
      <c r="C116" s="145">
        <f>SUMIFS(Table2[NewPointsAway],Table2[GameDate], "&lt;=" &amp; $A116, Table2[AwayTeam], C$1)+SUMIFS(Table2[NewPointsHome],Table2[GameDate], "&lt;=" &amp; $A116, Table2[HomeTeam], C$1)</f>
        <v>40</v>
      </c>
      <c r="D116" s="145">
        <f>SUMIFS(Table2[NewPointsAway],Table2[GameDate], "&lt;=" &amp; $A116, Table2[AwayTeam], D$1)+SUMIFS(Table2[NewPointsHome],Table2[GameDate], "&lt;=" &amp; $A116, Table2[HomeTeam], D$1)</f>
        <v>32</v>
      </c>
      <c r="E116" s="145">
        <f>SUMIFS(Table2[NewPointsAway],Table2[GameDate], "&lt;=" &amp; $A116, Table2[AwayTeam], E$1)+SUMIFS(Table2[NewPointsHome],Table2[GameDate], "&lt;=" &amp; $A116, Table2[HomeTeam], E$1)</f>
        <v>44</v>
      </c>
      <c r="F116" s="145">
        <f>SUMIFS(Table2[NewPointsAway],Table2[GameDate], "&lt;=" &amp; $A116, Table2[AwayTeam], F$1)+SUMIFS(Table2[NewPointsHome],Table2[GameDate], "&lt;=" &amp; $A116, Table2[HomeTeam], F$1)</f>
        <v>34</v>
      </c>
      <c r="G116" s="145">
        <f>SUMIFS(Table2[NewPointsAway],Table2[GameDate], "&lt;=" &amp; $A116, Table2[AwayTeam], G$1)+SUMIFS(Table2[NewPointsHome],Table2[GameDate], "&lt;=" &amp; $A116, Table2[HomeTeam], G$1)</f>
        <v>30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55</v>
      </c>
      <c r="J116" s="145">
        <f>SUMIFS(Table2[NewPointsAway],Table2[GameDate], "&lt;=" &amp; $A116, Table2[AwayTeam], J$1)+SUMIFS(Table2[NewPointsHome],Table2[GameDate], "&lt;=" &amp; $A116, Table2[HomeTeam], J$1)</f>
        <v>49</v>
      </c>
      <c r="K116" s="145">
        <f>SUMIFS(Table2[NewPointsAway],Table2[GameDate], "&lt;=" &amp; $A116, Table2[AwayTeam], K$1)+SUMIFS(Table2[NewPointsHome],Table2[GameDate], "&lt;=" &amp; $A116, Table2[HomeTeam], K$1)</f>
        <v>41</v>
      </c>
      <c r="L116" s="145">
        <f>SUMIFS(Table2[NewPointsAway],Table2[GameDate], "&lt;=" &amp; $A116, Table2[AwayTeam], L$1)+SUMIFS(Table2[NewPointsHome],Table2[GameDate], "&lt;=" &amp; $A116, Table2[HomeTeam], L$1)</f>
        <v>38</v>
      </c>
      <c r="M116" s="145">
        <f>SUMIFS(Table2[NewPointsAway],Table2[GameDate], "&lt;=" &amp; $A116, Table2[AwayTeam], M$1)+SUMIFS(Table2[NewPointsHome],Table2[GameDate], "&lt;=" &amp; $A116, Table2[HomeTeam], M$1)</f>
        <v>36</v>
      </c>
      <c r="N116" s="145">
        <f>SUMIFS(Table2[NewPointsAway],Table2[GameDate], "&lt;=" &amp; $A116, Table2[AwayTeam], N$1)+SUMIFS(Table2[NewPointsHome],Table2[GameDate], "&lt;=" &amp; $A116, Table2[HomeTeam], N$1)</f>
        <v>37</v>
      </c>
      <c r="O116" s="145">
        <f>SUMIFS(Table2[NewPointsAway],Table2[GameDate], "&lt;=" &amp; $A116, Table2[AwayTeam], O$1)+SUMIFS(Table2[NewPointsHome],Table2[GameDate], "&lt;=" &amp; $A116, Table2[HomeTeam], O$1)</f>
        <v>45</v>
      </c>
      <c r="P116" s="145">
        <f>SUMIFS(Table2[NewPointsAway],Table2[GameDate], "&lt;=" &amp; $A116, Table2[AwayTeam], P$1)+SUMIFS(Table2[NewPointsHome],Table2[GameDate], "&lt;=" &amp; $A116, Table2[HomeTeam], P$1)</f>
        <v>38</v>
      </c>
      <c r="Q116" s="145">
        <f>SUMIFS(Table2[NewPointsAway],Table2[GameDate], "&lt;=" &amp; $A116, Table2[AwayTeam], Q$1)+SUMIFS(Table2[NewPointsHome],Table2[GameDate], "&lt;=" &amp; $A116, Table2[HomeTeam], Q$1)</f>
        <v>37</v>
      </c>
      <c r="R116" s="145">
        <f>SUMIFS(Table2[NewPointsAway],Table2[GameDate], "&lt;=" &amp; $A116, Table2[AwayTeam], R$1)+SUMIFS(Table2[NewPointsHome],Table2[GameDate], "&lt;=" &amp; $A116, Table2[HomeTeam], R$1)</f>
        <v>30</v>
      </c>
      <c r="S116" s="145">
        <f>SUMIFS(Table2[NewPointsAway],Table2[GameDate], "&lt;=" &amp; $A116, Table2[AwayTeam], S$1)+SUMIFS(Table2[NewPointsHome],Table2[GameDate], "&lt;=" &amp; $A116, Table2[HomeTeam], S$1)</f>
        <v>41</v>
      </c>
      <c r="T116" s="145">
        <f>SUMIFS(Table2[NewPointsAway],Table2[GameDate], "&lt;=" &amp; $A116, Table2[AwayTeam], T$1)+SUMIFS(Table2[NewPointsHome],Table2[GameDate], "&lt;=" &amp; $A116, Table2[HomeTeam], T$1)</f>
        <v>36</v>
      </c>
      <c r="U116" s="145">
        <f>SUMIFS(Table2[NewPointsAway],Table2[GameDate], "&lt;=" &amp; $A116, Table2[AwayTeam], U$1)+SUMIFS(Table2[NewPointsHome],Table2[GameDate], "&lt;=" &amp; $A116, Table2[HomeTeam], U$1)</f>
        <v>34</v>
      </c>
      <c r="V116" s="145">
        <f>SUMIFS(Table2[NewPointsAway],Table2[GameDate], "&lt;=" &amp; $A116, Table2[AwayTeam], V$1)+SUMIFS(Table2[NewPointsHome],Table2[GameDate], "&lt;=" &amp; $A116, Table2[HomeTeam], V$1)</f>
        <v>39</v>
      </c>
      <c r="W116" s="145">
        <f>SUMIFS(Table2[NewPointsAway],Table2[GameDate], "&lt;=" &amp; $A116, Table2[AwayTeam], W$1)+SUMIFS(Table2[NewPointsHome],Table2[GameDate], "&lt;=" &amp; $A116, Table2[HomeTeam], W$1)</f>
        <v>37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37</v>
      </c>
      <c r="Z116" s="145">
        <f>SUMIFS(Table2[NewPointsAway],Table2[GameDate], "&lt;=" &amp; $A116, Table2[AwayTeam], Z$1)+SUMIFS(Table2[NewPointsHome],Table2[GameDate], "&lt;=" &amp; $A116, Table2[HomeTeam], Z$1)</f>
        <v>32</v>
      </c>
      <c r="AA116" s="145">
        <f>SUMIFS(Table2[NewPointsAway],Table2[GameDate], "&lt;=" &amp; $A116, Table2[AwayTeam], AA$1)+SUMIFS(Table2[NewPointsHome],Table2[GameDate], "&lt;=" &amp; $A116, Table2[HomeTeam], AA$1)</f>
        <v>39</v>
      </c>
      <c r="AB116" s="145">
        <f>SUMIFS(Table2[NewPointsAway],Table2[GameDate], "&lt;=" &amp; $A116, Table2[AwayTeam], AB$1)+SUMIFS(Table2[NewPointsHome],Table2[GameDate], "&lt;=" &amp; $A116, Table2[HomeTeam], AB$1)</f>
        <v>35</v>
      </c>
      <c r="AC116" s="145">
        <f>SUMIFS(Table2[NewPointsAway],Table2[GameDate], "&lt;=" &amp; $A116, Table2[AwayTeam], AC$1)+SUMIFS(Table2[NewPointsHome],Table2[GameDate], "&lt;=" &amp; $A116, Table2[HomeTeam], AC$1)</f>
        <v>35</v>
      </c>
      <c r="AD116" s="145">
        <f>SUMIFS(Table2[NewPointsAway],Table2[GameDate], "&lt;=" &amp; $A116, Table2[AwayTeam], AD$1)+SUMIFS(Table2[NewPointsHome],Table2[GameDate], "&lt;=" &amp; $A116, Table2[HomeTeam], AD$1)</f>
        <v>29</v>
      </c>
      <c r="AE116" s="145">
        <f>SUMIFS(Table2[NewPointsAway],Table2[GameDate], "&lt;=" &amp; $A116, Table2[AwayTeam], AE$1)+SUMIFS(Table2[NewPointsHome],Table2[GameDate], "&lt;=" &amp; $A116, Table2[HomeTeam], AE$1)</f>
        <v>41</v>
      </c>
      <c r="AF116" s="145">
        <f>SUMIFS(Table2[NewPointsAway],Table2[GameDate], "&lt;=" &amp; $A116, Table2[AwayTeam], AF$1)+SUMIFS(Table2[NewPointsHome],Table2[GameDate], "&lt;=" &amp; $A116, Table2[HomeTeam], AF$1)</f>
        <v>32</v>
      </c>
      <c r="AG116" s="145">
        <f>SUMIFS(Table2[NewPointsAway],Table2[GameDate], "&lt;=" &amp; $A116, Table2[AwayTeam], AG$1)+SUMIFS(Table2[NewPointsHome],Table2[GameDate], "&lt;=" &amp; $A116, Table2[HomeTeam], AG$1)</f>
        <v>40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42</v>
      </c>
      <c r="C117" s="145">
        <f>SUMIFS(Table2[NewPointsAway],Table2[GameDate], "&lt;=" &amp; $A117, Table2[AwayTeam], C$1)+SUMIFS(Table2[NewPointsHome],Table2[GameDate], "&lt;=" &amp; $A117, Table2[HomeTeam], C$1)</f>
        <v>40</v>
      </c>
      <c r="D117" s="145">
        <f>SUMIFS(Table2[NewPointsAway],Table2[GameDate], "&lt;=" &amp; $A117, Table2[AwayTeam], D$1)+SUMIFS(Table2[NewPointsHome],Table2[GameDate], "&lt;=" &amp; $A117, Table2[HomeTeam], D$1)</f>
        <v>32</v>
      </c>
      <c r="E117" s="145">
        <f>SUMIFS(Table2[NewPointsAway],Table2[GameDate], "&lt;=" &amp; $A117, Table2[AwayTeam], E$1)+SUMIFS(Table2[NewPointsHome],Table2[GameDate], "&lt;=" &amp; $A117, Table2[HomeTeam], E$1)</f>
        <v>44</v>
      </c>
      <c r="F117" s="145">
        <f>SUMIFS(Table2[NewPointsAway],Table2[GameDate], "&lt;=" &amp; $A117, Table2[AwayTeam], F$1)+SUMIFS(Table2[NewPointsHome],Table2[GameDate], "&lt;=" &amp; $A117, Table2[HomeTeam], F$1)</f>
        <v>34</v>
      </c>
      <c r="G117" s="145">
        <f>SUMIFS(Table2[NewPointsAway],Table2[GameDate], "&lt;=" &amp; $A117, Table2[AwayTeam], G$1)+SUMIFS(Table2[NewPointsHome],Table2[GameDate], "&lt;=" &amp; $A117, Table2[HomeTeam], G$1)</f>
        <v>30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55</v>
      </c>
      <c r="J117" s="145">
        <f>SUMIFS(Table2[NewPointsAway],Table2[GameDate], "&lt;=" &amp; $A117, Table2[AwayTeam], J$1)+SUMIFS(Table2[NewPointsHome],Table2[GameDate], "&lt;=" &amp; $A117, Table2[HomeTeam], J$1)</f>
        <v>49</v>
      </c>
      <c r="K117" s="145">
        <f>SUMIFS(Table2[NewPointsAway],Table2[GameDate], "&lt;=" &amp; $A117, Table2[AwayTeam], K$1)+SUMIFS(Table2[NewPointsHome],Table2[GameDate], "&lt;=" &amp; $A117, Table2[HomeTeam], K$1)</f>
        <v>41</v>
      </c>
      <c r="L117" s="145">
        <f>SUMIFS(Table2[NewPointsAway],Table2[GameDate], "&lt;=" &amp; $A117, Table2[AwayTeam], L$1)+SUMIFS(Table2[NewPointsHome],Table2[GameDate], "&lt;=" &amp; $A117, Table2[HomeTeam], L$1)</f>
        <v>38</v>
      </c>
      <c r="M117" s="145">
        <f>SUMIFS(Table2[NewPointsAway],Table2[GameDate], "&lt;=" &amp; $A117, Table2[AwayTeam], M$1)+SUMIFS(Table2[NewPointsHome],Table2[GameDate], "&lt;=" &amp; $A117, Table2[HomeTeam], M$1)</f>
        <v>36</v>
      </c>
      <c r="N117" s="145">
        <f>SUMIFS(Table2[NewPointsAway],Table2[GameDate], "&lt;=" &amp; $A117, Table2[AwayTeam], N$1)+SUMIFS(Table2[NewPointsHome],Table2[GameDate], "&lt;=" &amp; $A117, Table2[HomeTeam], N$1)</f>
        <v>37</v>
      </c>
      <c r="O117" s="145">
        <f>SUMIFS(Table2[NewPointsAway],Table2[GameDate], "&lt;=" &amp; $A117, Table2[AwayTeam], O$1)+SUMIFS(Table2[NewPointsHome],Table2[GameDate], "&lt;=" &amp; $A117, Table2[HomeTeam], O$1)</f>
        <v>45</v>
      </c>
      <c r="P117" s="145">
        <f>SUMIFS(Table2[NewPointsAway],Table2[GameDate], "&lt;=" &amp; $A117, Table2[AwayTeam], P$1)+SUMIFS(Table2[NewPointsHome],Table2[GameDate], "&lt;=" &amp; $A117, Table2[HomeTeam], P$1)</f>
        <v>38</v>
      </c>
      <c r="Q117" s="145">
        <f>SUMIFS(Table2[NewPointsAway],Table2[GameDate], "&lt;=" &amp; $A117, Table2[AwayTeam], Q$1)+SUMIFS(Table2[NewPointsHome],Table2[GameDate], "&lt;=" &amp; $A117, Table2[HomeTeam], Q$1)</f>
        <v>37</v>
      </c>
      <c r="R117" s="145">
        <f>SUMIFS(Table2[NewPointsAway],Table2[GameDate], "&lt;=" &amp; $A117, Table2[AwayTeam], R$1)+SUMIFS(Table2[NewPointsHome],Table2[GameDate], "&lt;=" &amp; $A117, Table2[HomeTeam], R$1)</f>
        <v>30</v>
      </c>
      <c r="S117" s="145">
        <f>SUMIFS(Table2[NewPointsAway],Table2[GameDate], "&lt;=" &amp; $A117, Table2[AwayTeam], S$1)+SUMIFS(Table2[NewPointsHome],Table2[GameDate], "&lt;=" &amp; $A117, Table2[HomeTeam], S$1)</f>
        <v>41</v>
      </c>
      <c r="T117" s="145">
        <f>SUMIFS(Table2[NewPointsAway],Table2[GameDate], "&lt;=" &amp; $A117, Table2[AwayTeam], T$1)+SUMIFS(Table2[NewPointsHome],Table2[GameDate], "&lt;=" &amp; $A117, Table2[HomeTeam], T$1)</f>
        <v>36</v>
      </c>
      <c r="U117" s="145">
        <f>SUMIFS(Table2[NewPointsAway],Table2[GameDate], "&lt;=" &amp; $A117, Table2[AwayTeam], U$1)+SUMIFS(Table2[NewPointsHome],Table2[GameDate], "&lt;=" &amp; $A117, Table2[HomeTeam], U$1)</f>
        <v>34</v>
      </c>
      <c r="V117" s="145">
        <f>SUMIFS(Table2[NewPointsAway],Table2[GameDate], "&lt;=" &amp; $A117, Table2[AwayTeam], V$1)+SUMIFS(Table2[NewPointsHome],Table2[GameDate], "&lt;=" &amp; $A117, Table2[HomeTeam], V$1)</f>
        <v>39</v>
      </c>
      <c r="W117" s="145">
        <f>SUMIFS(Table2[NewPointsAway],Table2[GameDate], "&lt;=" &amp; $A117, Table2[AwayTeam], W$1)+SUMIFS(Table2[NewPointsHome],Table2[GameDate], "&lt;=" &amp; $A117, Table2[HomeTeam], W$1)</f>
        <v>37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37</v>
      </c>
      <c r="Z117" s="145">
        <f>SUMIFS(Table2[NewPointsAway],Table2[GameDate], "&lt;=" &amp; $A117, Table2[AwayTeam], Z$1)+SUMIFS(Table2[NewPointsHome],Table2[GameDate], "&lt;=" &amp; $A117, Table2[HomeTeam], Z$1)</f>
        <v>32</v>
      </c>
      <c r="AA117" s="145">
        <f>SUMIFS(Table2[NewPointsAway],Table2[GameDate], "&lt;=" &amp; $A117, Table2[AwayTeam], AA$1)+SUMIFS(Table2[NewPointsHome],Table2[GameDate], "&lt;=" &amp; $A117, Table2[HomeTeam], AA$1)</f>
        <v>39</v>
      </c>
      <c r="AB117" s="145">
        <f>SUMIFS(Table2[NewPointsAway],Table2[GameDate], "&lt;=" &amp; $A117, Table2[AwayTeam], AB$1)+SUMIFS(Table2[NewPointsHome],Table2[GameDate], "&lt;=" &amp; $A117, Table2[HomeTeam], AB$1)</f>
        <v>35</v>
      </c>
      <c r="AC117" s="145">
        <f>SUMIFS(Table2[NewPointsAway],Table2[GameDate], "&lt;=" &amp; $A117, Table2[AwayTeam], AC$1)+SUMIFS(Table2[NewPointsHome],Table2[GameDate], "&lt;=" &amp; $A117, Table2[HomeTeam], AC$1)</f>
        <v>35</v>
      </c>
      <c r="AD117" s="145">
        <f>SUMIFS(Table2[NewPointsAway],Table2[GameDate], "&lt;=" &amp; $A117, Table2[AwayTeam], AD$1)+SUMIFS(Table2[NewPointsHome],Table2[GameDate], "&lt;=" &amp; $A117, Table2[HomeTeam], AD$1)</f>
        <v>29</v>
      </c>
      <c r="AE117" s="145">
        <f>SUMIFS(Table2[NewPointsAway],Table2[GameDate], "&lt;=" &amp; $A117, Table2[AwayTeam], AE$1)+SUMIFS(Table2[NewPointsHome],Table2[GameDate], "&lt;=" &amp; $A117, Table2[HomeTeam], AE$1)</f>
        <v>41</v>
      </c>
      <c r="AF117" s="145">
        <f>SUMIFS(Table2[NewPointsAway],Table2[GameDate], "&lt;=" &amp; $A117, Table2[AwayTeam], AF$1)+SUMIFS(Table2[NewPointsHome],Table2[GameDate], "&lt;=" &amp; $A117, Table2[HomeTeam], AF$1)</f>
        <v>32</v>
      </c>
      <c r="AG117" s="145">
        <f>SUMIFS(Table2[NewPointsAway],Table2[GameDate], "&lt;=" &amp; $A117, Table2[AwayTeam], AG$1)+SUMIFS(Table2[NewPointsHome],Table2[GameDate], "&lt;=" &amp; $A117, Table2[HomeTeam], AG$1)</f>
        <v>40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42</v>
      </c>
      <c r="C118" s="145">
        <f>SUMIFS(Table2[NewPointsAway],Table2[GameDate], "&lt;=" &amp; $A118, Table2[AwayTeam], C$1)+SUMIFS(Table2[NewPointsHome],Table2[GameDate], "&lt;=" &amp; $A118, Table2[HomeTeam], C$1)</f>
        <v>40</v>
      </c>
      <c r="D118" s="145">
        <f>SUMIFS(Table2[NewPointsAway],Table2[GameDate], "&lt;=" &amp; $A118, Table2[AwayTeam], D$1)+SUMIFS(Table2[NewPointsHome],Table2[GameDate], "&lt;=" &amp; $A118, Table2[HomeTeam], D$1)</f>
        <v>32</v>
      </c>
      <c r="E118" s="145">
        <f>SUMIFS(Table2[NewPointsAway],Table2[GameDate], "&lt;=" &amp; $A118, Table2[AwayTeam], E$1)+SUMIFS(Table2[NewPointsHome],Table2[GameDate], "&lt;=" &amp; $A118, Table2[HomeTeam], E$1)</f>
        <v>44</v>
      </c>
      <c r="F118" s="145">
        <f>SUMIFS(Table2[NewPointsAway],Table2[GameDate], "&lt;=" &amp; $A118, Table2[AwayTeam], F$1)+SUMIFS(Table2[NewPointsHome],Table2[GameDate], "&lt;=" &amp; $A118, Table2[HomeTeam], F$1)</f>
        <v>34</v>
      </c>
      <c r="G118" s="145">
        <f>SUMIFS(Table2[NewPointsAway],Table2[GameDate], "&lt;=" &amp; $A118, Table2[AwayTeam], G$1)+SUMIFS(Table2[NewPointsHome],Table2[GameDate], "&lt;=" &amp; $A118, Table2[HomeTeam], G$1)</f>
        <v>30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55</v>
      </c>
      <c r="J118" s="145">
        <f>SUMIFS(Table2[NewPointsAway],Table2[GameDate], "&lt;=" &amp; $A118, Table2[AwayTeam], J$1)+SUMIFS(Table2[NewPointsHome],Table2[GameDate], "&lt;=" &amp; $A118, Table2[HomeTeam], J$1)</f>
        <v>49</v>
      </c>
      <c r="K118" s="145">
        <f>SUMIFS(Table2[NewPointsAway],Table2[GameDate], "&lt;=" &amp; $A118, Table2[AwayTeam], K$1)+SUMIFS(Table2[NewPointsHome],Table2[GameDate], "&lt;=" &amp; $A118, Table2[HomeTeam], K$1)</f>
        <v>41</v>
      </c>
      <c r="L118" s="145">
        <f>SUMIFS(Table2[NewPointsAway],Table2[GameDate], "&lt;=" &amp; $A118, Table2[AwayTeam], L$1)+SUMIFS(Table2[NewPointsHome],Table2[GameDate], "&lt;=" &amp; $A118, Table2[HomeTeam], L$1)</f>
        <v>38</v>
      </c>
      <c r="M118" s="145">
        <f>SUMIFS(Table2[NewPointsAway],Table2[GameDate], "&lt;=" &amp; $A118, Table2[AwayTeam], M$1)+SUMIFS(Table2[NewPointsHome],Table2[GameDate], "&lt;=" &amp; $A118, Table2[HomeTeam], M$1)</f>
        <v>36</v>
      </c>
      <c r="N118" s="145">
        <f>SUMIFS(Table2[NewPointsAway],Table2[GameDate], "&lt;=" &amp; $A118, Table2[AwayTeam], N$1)+SUMIFS(Table2[NewPointsHome],Table2[GameDate], "&lt;=" &amp; $A118, Table2[HomeTeam], N$1)</f>
        <v>37</v>
      </c>
      <c r="O118" s="145">
        <f>SUMIFS(Table2[NewPointsAway],Table2[GameDate], "&lt;=" &amp; $A118, Table2[AwayTeam], O$1)+SUMIFS(Table2[NewPointsHome],Table2[GameDate], "&lt;=" &amp; $A118, Table2[HomeTeam], O$1)</f>
        <v>45</v>
      </c>
      <c r="P118" s="145">
        <f>SUMIFS(Table2[NewPointsAway],Table2[GameDate], "&lt;=" &amp; $A118, Table2[AwayTeam], P$1)+SUMIFS(Table2[NewPointsHome],Table2[GameDate], "&lt;=" &amp; $A118, Table2[HomeTeam], P$1)</f>
        <v>38</v>
      </c>
      <c r="Q118" s="145">
        <f>SUMIFS(Table2[NewPointsAway],Table2[GameDate], "&lt;=" &amp; $A118, Table2[AwayTeam], Q$1)+SUMIFS(Table2[NewPointsHome],Table2[GameDate], "&lt;=" &amp; $A118, Table2[HomeTeam], Q$1)</f>
        <v>37</v>
      </c>
      <c r="R118" s="145">
        <f>SUMIFS(Table2[NewPointsAway],Table2[GameDate], "&lt;=" &amp; $A118, Table2[AwayTeam], R$1)+SUMIFS(Table2[NewPointsHome],Table2[GameDate], "&lt;=" &amp; $A118, Table2[HomeTeam], R$1)</f>
        <v>30</v>
      </c>
      <c r="S118" s="145">
        <f>SUMIFS(Table2[NewPointsAway],Table2[GameDate], "&lt;=" &amp; $A118, Table2[AwayTeam], S$1)+SUMIFS(Table2[NewPointsHome],Table2[GameDate], "&lt;=" &amp; $A118, Table2[HomeTeam], S$1)</f>
        <v>41</v>
      </c>
      <c r="T118" s="145">
        <f>SUMIFS(Table2[NewPointsAway],Table2[GameDate], "&lt;=" &amp; $A118, Table2[AwayTeam], T$1)+SUMIFS(Table2[NewPointsHome],Table2[GameDate], "&lt;=" &amp; $A118, Table2[HomeTeam], T$1)</f>
        <v>36</v>
      </c>
      <c r="U118" s="145">
        <f>SUMIFS(Table2[NewPointsAway],Table2[GameDate], "&lt;=" &amp; $A118, Table2[AwayTeam], U$1)+SUMIFS(Table2[NewPointsHome],Table2[GameDate], "&lt;=" &amp; $A118, Table2[HomeTeam], U$1)</f>
        <v>34</v>
      </c>
      <c r="V118" s="145">
        <f>SUMIFS(Table2[NewPointsAway],Table2[GameDate], "&lt;=" &amp; $A118, Table2[AwayTeam], V$1)+SUMIFS(Table2[NewPointsHome],Table2[GameDate], "&lt;=" &amp; $A118, Table2[HomeTeam], V$1)</f>
        <v>39</v>
      </c>
      <c r="W118" s="145">
        <f>SUMIFS(Table2[NewPointsAway],Table2[GameDate], "&lt;=" &amp; $A118, Table2[AwayTeam], W$1)+SUMIFS(Table2[NewPointsHome],Table2[GameDate], "&lt;=" &amp; $A118, Table2[HomeTeam], W$1)</f>
        <v>37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37</v>
      </c>
      <c r="Z118" s="145">
        <f>SUMIFS(Table2[NewPointsAway],Table2[GameDate], "&lt;=" &amp; $A118, Table2[AwayTeam], Z$1)+SUMIFS(Table2[NewPointsHome],Table2[GameDate], "&lt;=" &amp; $A118, Table2[HomeTeam], Z$1)</f>
        <v>32</v>
      </c>
      <c r="AA118" s="145">
        <f>SUMIFS(Table2[NewPointsAway],Table2[GameDate], "&lt;=" &amp; $A118, Table2[AwayTeam], AA$1)+SUMIFS(Table2[NewPointsHome],Table2[GameDate], "&lt;=" &amp; $A118, Table2[HomeTeam], AA$1)</f>
        <v>39</v>
      </c>
      <c r="AB118" s="145">
        <f>SUMIFS(Table2[NewPointsAway],Table2[GameDate], "&lt;=" &amp; $A118, Table2[AwayTeam], AB$1)+SUMIFS(Table2[NewPointsHome],Table2[GameDate], "&lt;=" &amp; $A118, Table2[HomeTeam], AB$1)</f>
        <v>35</v>
      </c>
      <c r="AC118" s="145">
        <f>SUMIFS(Table2[NewPointsAway],Table2[GameDate], "&lt;=" &amp; $A118, Table2[AwayTeam], AC$1)+SUMIFS(Table2[NewPointsHome],Table2[GameDate], "&lt;=" &amp; $A118, Table2[HomeTeam], AC$1)</f>
        <v>35</v>
      </c>
      <c r="AD118" s="145">
        <f>SUMIFS(Table2[NewPointsAway],Table2[GameDate], "&lt;=" &amp; $A118, Table2[AwayTeam], AD$1)+SUMIFS(Table2[NewPointsHome],Table2[GameDate], "&lt;=" &amp; $A118, Table2[HomeTeam], AD$1)</f>
        <v>29</v>
      </c>
      <c r="AE118" s="145">
        <f>SUMIFS(Table2[NewPointsAway],Table2[GameDate], "&lt;=" &amp; $A118, Table2[AwayTeam], AE$1)+SUMIFS(Table2[NewPointsHome],Table2[GameDate], "&lt;=" &amp; $A118, Table2[HomeTeam], AE$1)</f>
        <v>41</v>
      </c>
      <c r="AF118" s="145">
        <f>SUMIFS(Table2[NewPointsAway],Table2[GameDate], "&lt;=" &amp; $A118, Table2[AwayTeam], AF$1)+SUMIFS(Table2[NewPointsHome],Table2[GameDate], "&lt;=" &amp; $A118, Table2[HomeTeam], AF$1)</f>
        <v>32</v>
      </c>
      <c r="AG118" s="145">
        <f>SUMIFS(Table2[NewPointsAway],Table2[GameDate], "&lt;=" &amp; $A118, Table2[AwayTeam], AG$1)+SUMIFS(Table2[NewPointsHome],Table2[GameDate], "&lt;=" &amp; $A118, Table2[HomeTeam], AG$1)</f>
        <v>40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42</v>
      </c>
      <c r="C119" s="145">
        <f>SUMIFS(Table2[NewPointsAway],Table2[GameDate], "&lt;=" &amp; $A119, Table2[AwayTeam], C$1)+SUMIFS(Table2[NewPointsHome],Table2[GameDate], "&lt;=" &amp; $A119, Table2[HomeTeam], C$1)</f>
        <v>40</v>
      </c>
      <c r="D119" s="145">
        <f>SUMIFS(Table2[NewPointsAway],Table2[GameDate], "&lt;=" &amp; $A119, Table2[AwayTeam], D$1)+SUMIFS(Table2[NewPointsHome],Table2[GameDate], "&lt;=" &amp; $A119, Table2[HomeTeam], D$1)</f>
        <v>32</v>
      </c>
      <c r="E119" s="145">
        <f>SUMIFS(Table2[NewPointsAway],Table2[GameDate], "&lt;=" &amp; $A119, Table2[AwayTeam], E$1)+SUMIFS(Table2[NewPointsHome],Table2[GameDate], "&lt;=" &amp; $A119, Table2[HomeTeam], E$1)</f>
        <v>44</v>
      </c>
      <c r="F119" s="145">
        <f>SUMIFS(Table2[NewPointsAway],Table2[GameDate], "&lt;=" &amp; $A119, Table2[AwayTeam], F$1)+SUMIFS(Table2[NewPointsHome],Table2[GameDate], "&lt;=" &amp; $A119, Table2[HomeTeam], F$1)</f>
        <v>34</v>
      </c>
      <c r="G119" s="145">
        <f>SUMIFS(Table2[NewPointsAway],Table2[GameDate], "&lt;=" &amp; $A119, Table2[AwayTeam], G$1)+SUMIFS(Table2[NewPointsHome],Table2[GameDate], "&lt;=" &amp; $A119, Table2[HomeTeam], G$1)</f>
        <v>30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55</v>
      </c>
      <c r="J119" s="145">
        <f>SUMIFS(Table2[NewPointsAway],Table2[GameDate], "&lt;=" &amp; $A119, Table2[AwayTeam], J$1)+SUMIFS(Table2[NewPointsHome],Table2[GameDate], "&lt;=" &amp; $A119, Table2[HomeTeam], J$1)</f>
        <v>49</v>
      </c>
      <c r="K119" s="145">
        <f>SUMIFS(Table2[NewPointsAway],Table2[GameDate], "&lt;=" &amp; $A119, Table2[AwayTeam], K$1)+SUMIFS(Table2[NewPointsHome],Table2[GameDate], "&lt;=" &amp; $A119, Table2[HomeTeam], K$1)</f>
        <v>41</v>
      </c>
      <c r="L119" s="145">
        <f>SUMIFS(Table2[NewPointsAway],Table2[GameDate], "&lt;=" &amp; $A119, Table2[AwayTeam], L$1)+SUMIFS(Table2[NewPointsHome],Table2[GameDate], "&lt;=" &amp; $A119, Table2[HomeTeam], L$1)</f>
        <v>38</v>
      </c>
      <c r="M119" s="145">
        <f>SUMIFS(Table2[NewPointsAway],Table2[GameDate], "&lt;=" &amp; $A119, Table2[AwayTeam], M$1)+SUMIFS(Table2[NewPointsHome],Table2[GameDate], "&lt;=" &amp; $A119, Table2[HomeTeam], M$1)</f>
        <v>36</v>
      </c>
      <c r="N119" s="145">
        <f>SUMIFS(Table2[NewPointsAway],Table2[GameDate], "&lt;=" &amp; $A119, Table2[AwayTeam], N$1)+SUMIFS(Table2[NewPointsHome],Table2[GameDate], "&lt;=" &amp; $A119, Table2[HomeTeam], N$1)</f>
        <v>37</v>
      </c>
      <c r="O119" s="145">
        <f>SUMIFS(Table2[NewPointsAway],Table2[GameDate], "&lt;=" &amp; $A119, Table2[AwayTeam], O$1)+SUMIFS(Table2[NewPointsHome],Table2[GameDate], "&lt;=" &amp; $A119, Table2[HomeTeam], O$1)</f>
        <v>45</v>
      </c>
      <c r="P119" s="145">
        <f>SUMIFS(Table2[NewPointsAway],Table2[GameDate], "&lt;=" &amp; $A119, Table2[AwayTeam], P$1)+SUMIFS(Table2[NewPointsHome],Table2[GameDate], "&lt;=" &amp; $A119, Table2[HomeTeam], P$1)</f>
        <v>38</v>
      </c>
      <c r="Q119" s="145">
        <f>SUMIFS(Table2[NewPointsAway],Table2[GameDate], "&lt;=" &amp; $A119, Table2[AwayTeam], Q$1)+SUMIFS(Table2[NewPointsHome],Table2[GameDate], "&lt;=" &amp; $A119, Table2[HomeTeam], Q$1)</f>
        <v>37</v>
      </c>
      <c r="R119" s="145">
        <f>SUMIFS(Table2[NewPointsAway],Table2[GameDate], "&lt;=" &amp; $A119, Table2[AwayTeam], R$1)+SUMIFS(Table2[NewPointsHome],Table2[GameDate], "&lt;=" &amp; $A119, Table2[HomeTeam], R$1)</f>
        <v>30</v>
      </c>
      <c r="S119" s="145">
        <f>SUMIFS(Table2[NewPointsAway],Table2[GameDate], "&lt;=" &amp; $A119, Table2[AwayTeam], S$1)+SUMIFS(Table2[NewPointsHome],Table2[GameDate], "&lt;=" &amp; $A119, Table2[HomeTeam], S$1)</f>
        <v>41</v>
      </c>
      <c r="T119" s="145">
        <f>SUMIFS(Table2[NewPointsAway],Table2[GameDate], "&lt;=" &amp; $A119, Table2[AwayTeam], T$1)+SUMIFS(Table2[NewPointsHome],Table2[GameDate], "&lt;=" &amp; $A119, Table2[HomeTeam], T$1)</f>
        <v>36</v>
      </c>
      <c r="U119" s="145">
        <f>SUMIFS(Table2[NewPointsAway],Table2[GameDate], "&lt;=" &amp; $A119, Table2[AwayTeam], U$1)+SUMIFS(Table2[NewPointsHome],Table2[GameDate], "&lt;=" &amp; $A119, Table2[HomeTeam], U$1)</f>
        <v>34</v>
      </c>
      <c r="V119" s="145">
        <f>SUMIFS(Table2[NewPointsAway],Table2[GameDate], "&lt;=" &amp; $A119, Table2[AwayTeam], V$1)+SUMIFS(Table2[NewPointsHome],Table2[GameDate], "&lt;=" &amp; $A119, Table2[HomeTeam], V$1)</f>
        <v>39</v>
      </c>
      <c r="W119" s="145">
        <f>SUMIFS(Table2[NewPointsAway],Table2[GameDate], "&lt;=" &amp; $A119, Table2[AwayTeam], W$1)+SUMIFS(Table2[NewPointsHome],Table2[GameDate], "&lt;=" &amp; $A119, Table2[HomeTeam], W$1)</f>
        <v>37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37</v>
      </c>
      <c r="Z119" s="145">
        <f>SUMIFS(Table2[NewPointsAway],Table2[GameDate], "&lt;=" &amp; $A119, Table2[AwayTeam], Z$1)+SUMIFS(Table2[NewPointsHome],Table2[GameDate], "&lt;=" &amp; $A119, Table2[HomeTeam], Z$1)</f>
        <v>32</v>
      </c>
      <c r="AA119" s="145">
        <f>SUMIFS(Table2[NewPointsAway],Table2[GameDate], "&lt;=" &amp; $A119, Table2[AwayTeam], AA$1)+SUMIFS(Table2[NewPointsHome],Table2[GameDate], "&lt;=" &amp; $A119, Table2[HomeTeam], AA$1)</f>
        <v>39</v>
      </c>
      <c r="AB119" s="145">
        <f>SUMIFS(Table2[NewPointsAway],Table2[GameDate], "&lt;=" &amp; $A119, Table2[AwayTeam], AB$1)+SUMIFS(Table2[NewPointsHome],Table2[GameDate], "&lt;=" &amp; $A119, Table2[HomeTeam], AB$1)</f>
        <v>35</v>
      </c>
      <c r="AC119" s="145">
        <f>SUMIFS(Table2[NewPointsAway],Table2[GameDate], "&lt;=" &amp; $A119, Table2[AwayTeam], AC$1)+SUMIFS(Table2[NewPointsHome],Table2[GameDate], "&lt;=" &amp; $A119, Table2[HomeTeam], AC$1)</f>
        <v>35</v>
      </c>
      <c r="AD119" s="145">
        <f>SUMIFS(Table2[NewPointsAway],Table2[GameDate], "&lt;=" &amp; $A119, Table2[AwayTeam], AD$1)+SUMIFS(Table2[NewPointsHome],Table2[GameDate], "&lt;=" &amp; $A119, Table2[HomeTeam], AD$1)</f>
        <v>29</v>
      </c>
      <c r="AE119" s="145">
        <f>SUMIFS(Table2[NewPointsAway],Table2[GameDate], "&lt;=" &amp; $A119, Table2[AwayTeam], AE$1)+SUMIFS(Table2[NewPointsHome],Table2[GameDate], "&lt;=" &amp; $A119, Table2[HomeTeam], AE$1)</f>
        <v>41</v>
      </c>
      <c r="AF119" s="145">
        <f>SUMIFS(Table2[NewPointsAway],Table2[GameDate], "&lt;=" &amp; $A119, Table2[AwayTeam], AF$1)+SUMIFS(Table2[NewPointsHome],Table2[GameDate], "&lt;=" &amp; $A119, Table2[HomeTeam], AF$1)</f>
        <v>32</v>
      </c>
      <c r="AG119" s="145">
        <f>SUMIFS(Table2[NewPointsAway],Table2[GameDate], "&lt;=" &amp; $A119, Table2[AwayTeam], AG$1)+SUMIFS(Table2[NewPointsHome],Table2[GameDate], "&lt;=" &amp; $A119, Table2[HomeTeam], AG$1)</f>
        <v>40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42</v>
      </c>
      <c r="C120" s="145">
        <f>SUMIFS(Table2[NewPointsAway],Table2[GameDate], "&lt;=" &amp; $A120, Table2[AwayTeam], C$1)+SUMIFS(Table2[NewPointsHome],Table2[GameDate], "&lt;=" &amp; $A120, Table2[HomeTeam], C$1)</f>
        <v>40</v>
      </c>
      <c r="D120" s="145">
        <f>SUMIFS(Table2[NewPointsAway],Table2[GameDate], "&lt;=" &amp; $A120, Table2[AwayTeam], D$1)+SUMIFS(Table2[NewPointsHome],Table2[GameDate], "&lt;=" &amp; $A120, Table2[HomeTeam], D$1)</f>
        <v>32</v>
      </c>
      <c r="E120" s="145">
        <f>SUMIFS(Table2[NewPointsAway],Table2[GameDate], "&lt;=" &amp; $A120, Table2[AwayTeam], E$1)+SUMIFS(Table2[NewPointsHome],Table2[GameDate], "&lt;=" &amp; $A120, Table2[HomeTeam], E$1)</f>
        <v>44</v>
      </c>
      <c r="F120" s="145">
        <f>SUMIFS(Table2[NewPointsAway],Table2[GameDate], "&lt;=" &amp; $A120, Table2[AwayTeam], F$1)+SUMIFS(Table2[NewPointsHome],Table2[GameDate], "&lt;=" &amp; $A120, Table2[HomeTeam], F$1)</f>
        <v>34</v>
      </c>
      <c r="G120" s="145">
        <f>SUMIFS(Table2[NewPointsAway],Table2[GameDate], "&lt;=" &amp; $A120, Table2[AwayTeam], G$1)+SUMIFS(Table2[NewPointsHome],Table2[GameDate], "&lt;=" &amp; $A120, Table2[HomeTeam], G$1)</f>
        <v>30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55</v>
      </c>
      <c r="J120" s="145">
        <f>SUMIFS(Table2[NewPointsAway],Table2[GameDate], "&lt;=" &amp; $A120, Table2[AwayTeam], J$1)+SUMIFS(Table2[NewPointsHome],Table2[GameDate], "&lt;=" &amp; $A120, Table2[HomeTeam], J$1)</f>
        <v>49</v>
      </c>
      <c r="K120" s="145">
        <f>SUMIFS(Table2[NewPointsAway],Table2[GameDate], "&lt;=" &amp; $A120, Table2[AwayTeam], K$1)+SUMIFS(Table2[NewPointsHome],Table2[GameDate], "&lt;=" &amp; $A120, Table2[HomeTeam], K$1)</f>
        <v>41</v>
      </c>
      <c r="L120" s="145">
        <f>SUMIFS(Table2[NewPointsAway],Table2[GameDate], "&lt;=" &amp; $A120, Table2[AwayTeam], L$1)+SUMIFS(Table2[NewPointsHome],Table2[GameDate], "&lt;=" &amp; $A120, Table2[HomeTeam], L$1)</f>
        <v>38</v>
      </c>
      <c r="M120" s="145">
        <f>SUMIFS(Table2[NewPointsAway],Table2[GameDate], "&lt;=" &amp; $A120, Table2[AwayTeam], M$1)+SUMIFS(Table2[NewPointsHome],Table2[GameDate], "&lt;=" &amp; $A120, Table2[HomeTeam], M$1)</f>
        <v>36</v>
      </c>
      <c r="N120" s="145">
        <f>SUMIFS(Table2[NewPointsAway],Table2[GameDate], "&lt;=" &amp; $A120, Table2[AwayTeam], N$1)+SUMIFS(Table2[NewPointsHome],Table2[GameDate], "&lt;=" &amp; $A120, Table2[HomeTeam], N$1)</f>
        <v>37</v>
      </c>
      <c r="O120" s="145">
        <f>SUMIFS(Table2[NewPointsAway],Table2[GameDate], "&lt;=" &amp; $A120, Table2[AwayTeam], O$1)+SUMIFS(Table2[NewPointsHome],Table2[GameDate], "&lt;=" &amp; $A120, Table2[HomeTeam], O$1)</f>
        <v>45</v>
      </c>
      <c r="P120" s="145">
        <f>SUMIFS(Table2[NewPointsAway],Table2[GameDate], "&lt;=" &amp; $A120, Table2[AwayTeam], P$1)+SUMIFS(Table2[NewPointsHome],Table2[GameDate], "&lt;=" &amp; $A120, Table2[HomeTeam], P$1)</f>
        <v>38</v>
      </c>
      <c r="Q120" s="145">
        <f>SUMIFS(Table2[NewPointsAway],Table2[GameDate], "&lt;=" &amp; $A120, Table2[AwayTeam], Q$1)+SUMIFS(Table2[NewPointsHome],Table2[GameDate], "&lt;=" &amp; $A120, Table2[HomeTeam], Q$1)</f>
        <v>37</v>
      </c>
      <c r="R120" s="145">
        <f>SUMIFS(Table2[NewPointsAway],Table2[GameDate], "&lt;=" &amp; $A120, Table2[AwayTeam], R$1)+SUMIFS(Table2[NewPointsHome],Table2[GameDate], "&lt;=" &amp; $A120, Table2[HomeTeam], R$1)</f>
        <v>30</v>
      </c>
      <c r="S120" s="145">
        <f>SUMIFS(Table2[NewPointsAway],Table2[GameDate], "&lt;=" &amp; $A120, Table2[AwayTeam], S$1)+SUMIFS(Table2[NewPointsHome],Table2[GameDate], "&lt;=" &amp; $A120, Table2[HomeTeam], S$1)</f>
        <v>41</v>
      </c>
      <c r="T120" s="145">
        <f>SUMIFS(Table2[NewPointsAway],Table2[GameDate], "&lt;=" &amp; $A120, Table2[AwayTeam], T$1)+SUMIFS(Table2[NewPointsHome],Table2[GameDate], "&lt;=" &amp; $A120, Table2[HomeTeam], T$1)</f>
        <v>36</v>
      </c>
      <c r="U120" s="145">
        <f>SUMIFS(Table2[NewPointsAway],Table2[GameDate], "&lt;=" &amp; $A120, Table2[AwayTeam], U$1)+SUMIFS(Table2[NewPointsHome],Table2[GameDate], "&lt;=" &amp; $A120, Table2[HomeTeam], U$1)</f>
        <v>34</v>
      </c>
      <c r="V120" s="145">
        <f>SUMIFS(Table2[NewPointsAway],Table2[GameDate], "&lt;=" &amp; $A120, Table2[AwayTeam], V$1)+SUMIFS(Table2[NewPointsHome],Table2[GameDate], "&lt;=" &amp; $A120, Table2[HomeTeam], V$1)</f>
        <v>39</v>
      </c>
      <c r="W120" s="145">
        <f>SUMIFS(Table2[NewPointsAway],Table2[GameDate], "&lt;=" &amp; $A120, Table2[AwayTeam], W$1)+SUMIFS(Table2[NewPointsHome],Table2[GameDate], "&lt;=" &amp; $A120, Table2[HomeTeam], W$1)</f>
        <v>37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37</v>
      </c>
      <c r="Z120" s="145">
        <f>SUMIFS(Table2[NewPointsAway],Table2[GameDate], "&lt;=" &amp; $A120, Table2[AwayTeam], Z$1)+SUMIFS(Table2[NewPointsHome],Table2[GameDate], "&lt;=" &amp; $A120, Table2[HomeTeam], Z$1)</f>
        <v>32</v>
      </c>
      <c r="AA120" s="145">
        <f>SUMIFS(Table2[NewPointsAway],Table2[GameDate], "&lt;=" &amp; $A120, Table2[AwayTeam], AA$1)+SUMIFS(Table2[NewPointsHome],Table2[GameDate], "&lt;=" &amp; $A120, Table2[HomeTeam], AA$1)</f>
        <v>39</v>
      </c>
      <c r="AB120" s="145">
        <f>SUMIFS(Table2[NewPointsAway],Table2[GameDate], "&lt;=" &amp; $A120, Table2[AwayTeam], AB$1)+SUMIFS(Table2[NewPointsHome],Table2[GameDate], "&lt;=" &amp; $A120, Table2[HomeTeam], AB$1)</f>
        <v>35</v>
      </c>
      <c r="AC120" s="145">
        <f>SUMIFS(Table2[NewPointsAway],Table2[GameDate], "&lt;=" &amp; $A120, Table2[AwayTeam], AC$1)+SUMIFS(Table2[NewPointsHome],Table2[GameDate], "&lt;=" &amp; $A120, Table2[HomeTeam], AC$1)</f>
        <v>35</v>
      </c>
      <c r="AD120" s="145">
        <f>SUMIFS(Table2[NewPointsAway],Table2[GameDate], "&lt;=" &amp; $A120, Table2[AwayTeam], AD$1)+SUMIFS(Table2[NewPointsHome],Table2[GameDate], "&lt;=" &amp; $A120, Table2[HomeTeam], AD$1)</f>
        <v>29</v>
      </c>
      <c r="AE120" s="145">
        <f>SUMIFS(Table2[NewPointsAway],Table2[GameDate], "&lt;=" &amp; $A120, Table2[AwayTeam], AE$1)+SUMIFS(Table2[NewPointsHome],Table2[GameDate], "&lt;=" &amp; $A120, Table2[HomeTeam], AE$1)</f>
        <v>41</v>
      </c>
      <c r="AF120" s="145">
        <f>SUMIFS(Table2[NewPointsAway],Table2[GameDate], "&lt;=" &amp; $A120, Table2[AwayTeam], AF$1)+SUMIFS(Table2[NewPointsHome],Table2[GameDate], "&lt;=" &amp; $A120, Table2[HomeTeam], AF$1)</f>
        <v>32</v>
      </c>
      <c r="AG120" s="145">
        <f>SUMIFS(Table2[NewPointsAway],Table2[GameDate], "&lt;=" &amp; $A120, Table2[AwayTeam], AG$1)+SUMIFS(Table2[NewPointsHome],Table2[GameDate], "&lt;=" &amp; $A120, Table2[HomeTeam], AG$1)</f>
        <v>40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42</v>
      </c>
      <c r="C121" s="145">
        <f>SUMIFS(Table2[NewPointsAway],Table2[GameDate], "&lt;=" &amp; $A121, Table2[AwayTeam], C$1)+SUMIFS(Table2[NewPointsHome],Table2[GameDate], "&lt;=" &amp; $A121, Table2[HomeTeam], C$1)</f>
        <v>40</v>
      </c>
      <c r="D121" s="145">
        <f>SUMIFS(Table2[NewPointsAway],Table2[GameDate], "&lt;=" &amp; $A121, Table2[AwayTeam], D$1)+SUMIFS(Table2[NewPointsHome],Table2[GameDate], "&lt;=" &amp; $A121, Table2[HomeTeam], D$1)</f>
        <v>32</v>
      </c>
      <c r="E121" s="145">
        <f>SUMIFS(Table2[NewPointsAway],Table2[GameDate], "&lt;=" &amp; $A121, Table2[AwayTeam], E$1)+SUMIFS(Table2[NewPointsHome],Table2[GameDate], "&lt;=" &amp; $A121, Table2[HomeTeam], E$1)</f>
        <v>44</v>
      </c>
      <c r="F121" s="145">
        <f>SUMIFS(Table2[NewPointsAway],Table2[GameDate], "&lt;=" &amp; $A121, Table2[AwayTeam], F$1)+SUMIFS(Table2[NewPointsHome],Table2[GameDate], "&lt;=" &amp; $A121, Table2[HomeTeam], F$1)</f>
        <v>34</v>
      </c>
      <c r="G121" s="145">
        <f>SUMIFS(Table2[NewPointsAway],Table2[GameDate], "&lt;=" &amp; $A121, Table2[AwayTeam], G$1)+SUMIFS(Table2[NewPointsHome],Table2[GameDate], "&lt;=" &amp; $A121, Table2[HomeTeam], G$1)</f>
        <v>30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55</v>
      </c>
      <c r="J121" s="145">
        <f>SUMIFS(Table2[NewPointsAway],Table2[GameDate], "&lt;=" &amp; $A121, Table2[AwayTeam], J$1)+SUMIFS(Table2[NewPointsHome],Table2[GameDate], "&lt;=" &amp; $A121, Table2[HomeTeam], J$1)</f>
        <v>49</v>
      </c>
      <c r="K121" s="145">
        <f>SUMIFS(Table2[NewPointsAway],Table2[GameDate], "&lt;=" &amp; $A121, Table2[AwayTeam], K$1)+SUMIFS(Table2[NewPointsHome],Table2[GameDate], "&lt;=" &amp; $A121, Table2[HomeTeam], K$1)</f>
        <v>41</v>
      </c>
      <c r="L121" s="145">
        <f>SUMIFS(Table2[NewPointsAway],Table2[GameDate], "&lt;=" &amp; $A121, Table2[AwayTeam], L$1)+SUMIFS(Table2[NewPointsHome],Table2[GameDate], "&lt;=" &amp; $A121, Table2[HomeTeam], L$1)</f>
        <v>38</v>
      </c>
      <c r="M121" s="145">
        <f>SUMIFS(Table2[NewPointsAway],Table2[GameDate], "&lt;=" &amp; $A121, Table2[AwayTeam], M$1)+SUMIFS(Table2[NewPointsHome],Table2[GameDate], "&lt;=" &amp; $A121, Table2[HomeTeam], M$1)</f>
        <v>36</v>
      </c>
      <c r="N121" s="145">
        <f>SUMIFS(Table2[NewPointsAway],Table2[GameDate], "&lt;=" &amp; $A121, Table2[AwayTeam], N$1)+SUMIFS(Table2[NewPointsHome],Table2[GameDate], "&lt;=" &amp; $A121, Table2[HomeTeam], N$1)</f>
        <v>37</v>
      </c>
      <c r="O121" s="145">
        <f>SUMIFS(Table2[NewPointsAway],Table2[GameDate], "&lt;=" &amp; $A121, Table2[AwayTeam], O$1)+SUMIFS(Table2[NewPointsHome],Table2[GameDate], "&lt;=" &amp; $A121, Table2[HomeTeam], O$1)</f>
        <v>45</v>
      </c>
      <c r="P121" s="145">
        <f>SUMIFS(Table2[NewPointsAway],Table2[GameDate], "&lt;=" &amp; $A121, Table2[AwayTeam], P$1)+SUMIFS(Table2[NewPointsHome],Table2[GameDate], "&lt;=" &amp; $A121, Table2[HomeTeam], P$1)</f>
        <v>38</v>
      </c>
      <c r="Q121" s="145">
        <f>SUMIFS(Table2[NewPointsAway],Table2[GameDate], "&lt;=" &amp; $A121, Table2[AwayTeam], Q$1)+SUMIFS(Table2[NewPointsHome],Table2[GameDate], "&lt;=" &amp; $A121, Table2[HomeTeam], Q$1)</f>
        <v>37</v>
      </c>
      <c r="R121" s="145">
        <f>SUMIFS(Table2[NewPointsAway],Table2[GameDate], "&lt;=" &amp; $A121, Table2[AwayTeam], R$1)+SUMIFS(Table2[NewPointsHome],Table2[GameDate], "&lt;=" &amp; $A121, Table2[HomeTeam], R$1)</f>
        <v>30</v>
      </c>
      <c r="S121" s="145">
        <f>SUMIFS(Table2[NewPointsAway],Table2[GameDate], "&lt;=" &amp; $A121, Table2[AwayTeam], S$1)+SUMIFS(Table2[NewPointsHome],Table2[GameDate], "&lt;=" &amp; $A121, Table2[HomeTeam], S$1)</f>
        <v>41</v>
      </c>
      <c r="T121" s="145">
        <f>SUMIFS(Table2[NewPointsAway],Table2[GameDate], "&lt;=" &amp; $A121, Table2[AwayTeam], T$1)+SUMIFS(Table2[NewPointsHome],Table2[GameDate], "&lt;=" &amp; $A121, Table2[HomeTeam], T$1)</f>
        <v>36</v>
      </c>
      <c r="U121" s="145">
        <f>SUMIFS(Table2[NewPointsAway],Table2[GameDate], "&lt;=" &amp; $A121, Table2[AwayTeam], U$1)+SUMIFS(Table2[NewPointsHome],Table2[GameDate], "&lt;=" &amp; $A121, Table2[HomeTeam], U$1)</f>
        <v>34</v>
      </c>
      <c r="V121" s="145">
        <f>SUMIFS(Table2[NewPointsAway],Table2[GameDate], "&lt;=" &amp; $A121, Table2[AwayTeam], V$1)+SUMIFS(Table2[NewPointsHome],Table2[GameDate], "&lt;=" &amp; $A121, Table2[HomeTeam], V$1)</f>
        <v>39</v>
      </c>
      <c r="W121" s="145">
        <f>SUMIFS(Table2[NewPointsAway],Table2[GameDate], "&lt;=" &amp; $A121, Table2[AwayTeam], W$1)+SUMIFS(Table2[NewPointsHome],Table2[GameDate], "&lt;=" &amp; $A121, Table2[HomeTeam], W$1)</f>
        <v>37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37</v>
      </c>
      <c r="Z121" s="145">
        <f>SUMIFS(Table2[NewPointsAway],Table2[GameDate], "&lt;=" &amp; $A121, Table2[AwayTeam], Z$1)+SUMIFS(Table2[NewPointsHome],Table2[GameDate], "&lt;=" &amp; $A121, Table2[HomeTeam], Z$1)</f>
        <v>32</v>
      </c>
      <c r="AA121" s="145">
        <f>SUMIFS(Table2[NewPointsAway],Table2[GameDate], "&lt;=" &amp; $A121, Table2[AwayTeam], AA$1)+SUMIFS(Table2[NewPointsHome],Table2[GameDate], "&lt;=" &amp; $A121, Table2[HomeTeam], AA$1)</f>
        <v>39</v>
      </c>
      <c r="AB121" s="145">
        <f>SUMIFS(Table2[NewPointsAway],Table2[GameDate], "&lt;=" &amp; $A121, Table2[AwayTeam], AB$1)+SUMIFS(Table2[NewPointsHome],Table2[GameDate], "&lt;=" &amp; $A121, Table2[HomeTeam], AB$1)</f>
        <v>35</v>
      </c>
      <c r="AC121" s="145">
        <f>SUMIFS(Table2[NewPointsAway],Table2[GameDate], "&lt;=" &amp; $A121, Table2[AwayTeam], AC$1)+SUMIFS(Table2[NewPointsHome],Table2[GameDate], "&lt;=" &amp; $A121, Table2[HomeTeam], AC$1)</f>
        <v>35</v>
      </c>
      <c r="AD121" s="145">
        <f>SUMIFS(Table2[NewPointsAway],Table2[GameDate], "&lt;=" &amp; $A121, Table2[AwayTeam], AD$1)+SUMIFS(Table2[NewPointsHome],Table2[GameDate], "&lt;=" &amp; $A121, Table2[HomeTeam], AD$1)</f>
        <v>29</v>
      </c>
      <c r="AE121" s="145">
        <f>SUMIFS(Table2[NewPointsAway],Table2[GameDate], "&lt;=" &amp; $A121, Table2[AwayTeam], AE$1)+SUMIFS(Table2[NewPointsHome],Table2[GameDate], "&lt;=" &amp; $A121, Table2[HomeTeam], AE$1)</f>
        <v>41</v>
      </c>
      <c r="AF121" s="145">
        <f>SUMIFS(Table2[NewPointsAway],Table2[GameDate], "&lt;=" &amp; $A121, Table2[AwayTeam], AF$1)+SUMIFS(Table2[NewPointsHome],Table2[GameDate], "&lt;=" &amp; $A121, Table2[HomeTeam], AF$1)</f>
        <v>32</v>
      </c>
      <c r="AG121" s="145">
        <f>SUMIFS(Table2[NewPointsAway],Table2[GameDate], "&lt;=" &amp; $A121, Table2[AwayTeam], AG$1)+SUMIFS(Table2[NewPointsHome],Table2[GameDate], "&lt;=" &amp; $A121, Table2[HomeTeam], AG$1)</f>
        <v>40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42</v>
      </c>
      <c r="C122" s="145">
        <f>SUMIFS(Table2[NewPointsAway],Table2[GameDate], "&lt;=" &amp; $A122, Table2[AwayTeam], C$1)+SUMIFS(Table2[NewPointsHome],Table2[GameDate], "&lt;=" &amp; $A122, Table2[HomeTeam], C$1)</f>
        <v>40</v>
      </c>
      <c r="D122" s="145">
        <f>SUMIFS(Table2[NewPointsAway],Table2[GameDate], "&lt;=" &amp; $A122, Table2[AwayTeam], D$1)+SUMIFS(Table2[NewPointsHome],Table2[GameDate], "&lt;=" &amp; $A122, Table2[HomeTeam], D$1)</f>
        <v>32</v>
      </c>
      <c r="E122" s="145">
        <f>SUMIFS(Table2[NewPointsAway],Table2[GameDate], "&lt;=" &amp; $A122, Table2[AwayTeam], E$1)+SUMIFS(Table2[NewPointsHome],Table2[GameDate], "&lt;=" &amp; $A122, Table2[HomeTeam], E$1)</f>
        <v>44</v>
      </c>
      <c r="F122" s="145">
        <f>SUMIFS(Table2[NewPointsAway],Table2[GameDate], "&lt;=" &amp; $A122, Table2[AwayTeam], F$1)+SUMIFS(Table2[NewPointsHome],Table2[GameDate], "&lt;=" &amp; $A122, Table2[HomeTeam], F$1)</f>
        <v>34</v>
      </c>
      <c r="G122" s="145">
        <f>SUMIFS(Table2[NewPointsAway],Table2[GameDate], "&lt;=" &amp; $A122, Table2[AwayTeam], G$1)+SUMIFS(Table2[NewPointsHome],Table2[GameDate], "&lt;=" &amp; $A122, Table2[HomeTeam], G$1)</f>
        <v>30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55</v>
      </c>
      <c r="J122" s="145">
        <f>SUMIFS(Table2[NewPointsAway],Table2[GameDate], "&lt;=" &amp; $A122, Table2[AwayTeam], J$1)+SUMIFS(Table2[NewPointsHome],Table2[GameDate], "&lt;=" &amp; $A122, Table2[HomeTeam], J$1)</f>
        <v>49</v>
      </c>
      <c r="K122" s="145">
        <f>SUMIFS(Table2[NewPointsAway],Table2[GameDate], "&lt;=" &amp; $A122, Table2[AwayTeam], K$1)+SUMIFS(Table2[NewPointsHome],Table2[GameDate], "&lt;=" &amp; $A122, Table2[HomeTeam], K$1)</f>
        <v>41</v>
      </c>
      <c r="L122" s="145">
        <f>SUMIFS(Table2[NewPointsAway],Table2[GameDate], "&lt;=" &amp; $A122, Table2[AwayTeam], L$1)+SUMIFS(Table2[NewPointsHome],Table2[GameDate], "&lt;=" &amp; $A122, Table2[HomeTeam], L$1)</f>
        <v>38</v>
      </c>
      <c r="M122" s="145">
        <f>SUMIFS(Table2[NewPointsAway],Table2[GameDate], "&lt;=" &amp; $A122, Table2[AwayTeam], M$1)+SUMIFS(Table2[NewPointsHome],Table2[GameDate], "&lt;=" &amp; $A122, Table2[HomeTeam], M$1)</f>
        <v>36</v>
      </c>
      <c r="N122" s="145">
        <f>SUMIFS(Table2[NewPointsAway],Table2[GameDate], "&lt;=" &amp; $A122, Table2[AwayTeam], N$1)+SUMIFS(Table2[NewPointsHome],Table2[GameDate], "&lt;=" &amp; $A122, Table2[HomeTeam], N$1)</f>
        <v>37</v>
      </c>
      <c r="O122" s="145">
        <f>SUMIFS(Table2[NewPointsAway],Table2[GameDate], "&lt;=" &amp; $A122, Table2[AwayTeam], O$1)+SUMIFS(Table2[NewPointsHome],Table2[GameDate], "&lt;=" &amp; $A122, Table2[HomeTeam], O$1)</f>
        <v>45</v>
      </c>
      <c r="P122" s="145">
        <f>SUMIFS(Table2[NewPointsAway],Table2[GameDate], "&lt;=" &amp; $A122, Table2[AwayTeam], P$1)+SUMIFS(Table2[NewPointsHome],Table2[GameDate], "&lt;=" &amp; $A122, Table2[HomeTeam], P$1)</f>
        <v>38</v>
      </c>
      <c r="Q122" s="145">
        <f>SUMIFS(Table2[NewPointsAway],Table2[GameDate], "&lt;=" &amp; $A122, Table2[AwayTeam], Q$1)+SUMIFS(Table2[NewPointsHome],Table2[GameDate], "&lt;=" &amp; $A122, Table2[HomeTeam], Q$1)</f>
        <v>37</v>
      </c>
      <c r="R122" s="145">
        <f>SUMIFS(Table2[NewPointsAway],Table2[GameDate], "&lt;=" &amp; $A122, Table2[AwayTeam], R$1)+SUMIFS(Table2[NewPointsHome],Table2[GameDate], "&lt;=" &amp; $A122, Table2[HomeTeam], R$1)</f>
        <v>30</v>
      </c>
      <c r="S122" s="145">
        <f>SUMIFS(Table2[NewPointsAway],Table2[GameDate], "&lt;=" &amp; $A122, Table2[AwayTeam], S$1)+SUMIFS(Table2[NewPointsHome],Table2[GameDate], "&lt;=" &amp; $A122, Table2[HomeTeam], S$1)</f>
        <v>41</v>
      </c>
      <c r="T122" s="145">
        <f>SUMIFS(Table2[NewPointsAway],Table2[GameDate], "&lt;=" &amp; $A122, Table2[AwayTeam], T$1)+SUMIFS(Table2[NewPointsHome],Table2[GameDate], "&lt;=" &amp; $A122, Table2[HomeTeam], T$1)</f>
        <v>36</v>
      </c>
      <c r="U122" s="145">
        <f>SUMIFS(Table2[NewPointsAway],Table2[GameDate], "&lt;=" &amp; $A122, Table2[AwayTeam], U$1)+SUMIFS(Table2[NewPointsHome],Table2[GameDate], "&lt;=" &amp; $A122, Table2[HomeTeam], U$1)</f>
        <v>34</v>
      </c>
      <c r="V122" s="145">
        <f>SUMIFS(Table2[NewPointsAway],Table2[GameDate], "&lt;=" &amp; $A122, Table2[AwayTeam], V$1)+SUMIFS(Table2[NewPointsHome],Table2[GameDate], "&lt;=" &amp; $A122, Table2[HomeTeam], V$1)</f>
        <v>39</v>
      </c>
      <c r="W122" s="145">
        <f>SUMIFS(Table2[NewPointsAway],Table2[GameDate], "&lt;=" &amp; $A122, Table2[AwayTeam], W$1)+SUMIFS(Table2[NewPointsHome],Table2[GameDate], "&lt;=" &amp; $A122, Table2[HomeTeam], W$1)</f>
        <v>37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37</v>
      </c>
      <c r="Z122" s="145">
        <f>SUMIFS(Table2[NewPointsAway],Table2[GameDate], "&lt;=" &amp; $A122, Table2[AwayTeam], Z$1)+SUMIFS(Table2[NewPointsHome],Table2[GameDate], "&lt;=" &amp; $A122, Table2[HomeTeam], Z$1)</f>
        <v>32</v>
      </c>
      <c r="AA122" s="145">
        <f>SUMIFS(Table2[NewPointsAway],Table2[GameDate], "&lt;=" &amp; $A122, Table2[AwayTeam], AA$1)+SUMIFS(Table2[NewPointsHome],Table2[GameDate], "&lt;=" &amp; $A122, Table2[HomeTeam], AA$1)</f>
        <v>39</v>
      </c>
      <c r="AB122" s="145">
        <f>SUMIFS(Table2[NewPointsAway],Table2[GameDate], "&lt;=" &amp; $A122, Table2[AwayTeam], AB$1)+SUMIFS(Table2[NewPointsHome],Table2[GameDate], "&lt;=" &amp; $A122, Table2[HomeTeam], AB$1)</f>
        <v>35</v>
      </c>
      <c r="AC122" s="145">
        <f>SUMIFS(Table2[NewPointsAway],Table2[GameDate], "&lt;=" &amp; $A122, Table2[AwayTeam], AC$1)+SUMIFS(Table2[NewPointsHome],Table2[GameDate], "&lt;=" &amp; $A122, Table2[HomeTeam], AC$1)</f>
        <v>35</v>
      </c>
      <c r="AD122" s="145">
        <f>SUMIFS(Table2[NewPointsAway],Table2[GameDate], "&lt;=" &amp; $A122, Table2[AwayTeam], AD$1)+SUMIFS(Table2[NewPointsHome],Table2[GameDate], "&lt;=" &amp; $A122, Table2[HomeTeam], AD$1)</f>
        <v>29</v>
      </c>
      <c r="AE122" s="145">
        <f>SUMIFS(Table2[NewPointsAway],Table2[GameDate], "&lt;=" &amp; $A122, Table2[AwayTeam], AE$1)+SUMIFS(Table2[NewPointsHome],Table2[GameDate], "&lt;=" &amp; $A122, Table2[HomeTeam], AE$1)</f>
        <v>41</v>
      </c>
      <c r="AF122" s="145">
        <f>SUMIFS(Table2[NewPointsAway],Table2[GameDate], "&lt;=" &amp; $A122, Table2[AwayTeam], AF$1)+SUMIFS(Table2[NewPointsHome],Table2[GameDate], "&lt;=" &amp; $A122, Table2[HomeTeam], AF$1)</f>
        <v>32</v>
      </c>
      <c r="AG122" s="145">
        <f>SUMIFS(Table2[NewPointsAway],Table2[GameDate], "&lt;=" &amp; $A122, Table2[AwayTeam], AG$1)+SUMIFS(Table2[NewPointsHome],Table2[GameDate], "&lt;=" &amp; $A122, Table2[HomeTeam], AG$1)</f>
        <v>40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42</v>
      </c>
      <c r="C123" s="145">
        <f>SUMIFS(Table2[NewPointsAway],Table2[GameDate], "&lt;=" &amp; $A123, Table2[AwayTeam], C$1)+SUMIFS(Table2[NewPointsHome],Table2[GameDate], "&lt;=" &amp; $A123, Table2[HomeTeam], C$1)</f>
        <v>40</v>
      </c>
      <c r="D123" s="145">
        <f>SUMIFS(Table2[NewPointsAway],Table2[GameDate], "&lt;=" &amp; $A123, Table2[AwayTeam], D$1)+SUMIFS(Table2[NewPointsHome],Table2[GameDate], "&lt;=" &amp; $A123, Table2[HomeTeam], D$1)</f>
        <v>32</v>
      </c>
      <c r="E123" s="145">
        <f>SUMIFS(Table2[NewPointsAway],Table2[GameDate], "&lt;=" &amp; $A123, Table2[AwayTeam], E$1)+SUMIFS(Table2[NewPointsHome],Table2[GameDate], "&lt;=" &amp; $A123, Table2[HomeTeam], E$1)</f>
        <v>44</v>
      </c>
      <c r="F123" s="145">
        <f>SUMIFS(Table2[NewPointsAway],Table2[GameDate], "&lt;=" &amp; $A123, Table2[AwayTeam], F$1)+SUMIFS(Table2[NewPointsHome],Table2[GameDate], "&lt;=" &amp; $A123, Table2[HomeTeam], F$1)</f>
        <v>34</v>
      </c>
      <c r="G123" s="145">
        <f>SUMIFS(Table2[NewPointsAway],Table2[GameDate], "&lt;=" &amp; $A123, Table2[AwayTeam], G$1)+SUMIFS(Table2[NewPointsHome],Table2[GameDate], "&lt;=" &amp; $A123, Table2[HomeTeam], G$1)</f>
        <v>30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55</v>
      </c>
      <c r="J123" s="145">
        <f>SUMIFS(Table2[NewPointsAway],Table2[GameDate], "&lt;=" &amp; $A123, Table2[AwayTeam], J$1)+SUMIFS(Table2[NewPointsHome],Table2[GameDate], "&lt;=" &amp; $A123, Table2[HomeTeam], J$1)</f>
        <v>49</v>
      </c>
      <c r="K123" s="145">
        <f>SUMIFS(Table2[NewPointsAway],Table2[GameDate], "&lt;=" &amp; $A123, Table2[AwayTeam], K$1)+SUMIFS(Table2[NewPointsHome],Table2[GameDate], "&lt;=" &amp; $A123, Table2[HomeTeam], K$1)</f>
        <v>41</v>
      </c>
      <c r="L123" s="145">
        <f>SUMIFS(Table2[NewPointsAway],Table2[GameDate], "&lt;=" &amp; $A123, Table2[AwayTeam], L$1)+SUMIFS(Table2[NewPointsHome],Table2[GameDate], "&lt;=" &amp; $A123, Table2[HomeTeam], L$1)</f>
        <v>38</v>
      </c>
      <c r="M123" s="145">
        <f>SUMIFS(Table2[NewPointsAway],Table2[GameDate], "&lt;=" &amp; $A123, Table2[AwayTeam], M$1)+SUMIFS(Table2[NewPointsHome],Table2[GameDate], "&lt;=" &amp; $A123, Table2[HomeTeam], M$1)</f>
        <v>36</v>
      </c>
      <c r="N123" s="145">
        <f>SUMIFS(Table2[NewPointsAway],Table2[GameDate], "&lt;=" &amp; $A123, Table2[AwayTeam], N$1)+SUMIFS(Table2[NewPointsHome],Table2[GameDate], "&lt;=" &amp; $A123, Table2[HomeTeam], N$1)</f>
        <v>37</v>
      </c>
      <c r="O123" s="145">
        <f>SUMIFS(Table2[NewPointsAway],Table2[GameDate], "&lt;=" &amp; $A123, Table2[AwayTeam], O$1)+SUMIFS(Table2[NewPointsHome],Table2[GameDate], "&lt;=" &amp; $A123, Table2[HomeTeam], O$1)</f>
        <v>45</v>
      </c>
      <c r="P123" s="145">
        <f>SUMIFS(Table2[NewPointsAway],Table2[GameDate], "&lt;=" &amp; $A123, Table2[AwayTeam], P$1)+SUMIFS(Table2[NewPointsHome],Table2[GameDate], "&lt;=" &amp; $A123, Table2[HomeTeam], P$1)</f>
        <v>38</v>
      </c>
      <c r="Q123" s="145">
        <f>SUMIFS(Table2[NewPointsAway],Table2[GameDate], "&lt;=" &amp; $A123, Table2[AwayTeam], Q$1)+SUMIFS(Table2[NewPointsHome],Table2[GameDate], "&lt;=" &amp; $A123, Table2[HomeTeam], Q$1)</f>
        <v>37</v>
      </c>
      <c r="R123" s="145">
        <f>SUMIFS(Table2[NewPointsAway],Table2[GameDate], "&lt;=" &amp; $A123, Table2[AwayTeam], R$1)+SUMIFS(Table2[NewPointsHome],Table2[GameDate], "&lt;=" &amp; $A123, Table2[HomeTeam], R$1)</f>
        <v>30</v>
      </c>
      <c r="S123" s="145">
        <f>SUMIFS(Table2[NewPointsAway],Table2[GameDate], "&lt;=" &amp; $A123, Table2[AwayTeam], S$1)+SUMIFS(Table2[NewPointsHome],Table2[GameDate], "&lt;=" &amp; $A123, Table2[HomeTeam], S$1)</f>
        <v>41</v>
      </c>
      <c r="T123" s="145">
        <f>SUMIFS(Table2[NewPointsAway],Table2[GameDate], "&lt;=" &amp; $A123, Table2[AwayTeam], T$1)+SUMIFS(Table2[NewPointsHome],Table2[GameDate], "&lt;=" &amp; $A123, Table2[HomeTeam], T$1)</f>
        <v>36</v>
      </c>
      <c r="U123" s="145">
        <f>SUMIFS(Table2[NewPointsAway],Table2[GameDate], "&lt;=" &amp; $A123, Table2[AwayTeam], U$1)+SUMIFS(Table2[NewPointsHome],Table2[GameDate], "&lt;=" &amp; $A123, Table2[HomeTeam], U$1)</f>
        <v>34</v>
      </c>
      <c r="V123" s="145">
        <f>SUMIFS(Table2[NewPointsAway],Table2[GameDate], "&lt;=" &amp; $A123, Table2[AwayTeam], V$1)+SUMIFS(Table2[NewPointsHome],Table2[GameDate], "&lt;=" &amp; $A123, Table2[HomeTeam], V$1)</f>
        <v>39</v>
      </c>
      <c r="W123" s="145">
        <f>SUMIFS(Table2[NewPointsAway],Table2[GameDate], "&lt;=" &amp; $A123, Table2[AwayTeam], W$1)+SUMIFS(Table2[NewPointsHome],Table2[GameDate], "&lt;=" &amp; $A123, Table2[HomeTeam], W$1)</f>
        <v>37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37</v>
      </c>
      <c r="Z123" s="145">
        <f>SUMIFS(Table2[NewPointsAway],Table2[GameDate], "&lt;=" &amp; $A123, Table2[AwayTeam], Z$1)+SUMIFS(Table2[NewPointsHome],Table2[GameDate], "&lt;=" &amp; $A123, Table2[HomeTeam], Z$1)</f>
        <v>32</v>
      </c>
      <c r="AA123" s="145">
        <f>SUMIFS(Table2[NewPointsAway],Table2[GameDate], "&lt;=" &amp; $A123, Table2[AwayTeam], AA$1)+SUMIFS(Table2[NewPointsHome],Table2[GameDate], "&lt;=" &amp; $A123, Table2[HomeTeam], AA$1)</f>
        <v>39</v>
      </c>
      <c r="AB123" s="145">
        <f>SUMIFS(Table2[NewPointsAway],Table2[GameDate], "&lt;=" &amp; $A123, Table2[AwayTeam], AB$1)+SUMIFS(Table2[NewPointsHome],Table2[GameDate], "&lt;=" &amp; $A123, Table2[HomeTeam], AB$1)</f>
        <v>35</v>
      </c>
      <c r="AC123" s="145">
        <f>SUMIFS(Table2[NewPointsAway],Table2[GameDate], "&lt;=" &amp; $A123, Table2[AwayTeam], AC$1)+SUMIFS(Table2[NewPointsHome],Table2[GameDate], "&lt;=" &amp; $A123, Table2[HomeTeam], AC$1)</f>
        <v>35</v>
      </c>
      <c r="AD123" s="145">
        <f>SUMIFS(Table2[NewPointsAway],Table2[GameDate], "&lt;=" &amp; $A123, Table2[AwayTeam], AD$1)+SUMIFS(Table2[NewPointsHome],Table2[GameDate], "&lt;=" &amp; $A123, Table2[HomeTeam], AD$1)</f>
        <v>29</v>
      </c>
      <c r="AE123" s="145">
        <f>SUMIFS(Table2[NewPointsAway],Table2[GameDate], "&lt;=" &amp; $A123, Table2[AwayTeam], AE$1)+SUMIFS(Table2[NewPointsHome],Table2[GameDate], "&lt;=" &amp; $A123, Table2[HomeTeam], AE$1)</f>
        <v>41</v>
      </c>
      <c r="AF123" s="145">
        <f>SUMIFS(Table2[NewPointsAway],Table2[GameDate], "&lt;=" &amp; $A123, Table2[AwayTeam], AF$1)+SUMIFS(Table2[NewPointsHome],Table2[GameDate], "&lt;=" &amp; $A123, Table2[HomeTeam], AF$1)</f>
        <v>32</v>
      </c>
      <c r="AG123" s="145">
        <f>SUMIFS(Table2[NewPointsAway],Table2[GameDate], "&lt;=" &amp; $A123, Table2[AwayTeam], AG$1)+SUMIFS(Table2[NewPointsHome],Table2[GameDate], "&lt;=" &amp; $A123, Table2[HomeTeam], AG$1)</f>
        <v>40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42</v>
      </c>
      <c r="C124" s="145">
        <f>SUMIFS(Table2[NewPointsAway],Table2[GameDate], "&lt;=" &amp; $A124, Table2[AwayTeam], C$1)+SUMIFS(Table2[NewPointsHome],Table2[GameDate], "&lt;=" &amp; $A124, Table2[HomeTeam], C$1)</f>
        <v>40</v>
      </c>
      <c r="D124" s="145">
        <f>SUMIFS(Table2[NewPointsAway],Table2[GameDate], "&lt;=" &amp; $A124, Table2[AwayTeam], D$1)+SUMIFS(Table2[NewPointsHome],Table2[GameDate], "&lt;=" &amp; $A124, Table2[HomeTeam], D$1)</f>
        <v>32</v>
      </c>
      <c r="E124" s="145">
        <f>SUMIFS(Table2[NewPointsAway],Table2[GameDate], "&lt;=" &amp; $A124, Table2[AwayTeam], E$1)+SUMIFS(Table2[NewPointsHome],Table2[GameDate], "&lt;=" &amp; $A124, Table2[HomeTeam], E$1)</f>
        <v>44</v>
      </c>
      <c r="F124" s="145">
        <f>SUMIFS(Table2[NewPointsAway],Table2[GameDate], "&lt;=" &amp; $A124, Table2[AwayTeam], F$1)+SUMIFS(Table2[NewPointsHome],Table2[GameDate], "&lt;=" &amp; $A124, Table2[HomeTeam], F$1)</f>
        <v>34</v>
      </c>
      <c r="G124" s="145">
        <f>SUMIFS(Table2[NewPointsAway],Table2[GameDate], "&lt;=" &amp; $A124, Table2[AwayTeam], G$1)+SUMIFS(Table2[NewPointsHome],Table2[GameDate], "&lt;=" &amp; $A124, Table2[HomeTeam], G$1)</f>
        <v>30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55</v>
      </c>
      <c r="J124" s="145">
        <f>SUMIFS(Table2[NewPointsAway],Table2[GameDate], "&lt;=" &amp; $A124, Table2[AwayTeam], J$1)+SUMIFS(Table2[NewPointsHome],Table2[GameDate], "&lt;=" &amp; $A124, Table2[HomeTeam], J$1)</f>
        <v>49</v>
      </c>
      <c r="K124" s="145">
        <f>SUMIFS(Table2[NewPointsAway],Table2[GameDate], "&lt;=" &amp; $A124, Table2[AwayTeam], K$1)+SUMIFS(Table2[NewPointsHome],Table2[GameDate], "&lt;=" &amp; $A124, Table2[HomeTeam], K$1)</f>
        <v>41</v>
      </c>
      <c r="L124" s="145">
        <f>SUMIFS(Table2[NewPointsAway],Table2[GameDate], "&lt;=" &amp; $A124, Table2[AwayTeam], L$1)+SUMIFS(Table2[NewPointsHome],Table2[GameDate], "&lt;=" &amp; $A124, Table2[HomeTeam], L$1)</f>
        <v>38</v>
      </c>
      <c r="M124" s="145">
        <f>SUMIFS(Table2[NewPointsAway],Table2[GameDate], "&lt;=" &amp; $A124, Table2[AwayTeam], M$1)+SUMIFS(Table2[NewPointsHome],Table2[GameDate], "&lt;=" &amp; $A124, Table2[HomeTeam], M$1)</f>
        <v>36</v>
      </c>
      <c r="N124" s="145">
        <f>SUMIFS(Table2[NewPointsAway],Table2[GameDate], "&lt;=" &amp; $A124, Table2[AwayTeam], N$1)+SUMIFS(Table2[NewPointsHome],Table2[GameDate], "&lt;=" &amp; $A124, Table2[HomeTeam], N$1)</f>
        <v>37</v>
      </c>
      <c r="O124" s="145">
        <f>SUMIFS(Table2[NewPointsAway],Table2[GameDate], "&lt;=" &amp; $A124, Table2[AwayTeam], O$1)+SUMIFS(Table2[NewPointsHome],Table2[GameDate], "&lt;=" &amp; $A124, Table2[HomeTeam], O$1)</f>
        <v>45</v>
      </c>
      <c r="P124" s="145">
        <f>SUMIFS(Table2[NewPointsAway],Table2[GameDate], "&lt;=" &amp; $A124, Table2[AwayTeam], P$1)+SUMIFS(Table2[NewPointsHome],Table2[GameDate], "&lt;=" &amp; $A124, Table2[HomeTeam], P$1)</f>
        <v>38</v>
      </c>
      <c r="Q124" s="145">
        <f>SUMIFS(Table2[NewPointsAway],Table2[GameDate], "&lt;=" &amp; $A124, Table2[AwayTeam], Q$1)+SUMIFS(Table2[NewPointsHome],Table2[GameDate], "&lt;=" &amp; $A124, Table2[HomeTeam], Q$1)</f>
        <v>37</v>
      </c>
      <c r="R124" s="145">
        <f>SUMIFS(Table2[NewPointsAway],Table2[GameDate], "&lt;=" &amp; $A124, Table2[AwayTeam], R$1)+SUMIFS(Table2[NewPointsHome],Table2[GameDate], "&lt;=" &amp; $A124, Table2[HomeTeam], R$1)</f>
        <v>30</v>
      </c>
      <c r="S124" s="145">
        <f>SUMIFS(Table2[NewPointsAway],Table2[GameDate], "&lt;=" &amp; $A124, Table2[AwayTeam], S$1)+SUMIFS(Table2[NewPointsHome],Table2[GameDate], "&lt;=" &amp; $A124, Table2[HomeTeam], S$1)</f>
        <v>41</v>
      </c>
      <c r="T124" s="145">
        <f>SUMIFS(Table2[NewPointsAway],Table2[GameDate], "&lt;=" &amp; $A124, Table2[AwayTeam], T$1)+SUMIFS(Table2[NewPointsHome],Table2[GameDate], "&lt;=" &amp; $A124, Table2[HomeTeam], T$1)</f>
        <v>36</v>
      </c>
      <c r="U124" s="145">
        <f>SUMIFS(Table2[NewPointsAway],Table2[GameDate], "&lt;=" &amp; $A124, Table2[AwayTeam], U$1)+SUMIFS(Table2[NewPointsHome],Table2[GameDate], "&lt;=" &amp; $A124, Table2[HomeTeam], U$1)</f>
        <v>34</v>
      </c>
      <c r="V124" s="145">
        <f>SUMIFS(Table2[NewPointsAway],Table2[GameDate], "&lt;=" &amp; $A124, Table2[AwayTeam], V$1)+SUMIFS(Table2[NewPointsHome],Table2[GameDate], "&lt;=" &amp; $A124, Table2[HomeTeam], V$1)</f>
        <v>39</v>
      </c>
      <c r="W124" s="145">
        <f>SUMIFS(Table2[NewPointsAway],Table2[GameDate], "&lt;=" &amp; $A124, Table2[AwayTeam], W$1)+SUMIFS(Table2[NewPointsHome],Table2[GameDate], "&lt;=" &amp; $A124, Table2[HomeTeam], W$1)</f>
        <v>37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37</v>
      </c>
      <c r="Z124" s="145">
        <f>SUMIFS(Table2[NewPointsAway],Table2[GameDate], "&lt;=" &amp; $A124, Table2[AwayTeam], Z$1)+SUMIFS(Table2[NewPointsHome],Table2[GameDate], "&lt;=" &amp; $A124, Table2[HomeTeam], Z$1)</f>
        <v>32</v>
      </c>
      <c r="AA124" s="145">
        <f>SUMIFS(Table2[NewPointsAway],Table2[GameDate], "&lt;=" &amp; $A124, Table2[AwayTeam], AA$1)+SUMIFS(Table2[NewPointsHome],Table2[GameDate], "&lt;=" &amp; $A124, Table2[HomeTeam], AA$1)</f>
        <v>39</v>
      </c>
      <c r="AB124" s="145">
        <f>SUMIFS(Table2[NewPointsAway],Table2[GameDate], "&lt;=" &amp; $A124, Table2[AwayTeam], AB$1)+SUMIFS(Table2[NewPointsHome],Table2[GameDate], "&lt;=" &amp; $A124, Table2[HomeTeam], AB$1)</f>
        <v>35</v>
      </c>
      <c r="AC124" s="145">
        <f>SUMIFS(Table2[NewPointsAway],Table2[GameDate], "&lt;=" &amp; $A124, Table2[AwayTeam], AC$1)+SUMIFS(Table2[NewPointsHome],Table2[GameDate], "&lt;=" &amp; $A124, Table2[HomeTeam], AC$1)</f>
        <v>35</v>
      </c>
      <c r="AD124" s="145">
        <f>SUMIFS(Table2[NewPointsAway],Table2[GameDate], "&lt;=" &amp; $A124, Table2[AwayTeam], AD$1)+SUMIFS(Table2[NewPointsHome],Table2[GameDate], "&lt;=" &amp; $A124, Table2[HomeTeam], AD$1)</f>
        <v>29</v>
      </c>
      <c r="AE124" s="145">
        <f>SUMIFS(Table2[NewPointsAway],Table2[GameDate], "&lt;=" &amp; $A124, Table2[AwayTeam], AE$1)+SUMIFS(Table2[NewPointsHome],Table2[GameDate], "&lt;=" &amp; $A124, Table2[HomeTeam], AE$1)</f>
        <v>41</v>
      </c>
      <c r="AF124" s="145">
        <f>SUMIFS(Table2[NewPointsAway],Table2[GameDate], "&lt;=" &amp; $A124, Table2[AwayTeam], AF$1)+SUMIFS(Table2[NewPointsHome],Table2[GameDate], "&lt;=" &amp; $A124, Table2[HomeTeam], AF$1)</f>
        <v>32</v>
      </c>
      <c r="AG124" s="145">
        <f>SUMIFS(Table2[NewPointsAway],Table2[GameDate], "&lt;=" &amp; $A124, Table2[AwayTeam], AG$1)+SUMIFS(Table2[NewPointsHome],Table2[GameDate], "&lt;=" &amp; $A124, Table2[HomeTeam], AG$1)</f>
        <v>40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42</v>
      </c>
      <c r="C125" s="145">
        <f>SUMIFS(Table2[NewPointsAway],Table2[GameDate], "&lt;=" &amp; $A125, Table2[AwayTeam], C$1)+SUMIFS(Table2[NewPointsHome],Table2[GameDate], "&lt;=" &amp; $A125, Table2[HomeTeam], C$1)</f>
        <v>40</v>
      </c>
      <c r="D125" s="145">
        <f>SUMIFS(Table2[NewPointsAway],Table2[GameDate], "&lt;=" &amp; $A125, Table2[AwayTeam], D$1)+SUMIFS(Table2[NewPointsHome],Table2[GameDate], "&lt;=" &amp; $A125, Table2[HomeTeam], D$1)</f>
        <v>32</v>
      </c>
      <c r="E125" s="145">
        <f>SUMIFS(Table2[NewPointsAway],Table2[GameDate], "&lt;=" &amp; $A125, Table2[AwayTeam], E$1)+SUMIFS(Table2[NewPointsHome],Table2[GameDate], "&lt;=" &amp; $A125, Table2[HomeTeam], E$1)</f>
        <v>44</v>
      </c>
      <c r="F125" s="145">
        <f>SUMIFS(Table2[NewPointsAway],Table2[GameDate], "&lt;=" &amp; $A125, Table2[AwayTeam], F$1)+SUMIFS(Table2[NewPointsHome],Table2[GameDate], "&lt;=" &amp; $A125, Table2[HomeTeam], F$1)</f>
        <v>34</v>
      </c>
      <c r="G125" s="145">
        <f>SUMIFS(Table2[NewPointsAway],Table2[GameDate], "&lt;=" &amp; $A125, Table2[AwayTeam], G$1)+SUMIFS(Table2[NewPointsHome],Table2[GameDate], "&lt;=" &amp; $A125, Table2[HomeTeam], G$1)</f>
        <v>30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55</v>
      </c>
      <c r="J125" s="145">
        <f>SUMIFS(Table2[NewPointsAway],Table2[GameDate], "&lt;=" &amp; $A125, Table2[AwayTeam], J$1)+SUMIFS(Table2[NewPointsHome],Table2[GameDate], "&lt;=" &amp; $A125, Table2[HomeTeam], J$1)</f>
        <v>49</v>
      </c>
      <c r="K125" s="145">
        <f>SUMIFS(Table2[NewPointsAway],Table2[GameDate], "&lt;=" &amp; $A125, Table2[AwayTeam], K$1)+SUMIFS(Table2[NewPointsHome],Table2[GameDate], "&lt;=" &amp; $A125, Table2[HomeTeam], K$1)</f>
        <v>41</v>
      </c>
      <c r="L125" s="145">
        <f>SUMIFS(Table2[NewPointsAway],Table2[GameDate], "&lt;=" &amp; $A125, Table2[AwayTeam], L$1)+SUMIFS(Table2[NewPointsHome],Table2[GameDate], "&lt;=" &amp; $A125, Table2[HomeTeam], L$1)</f>
        <v>38</v>
      </c>
      <c r="M125" s="145">
        <f>SUMIFS(Table2[NewPointsAway],Table2[GameDate], "&lt;=" &amp; $A125, Table2[AwayTeam], M$1)+SUMIFS(Table2[NewPointsHome],Table2[GameDate], "&lt;=" &amp; $A125, Table2[HomeTeam], M$1)</f>
        <v>36</v>
      </c>
      <c r="N125" s="145">
        <f>SUMIFS(Table2[NewPointsAway],Table2[GameDate], "&lt;=" &amp; $A125, Table2[AwayTeam], N$1)+SUMIFS(Table2[NewPointsHome],Table2[GameDate], "&lt;=" &amp; $A125, Table2[HomeTeam], N$1)</f>
        <v>37</v>
      </c>
      <c r="O125" s="145">
        <f>SUMIFS(Table2[NewPointsAway],Table2[GameDate], "&lt;=" &amp; $A125, Table2[AwayTeam], O$1)+SUMIFS(Table2[NewPointsHome],Table2[GameDate], "&lt;=" &amp; $A125, Table2[HomeTeam], O$1)</f>
        <v>45</v>
      </c>
      <c r="P125" s="145">
        <f>SUMIFS(Table2[NewPointsAway],Table2[GameDate], "&lt;=" &amp; $A125, Table2[AwayTeam], P$1)+SUMIFS(Table2[NewPointsHome],Table2[GameDate], "&lt;=" &amp; $A125, Table2[HomeTeam], P$1)</f>
        <v>38</v>
      </c>
      <c r="Q125" s="145">
        <f>SUMIFS(Table2[NewPointsAway],Table2[GameDate], "&lt;=" &amp; $A125, Table2[AwayTeam], Q$1)+SUMIFS(Table2[NewPointsHome],Table2[GameDate], "&lt;=" &amp; $A125, Table2[HomeTeam], Q$1)</f>
        <v>37</v>
      </c>
      <c r="R125" s="145">
        <f>SUMIFS(Table2[NewPointsAway],Table2[GameDate], "&lt;=" &amp; $A125, Table2[AwayTeam], R$1)+SUMIFS(Table2[NewPointsHome],Table2[GameDate], "&lt;=" &amp; $A125, Table2[HomeTeam], R$1)</f>
        <v>30</v>
      </c>
      <c r="S125" s="145">
        <f>SUMIFS(Table2[NewPointsAway],Table2[GameDate], "&lt;=" &amp; $A125, Table2[AwayTeam], S$1)+SUMIFS(Table2[NewPointsHome],Table2[GameDate], "&lt;=" &amp; $A125, Table2[HomeTeam], S$1)</f>
        <v>41</v>
      </c>
      <c r="T125" s="145">
        <f>SUMIFS(Table2[NewPointsAway],Table2[GameDate], "&lt;=" &amp; $A125, Table2[AwayTeam], T$1)+SUMIFS(Table2[NewPointsHome],Table2[GameDate], "&lt;=" &amp; $A125, Table2[HomeTeam], T$1)</f>
        <v>36</v>
      </c>
      <c r="U125" s="145">
        <f>SUMIFS(Table2[NewPointsAway],Table2[GameDate], "&lt;=" &amp; $A125, Table2[AwayTeam], U$1)+SUMIFS(Table2[NewPointsHome],Table2[GameDate], "&lt;=" &amp; $A125, Table2[HomeTeam], U$1)</f>
        <v>34</v>
      </c>
      <c r="V125" s="145">
        <f>SUMIFS(Table2[NewPointsAway],Table2[GameDate], "&lt;=" &amp; $A125, Table2[AwayTeam], V$1)+SUMIFS(Table2[NewPointsHome],Table2[GameDate], "&lt;=" &amp; $A125, Table2[HomeTeam], V$1)</f>
        <v>39</v>
      </c>
      <c r="W125" s="145">
        <f>SUMIFS(Table2[NewPointsAway],Table2[GameDate], "&lt;=" &amp; $A125, Table2[AwayTeam], W$1)+SUMIFS(Table2[NewPointsHome],Table2[GameDate], "&lt;=" &amp; $A125, Table2[HomeTeam], W$1)</f>
        <v>37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37</v>
      </c>
      <c r="Z125" s="145">
        <f>SUMIFS(Table2[NewPointsAway],Table2[GameDate], "&lt;=" &amp; $A125, Table2[AwayTeam], Z$1)+SUMIFS(Table2[NewPointsHome],Table2[GameDate], "&lt;=" &amp; $A125, Table2[HomeTeam], Z$1)</f>
        <v>32</v>
      </c>
      <c r="AA125" s="145">
        <f>SUMIFS(Table2[NewPointsAway],Table2[GameDate], "&lt;=" &amp; $A125, Table2[AwayTeam], AA$1)+SUMIFS(Table2[NewPointsHome],Table2[GameDate], "&lt;=" &amp; $A125, Table2[HomeTeam], AA$1)</f>
        <v>39</v>
      </c>
      <c r="AB125" s="145">
        <f>SUMIFS(Table2[NewPointsAway],Table2[GameDate], "&lt;=" &amp; $A125, Table2[AwayTeam], AB$1)+SUMIFS(Table2[NewPointsHome],Table2[GameDate], "&lt;=" &amp; $A125, Table2[HomeTeam], AB$1)</f>
        <v>35</v>
      </c>
      <c r="AC125" s="145">
        <f>SUMIFS(Table2[NewPointsAway],Table2[GameDate], "&lt;=" &amp; $A125, Table2[AwayTeam], AC$1)+SUMIFS(Table2[NewPointsHome],Table2[GameDate], "&lt;=" &amp; $A125, Table2[HomeTeam], AC$1)</f>
        <v>35</v>
      </c>
      <c r="AD125" s="145">
        <f>SUMIFS(Table2[NewPointsAway],Table2[GameDate], "&lt;=" &amp; $A125, Table2[AwayTeam], AD$1)+SUMIFS(Table2[NewPointsHome],Table2[GameDate], "&lt;=" &amp; $A125, Table2[HomeTeam], AD$1)</f>
        <v>29</v>
      </c>
      <c r="AE125" s="145">
        <f>SUMIFS(Table2[NewPointsAway],Table2[GameDate], "&lt;=" &amp; $A125, Table2[AwayTeam], AE$1)+SUMIFS(Table2[NewPointsHome],Table2[GameDate], "&lt;=" &amp; $A125, Table2[HomeTeam], AE$1)</f>
        <v>41</v>
      </c>
      <c r="AF125" s="145">
        <f>SUMIFS(Table2[NewPointsAway],Table2[GameDate], "&lt;=" &amp; $A125, Table2[AwayTeam], AF$1)+SUMIFS(Table2[NewPointsHome],Table2[GameDate], "&lt;=" &amp; $A125, Table2[HomeTeam], AF$1)</f>
        <v>32</v>
      </c>
      <c r="AG125" s="145">
        <f>SUMIFS(Table2[NewPointsAway],Table2[GameDate], "&lt;=" &amp; $A125, Table2[AwayTeam], AG$1)+SUMIFS(Table2[NewPointsHome],Table2[GameDate], "&lt;=" &amp; $A125, Table2[HomeTeam], AG$1)</f>
        <v>40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42</v>
      </c>
      <c r="C126" s="145">
        <f>SUMIFS(Table2[NewPointsAway],Table2[GameDate], "&lt;=" &amp; $A126, Table2[AwayTeam], C$1)+SUMIFS(Table2[NewPointsHome],Table2[GameDate], "&lt;=" &amp; $A126, Table2[HomeTeam], C$1)</f>
        <v>40</v>
      </c>
      <c r="D126" s="145">
        <f>SUMIFS(Table2[NewPointsAway],Table2[GameDate], "&lt;=" &amp; $A126, Table2[AwayTeam], D$1)+SUMIFS(Table2[NewPointsHome],Table2[GameDate], "&lt;=" &amp; $A126, Table2[HomeTeam], D$1)</f>
        <v>32</v>
      </c>
      <c r="E126" s="145">
        <f>SUMIFS(Table2[NewPointsAway],Table2[GameDate], "&lt;=" &amp; $A126, Table2[AwayTeam], E$1)+SUMIFS(Table2[NewPointsHome],Table2[GameDate], "&lt;=" &amp; $A126, Table2[HomeTeam], E$1)</f>
        <v>44</v>
      </c>
      <c r="F126" s="145">
        <f>SUMIFS(Table2[NewPointsAway],Table2[GameDate], "&lt;=" &amp; $A126, Table2[AwayTeam], F$1)+SUMIFS(Table2[NewPointsHome],Table2[GameDate], "&lt;=" &amp; $A126, Table2[HomeTeam], F$1)</f>
        <v>34</v>
      </c>
      <c r="G126" s="145">
        <f>SUMIFS(Table2[NewPointsAway],Table2[GameDate], "&lt;=" &amp; $A126, Table2[AwayTeam], G$1)+SUMIFS(Table2[NewPointsHome],Table2[GameDate], "&lt;=" &amp; $A126, Table2[HomeTeam], G$1)</f>
        <v>30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55</v>
      </c>
      <c r="J126" s="145">
        <f>SUMIFS(Table2[NewPointsAway],Table2[GameDate], "&lt;=" &amp; $A126, Table2[AwayTeam], J$1)+SUMIFS(Table2[NewPointsHome],Table2[GameDate], "&lt;=" &amp; $A126, Table2[HomeTeam], J$1)</f>
        <v>49</v>
      </c>
      <c r="K126" s="145">
        <f>SUMIFS(Table2[NewPointsAway],Table2[GameDate], "&lt;=" &amp; $A126, Table2[AwayTeam], K$1)+SUMIFS(Table2[NewPointsHome],Table2[GameDate], "&lt;=" &amp; $A126, Table2[HomeTeam], K$1)</f>
        <v>41</v>
      </c>
      <c r="L126" s="145">
        <f>SUMIFS(Table2[NewPointsAway],Table2[GameDate], "&lt;=" &amp; $A126, Table2[AwayTeam], L$1)+SUMIFS(Table2[NewPointsHome],Table2[GameDate], "&lt;=" &amp; $A126, Table2[HomeTeam], L$1)</f>
        <v>38</v>
      </c>
      <c r="M126" s="145">
        <f>SUMIFS(Table2[NewPointsAway],Table2[GameDate], "&lt;=" &amp; $A126, Table2[AwayTeam], M$1)+SUMIFS(Table2[NewPointsHome],Table2[GameDate], "&lt;=" &amp; $A126, Table2[HomeTeam], M$1)</f>
        <v>36</v>
      </c>
      <c r="N126" s="145">
        <f>SUMIFS(Table2[NewPointsAway],Table2[GameDate], "&lt;=" &amp; $A126, Table2[AwayTeam], N$1)+SUMIFS(Table2[NewPointsHome],Table2[GameDate], "&lt;=" &amp; $A126, Table2[HomeTeam], N$1)</f>
        <v>37</v>
      </c>
      <c r="O126" s="145">
        <f>SUMIFS(Table2[NewPointsAway],Table2[GameDate], "&lt;=" &amp; $A126, Table2[AwayTeam], O$1)+SUMIFS(Table2[NewPointsHome],Table2[GameDate], "&lt;=" &amp; $A126, Table2[HomeTeam], O$1)</f>
        <v>45</v>
      </c>
      <c r="P126" s="145">
        <f>SUMIFS(Table2[NewPointsAway],Table2[GameDate], "&lt;=" &amp; $A126, Table2[AwayTeam], P$1)+SUMIFS(Table2[NewPointsHome],Table2[GameDate], "&lt;=" &amp; $A126, Table2[HomeTeam], P$1)</f>
        <v>38</v>
      </c>
      <c r="Q126" s="145">
        <f>SUMIFS(Table2[NewPointsAway],Table2[GameDate], "&lt;=" &amp; $A126, Table2[AwayTeam], Q$1)+SUMIFS(Table2[NewPointsHome],Table2[GameDate], "&lt;=" &amp; $A126, Table2[HomeTeam], Q$1)</f>
        <v>37</v>
      </c>
      <c r="R126" s="145">
        <f>SUMIFS(Table2[NewPointsAway],Table2[GameDate], "&lt;=" &amp; $A126, Table2[AwayTeam], R$1)+SUMIFS(Table2[NewPointsHome],Table2[GameDate], "&lt;=" &amp; $A126, Table2[HomeTeam], R$1)</f>
        <v>30</v>
      </c>
      <c r="S126" s="145">
        <f>SUMIFS(Table2[NewPointsAway],Table2[GameDate], "&lt;=" &amp; $A126, Table2[AwayTeam], S$1)+SUMIFS(Table2[NewPointsHome],Table2[GameDate], "&lt;=" &amp; $A126, Table2[HomeTeam], S$1)</f>
        <v>41</v>
      </c>
      <c r="T126" s="145">
        <f>SUMIFS(Table2[NewPointsAway],Table2[GameDate], "&lt;=" &amp; $A126, Table2[AwayTeam], T$1)+SUMIFS(Table2[NewPointsHome],Table2[GameDate], "&lt;=" &amp; $A126, Table2[HomeTeam], T$1)</f>
        <v>36</v>
      </c>
      <c r="U126" s="145">
        <f>SUMIFS(Table2[NewPointsAway],Table2[GameDate], "&lt;=" &amp; $A126, Table2[AwayTeam], U$1)+SUMIFS(Table2[NewPointsHome],Table2[GameDate], "&lt;=" &amp; $A126, Table2[HomeTeam], U$1)</f>
        <v>34</v>
      </c>
      <c r="V126" s="145">
        <f>SUMIFS(Table2[NewPointsAway],Table2[GameDate], "&lt;=" &amp; $A126, Table2[AwayTeam], V$1)+SUMIFS(Table2[NewPointsHome],Table2[GameDate], "&lt;=" &amp; $A126, Table2[HomeTeam], V$1)</f>
        <v>39</v>
      </c>
      <c r="W126" s="145">
        <f>SUMIFS(Table2[NewPointsAway],Table2[GameDate], "&lt;=" &amp; $A126, Table2[AwayTeam], W$1)+SUMIFS(Table2[NewPointsHome],Table2[GameDate], "&lt;=" &amp; $A126, Table2[HomeTeam], W$1)</f>
        <v>37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37</v>
      </c>
      <c r="Z126" s="145">
        <f>SUMIFS(Table2[NewPointsAway],Table2[GameDate], "&lt;=" &amp; $A126, Table2[AwayTeam], Z$1)+SUMIFS(Table2[NewPointsHome],Table2[GameDate], "&lt;=" &amp; $A126, Table2[HomeTeam], Z$1)</f>
        <v>32</v>
      </c>
      <c r="AA126" s="145">
        <f>SUMIFS(Table2[NewPointsAway],Table2[GameDate], "&lt;=" &amp; $A126, Table2[AwayTeam], AA$1)+SUMIFS(Table2[NewPointsHome],Table2[GameDate], "&lt;=" &amp; $A126, Table2[HomeTeam], AA$1)</f>
        <v>39</v>
      </c>
      <c r="AB126" s="145">
        <f>SUMIFS(Table2[NewPointsAway],Table2[GameDate], "&lt;=" &amp; $A126, Table2[AwayTeam], AB$1)+SUMIFS(Table2[NewPointsHome],Table2[GameDate], "&lt;=" &amp; $A126, Table2[HomeTeam], AB$1)</f>
        <v>35</v>
      </c>
      <c r="AC126" s="145">
        <f>SUMIFS(Table2[NewPointsAway],Table2[GameDate], "&lt;=" &amp; $A126, Table2[AwayTeam], AC$1)+SUMIFS(Table2[NewPointsHome],Table2[GameDate], "&lt;=" &amp; $A126, Table2[HomeTeam], AC$1)</f>
        <v>35</v>
      </c>
      <c r="AD126" s="145">
        <f>SUMIFS(Table2[NewPointsAway],Table2[GameDate], "&lt;=" &amp; $A126, Table2[AwayTeam], AD$1)+SUMIFS(Table2[NewPointsHome],Table2[GameDate], "&lt;=" &amp; $A126, Table2[HomeTeam], AD$1)</f>
        <v>29</v>
      </c>
      <c r="AE126" s="145">
        <f>SUMIFS(Table2[NewPointsAway],Table2[GameDate], "&lt;=" &amp; $A126, Table2[AwayTeam], AE$1)+SUMIFS(Table2[NewPointsHome],Table2[GameDate], "&lt;=" &amp; $A126, Table2[HomeTeam], AE$1)</f>
        <v>41</v>
      </c>
      <c r="AF126" s="145">
        <f>SUMIFS(Table2[NewPointsAway],Table2[GameDate], "&lt;=" &amp; $A126, Table2[AwayTeam], AF$1)+SUMIFS(Table2[NewPointsHome],Table2[GameDate], "&lt;=" &amp; $A126, Table2[HomeTeam], AF$1)</f>
        <v>32</v>
      </c>
      <c r="AG126" s="145">
        <f>SUMIFS(Table2[NewPointsAway],Table2[GameDate], "&lt;=" &amp; $A126, Table2[AwayTeam], AG$1)+SUMIFS(Table2[NewPointsHome],Table2[GameDate], "&lt;=" &amp; $A126, Table2[HomeTeam], AG$1)</f>
        <v>40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42</v>
      </c>
      <c r="C127" s="145">
        <f>SUMIFS(Table2[NewPointsAway],Table2[GameDate], "&lt;=" &amp; $A127, Table2[AwayTeam], C$1)+SUMIFS(Table2[NewPointsHome],Table2[GameDate], "&lt;=" &amp; $A127, Table2[HomeTeam], C$1)</f>
        <v>40</v>
      </c>
      <c r="D127" s="145">
        <f>SUMIFS(Table2[NewPointsAway],Table2[GameDate], "&lt;=" &amp; $A127, Table2[AwayTeam], D$1)+SUMIFS(Table2[NewPointsHome],Table2[GameDate], "&lt;=" &amp; $A127, Table2[HomeTeam], D$1)</f>
        <v>32</v>
      </c>
      <c r="E127" s="145">
        <f>SUMIFS(Table2[NewPointsAway],Table2[GameDate], "&lt;=" &amp; $A127, Table2[AwayTeam], E$1)+SUMIFS(Table2[NewPointsHome],Table2[GameDate], "&lt;=" &amp; $A127, Table2[HomeTeam], E$1)</f>
        <v>44</v>
      </c>
      <c r="F127" s="145">
        <f>SUMIFS(Table2[NewPointsAway],Table2[GameDate], "&lt;=" &amp; $A127, Table2[AwayTeam], F$1)+SUMIFS(Table2[NewPointsHome],Table2[GameDate], "&lt;=" &amp; $A127, Table2[HomeTeam], F$1)</f>
        <v>34</v>
      </c>
      <c r="G127" s="145">
        <f>SUMIFS(Table2[NewPointsAway],Table2[GameDate], "&lt;=" &amp; $A127, Table2[AwayTeam], G$1)+SUMIFS(Table2[NewPointsHome],Table2[GameDate], "&lt;=" &amp; $A127, Table2[HomeTeam], G$1)</f>
        <v>30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55</v>
      </c>
      <c r="J127" s="145">
        <f>SUMIFS(Table2[NewPointsAway],Table2[GameDate], "&lt;=" &amp; $A127, Table2[AwayTeam], J$1)+SUMIFS(Table2[NewPointsHome],Table2[GameDate], "&lt;=" &amp; $A127, Table2[HomeTeam], J$1)</f>
        <v>49</v>
      </c>
      <c r="K127" s="145">
        <f>SUMIFS(Table2[NewPointsAway],Table2[GameDate], "&lt;=" &amp; $A127, Table2[AwayTeam], K$1)+SUMIFS(Table2[NewPointsHome],Table2[GameDate], "&lt;=" &amp; $A127, Table2[HomeTeam], K$1)</f>
        <v>41</v>
      </c>
      <c r="L127" s="145">
        <f>SUMIFS(Table2[NewPointsAway],Table2[GameDate], "&lt;=" &amp; $A127, Table2[AwayTeam], L$1)+SUMIFS(Table2[NewPointsHome],Table2[GameDate], "&lt;=" &amp; $A127, Table2[HomeTeam], L$1)</f>
        <v>38</v>
      </c>
      <c r="M127" s="145">
        <f>SUMIFS(Table2[NewPointsAway],Table2[GameDate], "&lt;=" &amp; $A127, Table2[AwayTeam], M$1)+SUMIFS(Table2[NewPointsHome],Table2[GameDate], "&lt;=" &amp; $A127, Table2[HomeTeam], M$1)</f>
        <v>36</v>
      </c>
      <c r="N127" s="145">
        <f>SUMIFS(Table2[NewPointsAway],Table2[GameDate], "&lt;=" &amp; $A127, Table2[AwayTeam], N$1)+SUMIFS(Table2[NewPointsHome],Table2[GameDate], "&lt;=" &amp; $A127, Table2[HomeTeam], N$1)</f>
        <v>37</v>
      </c>
      <c r="O127" s="145">
        <f>SUMIFS(Table2[NewPointsAway],Table2[GameDate], "&lt;=" &amp; $A127, Table2[AwayTeam], O$1)+SUMIFS(Table2[NewPointsHome],Table2[GameDate], "&lt;=" &amp; $A127, Table2[HomeTeam], O$1)</f>
        <v>45</v>
      </c>
      <c r="P127" s="145">
        <f>SUMIFS(Table2[NewPointsAway],Table2[GameDate], "&lt;=" &amp; $A127, Table2[AwayTeam], P$1)+SUMIFS(Table2[NewPointsHome],Table2[GameDate], "&lt;=" &amp; $A127, Table2[HomeTeam], P$1)</f>
        <v>38</v>
      </c>
      <c r="Q127" s="145">
        <f>SUMIFS(Table2[NewPointsAway],Table2[GameDate], "&lt;=" &amp; $A127, Table2[AwayTeam], Q$1)+SUMIFS(Table2[NewPointsHome],Table2[GameDate], "&lt;=" &amp; $A127, Table2[HomeTeam], Q$1)</f>
        <v>37</v>
      </c>
      <c r="R127" s="145">
        <f>SUMIFS(Table2[NewPointsAway],Table2[GameDate], "&lt;=" &amp; $A127, Table2[AwayTeam], R$1)+SUMIFS(Table2[NewPointsHome],Table2[GameDate], "&lt;=" &amp; $A127, Table2[HomeTeam], R$1)</f>
        <v>30</v>
      </c>
      <c r="S127" s="145">
        <f>SUMIFS(Table2[NewPointsAway],Table2[GameDate], "&lt;=" &amp; $A127, Table2[AwayTeam], S$1)+SUMIFS(Table2[NewPointsHome],Table2[GameDate], "&lt;=" &amp; $A127, Table2[HomeTeam], S$1)</f>
        <v>41</v>
      </c>
      <c r="T127" s="145">
        <f>SUMIFS(Table2[NewPointsAway],Table2[GameDate], "&lt;=" &amp; $A127, Table2[AwayTeam], T$1)+SUMIFS(Table2[NewPointsHome],Table2[GameDate], "&lt;=" &amp; $A127, Table2[HomeTeam], T$1)</f>
        <v>36</v>
      </c>
      <c r="U127" s="145">
        <f>SUMIFS(Table2[NewPointsAway],Table2[GameDate], "&lt;=" &amp; $A127, Table2[AwayTeam], U$1)+SUMIFS(Table2[NewPointsHome],Table2[GameDate], "&lt;=" &amp; $A127, Table2[HomeTeam], U$1)</f>
        <v>34</v>
      </c>
      <c r="V127" s="145">
        <f>SUMIFS(Table2[NewPointsAway],Table2[GameDate], "&lt;=" &amp; $A127, Table2[AwayTeam], V$1)+SUMIFS(Table2[NewPointsHome],Table2[GameDate], "&lt;=" &amp; $A127, Table2[HomeTeam], V$1)</f>
        <v>39</v>
      </c>
      <c r="W127" s="145">
        <f>SUMIFS(Table2[NewPointsAway],Table2[GameDate], "&lt;=" &amp; $A127, Table2[AwayTeam], W$1)+SUMIFS(Table2[NewPointsHome],Table2[GameDate], "&lt;=" &amp; $A127, Table2[HomeTeam], W$1)</f>
        <v>37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37</v>
      </c>
      <c r="Z127" s="145">
        <f>SUMIFS(Table2[NewPointsAway],Table2[GameDate], "&lt;=" &amp; $A127, Table2[AwayTeam], Z$1)+SUMIFS(Table2[NewPointsHome],Table2[GameDate], "&lt;=" &amp; $A127, Table2[HomeTeam], Z$1)</f>
        <v>32</v>
      </c>
      <c r="AA127" s="145">
        <f>SUMIFS(Table2[NewPointsAway],Table2[GameDate], "&lt;=" &amp; $A127, Table2[AwayTeam], AA$1)+SUMIFS(Table2[NewPointsHome],Table2[GameDate], "&lt;=" &amp; $A127, Table2[HomeTeam], AA$1)</f>
        <v>39</v>
      </c>
      <c r="AB127" s="145">
        <f>SUMIFS(Table2[NewPointsAway],Table2[GameDate], "&lt;=" &amp; $A127, Table2[AwayTeam], AB$1)+SUMIFS(Table2[NewPointsHome],Table2[GameDate], "&lt;=" &amp; $A127, Table2[HomeTeam], AB$1)</f>
        <v>35</v>
      </c>
      <c r="AC127" s="145">
        <f>SUMIFS(Table2[NewPointsAway],Table2[GameDate], "&lt;=" &amp; $A127, Table2[AwayTeam], AC$1)+SUMIFS(Table2[NewPointsHome],Table2[GameDate], "&lt;=" &amp; $A127, Table2[HomeTeam], AC$1)</f>
        <v>35</v>
      </c>
      <c r="AD127" s="145">
        <f>SUMIFS(Table2[NewPointsAway],Table2[GameDate], "&lt;=" &amp; $A127, Table2[AwayTeam], AD$1)+SUMIFS(Table2[NewPointsHome],Table2[GameDate], "&lt;=" &amp; $A127, Table2[HomeTeam], AD$1)</f>
        <v>29</v>
      </c>
      <c r="AE127" s="145">
        <f>SUMIFS(Table2[NewPointsAway],Table2[GameDate], "&lt;=" &amp; $A127, Table2[AwayTeam], AE$1)+SUMIFS(Table2[NewPointsHome],Table2[GameDate], "&lt;=" &amp; $A127, Table2[HomeTeam], AE$1)</f>
        <v>41</v>
      </c>
      <c r="AF127" s="145">
        <f>SUMIFS(Table2[NewPointsAway],Table2[GameDate], "&lt;=" &amp; $A127, Table2[AwayTeam], AF$1)+SUMIFS(Table2[NewPointsHome],Table2[GameDate], "&lt;=" &amp; $A127, Table2[HomeTeam], AF$1)</f>
        <v>32</v>
      </c>
      <c r="AG127" s="145">
        <f>SUMIFS(Table2[NewPointsAway],Table2[GameDate], "&lt;=" &amp; $A127, Table2[AwayTeam], AG$1)+SUMIFS(Table2[NewPointsHome],Table2[GameDate], "&lt;=" &amp; $A127, Table2[HomeTeam], AG$1)</f>
        <v>40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42</v>
      </c>
      <c r="C128" s="145">
        <f>SUMIFS(Table2[NewPointsAway],Table2[GameDate], "&lt;=" &amp; $A128, Table2[AwayTeam], C$1)+SUMIFS(Table2[NewPointsHome],Table2[GameDate], "&lt;=" &amp; $A128, Table2[HomeTeam], C$1)</f>
        <v>40</v>
      </c>
      <c r="D128" s="145">
        <f>SUMIFS(Table2[NewPointsAway],Table2[GameDate], "&lt;=" &amp; $A128, Table2[AwayTeam], D$1)+SUMIFS(Table2[NewPointsHome],Table2[GameDate], "&lt;=" &amp; $A128, Table2[HomeTeam], D$1)</f>
        <v>32</v>
      </c>
      <c r="E128" s="145">
        <f>SUMIFS(Table2[NewPointsAway],Table2[GameDate], "&lt;=" &amp; $A128, Table2[AwayTeam], E$1)+SUMIFS(Table2[NewPointsHome],Table2[GameDate], "&lt;=" &amp; $A128, Table2[HomeTeam], E$1)</f>
        <v>44</v>
      </c>
      <c r="F128" s="145">
        <f>SUMIFS(Table2[NewPointsAway],Table2[GameDate], "&lt;=" &amp; $A128, Table2[AwayTeam], F$1)+SUMIFS(Table2[NewPointsHome],Table2[GameDate], "&lt;=" &amp; $A128, Table2[HomeTeam], F$1)</f>
        <v>34</v>
      </c>
      <c r="G128" s="145">
        <f>SUMIFS(Table2[NewPointsAway],Table2[GameDate], "&lt;=" &amp; $A128, Table2[AwayTeam], G$1)+SUMIFS(Table2[NewPointsHome],Table2[GameDate], "&lt;=" &amp; $A128, Table2[HomeTeam], G$1)</f>
        <v>30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55</v>
      </c>
      <c r="J128" s="145">
        <f>SUMIFS(Table2[NewPointsAway],Table2[GameDate], "&lt;=" &amp; $A128, Table2[AwayTeam], J$1)+SUMIFS(Table2[NewPointsHome],Table2[GameDate], "&lt;=" &amp; $A128, Table2[HomeTeam], J$1)</f>
        <v>49</v>
      </c>
      <c r="K128" s="145">
        <f>SUMIFS(Table2[NewPointsAway],Table2[GameDate], "&lt;=" &amp; $A128, Table2[AwayTeam], K$1)+SUMIFS(Table2[NewPointsHome],Table2[GameDate], "&lt;=" &amp; $A128, Table2[HomeTeam], K$1)</f>
        <v>41</v>
      </c>
      <c r="L128" s="145">
        <f>SUMIFS(Table2[NewPointsAway],Table2[GameDate], "&lt;=" &amp; $A128, Table2[AwayTeam], L$1)+SUMIFS(Table2[NewPointsHome],Table2[GameDate], "&lt;=" &amp; $A128, Table2[HomeTeam], L$1)</f>
        <v>38</v>
      </c>
      <c r="M128" s="145">
        <f>SUMIFS(Table2[NewPointsAway],Table2[GameDate], "&lt;=" &amp; $A128, Table2[AwayTeam], M$1)+SUMIFS(Table2[NewPointsHome],Table2[GameDate], "&lt;=" &amp; $A128, Table2[HomeTeam], M$1)</f>
        <v>36</v>
      </c>
      <c r="N128" s="145">
        <f>SUMIFS(Table2[NewPointsAway],Table2[GameDate], "&lt;=" &amp; $A128, Table2[AwayTeam], N$1)+SUMIFS(Table2[NewPointsHome],Table2[GameDate], "&lt;=" &amp; $A128, Table2[HomeTeam], N$1)</f>
        <v>37</v>
      </c>
      <c r="O128" s="145">
        <f>SUMIFS(Table2[NewPointsAway],Table2[GameDate], "&lt;=" &amp; $A128, Table2[AwayTeam], O$1)+SUMIFS(Table2[NewPointsHome],Table2[GameDate], "&lt;=" &amp; $A128, Table2[HomeTeam], O$1)</f>
        <v>45</v>
      </c>
      <c r="P128" s="145">
        <f>SUMIFS(Table2[NewPointsAway],Table2[GameDate], "&lt;=" &amp; $A128, Table2[AwayTeam], P$1)+SUMIFS(Table2[NewPointsHome],Table2[GameDate], "&lt;=" &amp; $A128, Table2[HomeTeam], P$1)</f>
        <v>38</v>
      </c>
      <c r="Q128" s="145">
        <f>SUMIFS(Table2[NewPointsAway],Table2[GameDate], "&lt;=" &amp; $A128, Table2[AwayTeam], Q$1)+SUMIFS(Table2[NewPointsHome],Table2[GameDate], "&lt;=" &amp; $A128, Table2[HomeTeam], Q$1)</f>
        <v>37</v>
      </c>
      <c r="R128" s="145">
        <f>SUMIFS(Table2[NewPointsAway],Table2[GameDate], "&lt;=" &amp; $A128, Table2[AwayTeam], R$1)+SUMIFS(Table2[NewPointsHome],Table2[GameDate], "&lt;=" &amp; $A128, Table2[HomeTeam], R$1)</f>
        <v>30</v>
      </c>
      <c r="S128" s="145">
        <f>SUMIFS(Table2[NewPointsAway],Table2[GameDate], "&lt;=" &amp; $A128, Table2[AwayTeam], S$1)+SUMIFS(Table2[NewPointsHome],Table2[GameDate], "&lt;=" &amp; $A128, Table2[HomeTeam], S$1)</f>
        <v>41</v>
      </c>
      <c r="T128" s="145">
        <f>SUMIFS(Table2[NewPointsAway],Table2[GameDate], "&lt;=" &amp; $A128, Table2[AwayTeam], T$1)+SUMIFS(Table2[NewPointsHome],Table2[GameDate], "&lt;=" &amp; $A128, Table2[HomeTeam], T$1)</f>
        <v>36</v>
      </c>
      <c r="U128" s="145">
        <f>SUMIFS(Table2[NewPointsAway],Table2[GameDate], "&lt;=" &amp; $A128, Table2[AwayTeam], U$1)+SUMIFS(Table2[NewPointsHome],Table2[GameDate], "&lt;=" &amp; $A128, Table2[HomeTeam], U$1)</f>
        <v>34</v>
      </c>
      <c r="V128" s="145">
        <f>SUMIFS(Table2[NewPointsAway],Table2[GameDate], "&lt;=" &amp; $A128, Table2[AwayTeam], V$1)+SUMIFS(Table2[NewPointsHome],Table2[GameDate], "&lt;=" &amp; $A128, Table2[HomeTeam], V$1)</f>
        <v>39</v>
      </c>
      <c r="W128" s="145">
        <f>SUMIFS(Table2[NewPointsAway],Table2[GameDate], "&lt;=" &amp; $A128, Table2[AwayTeam], W$1)+SUMIFS(Table2[NewPointsHome],Table2[GameDate], "&lt;=" &amp; $A128, Table2[HomeTeam], W$1)</f>
        <v>37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37</v>
      </c>
      <c r="Z128" s="145">
        <f>SUMIFS(Table2[NewPointsAway],Table2[GameDate], "&lt;=" &amp; $A128, Table2[AwayTeam], Z$1)+SUMIFS(Table2[NewPointsHome],Table2[GameDate], "&lt;=" &amp; $A128, Table2[HomeTeam], Z$1)</f>
        <v>32</v>
      </c>
      <c r="AA128" s="145">
        <f>SUMIFS(Table2[NewPointsAway],Table2[GameDate], "&lt;=" &amp; $A128, Table2[AwayTeam], AA$1)+SUMIFS(Table2[NewPointsHome],Table2[GameDate], "&lt;=" &amp; $A128, Table2[HomeTeam], AA$1)</f>
        <v>39</v>
      </c>
      <c r="AB128" s="145">
        <f>SUMIFS(Table2[NewPointsAway],Table2[GameDate], "&lt;=" &amp; $A128, Table2[AwayTeam], AB$1)+SUMIFS(Table2[NewPointsHome],Table2[GameDate], "&lt;=" &amp; $A128, Table2[HomeTeam], AB$1)</f>
        <v>35</v>
      </c>
      <c r="AC128" s="145">
        <f>SUMIFS(Table2[NewPointsAway],Table2[GameDate], "&lt;=" &amp; $A128, Table2[AwayTeam], AC$1)+SUMIFS(Table2[NewPointsHome],Table2[GameDate], "&lt;=" &amp; $A128, Table2[HomeTeam], AC$1)</f>
        <v>35</v>
      </c>
      <c r="AD128" s="145">
        <f>SUMIFS(Table2[NewPointsAway],Table2[GameDate], "&lt;=" &amp; $A128, Table2[AwayTeam], AD$1)+SUMIFS(Table2[NewPointsHome],Table2[GameDate], "&lt;=" &amp; $A128, Table2[HomeTeam], AD$1)</f>
        <v>29</v>
      </c>
      <c r="AE128" s="145">
        <f>SUMIFS(Table2[NewPointsAway],Table2[GameDate], "&lt;=" &amp; $A128, Table2[AwayTeam], AE$1)+SUMIFS(Table2[NewPointsHome],Table2[GameDate], "&lt;=" &amp; $A128, Table2[HomeTeam], AE$1)</f>
        <v>41</v>
      </c>
      <c r="AF128" s="145">
        <f>SUMIFS(Table2[NewPointsAway],Table2[GameDate], "&lt;=" &amp; $A128, Table2[AwayTeam], AF$1)+SUMIFS(Table2[NewPointsHome],Table2[GameDate], "&lt;=" &amp; $A128, Table2[HomeTeam], AF$1)</f>
        <v>32</v>
      </c>
      <c r="AG128" s="145">
        <f>SUMIFS(Table2[NewPointsAway],Table2[GameDate], "&lt;=" &amp; $A128, Table2[AwayTeam], AG$1)+SUMIFS(Table2[NewPointsHome],Table2[GameDate], "&lt;=" &amp; $A128, Table2[HomeTeam], AG$1)</f>
        <v>40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42</v>
      </c>
      <c r="C129" s="145">
        <f>SUMIFS(Table2[NewPointsAway],Table2[GameDate], "&lt;=" &amp; $A129, Table2[AwayTeam], C$1)+SUMIFS(Table2[NewPointsHome],Table2[GameDate], "&lt;=" &amp; $A129, Table2[HomeTeam], C$1)</f>
        <v>40</v>
      </c>
      <c r="D129" s="145">
        <f>SUMIFS(Table2[NewPointsAway],Table2[GameDate], "&lt;=" &amp; $A129, Table2[AwayTeam], D$1)+SUMIFS(Table2[NewPointsHome],Table2[GameDate], "&lt;=" &amp; $A129, Table2[HomeTeam], D$1)</f>
        <v>32</v>
      </c>
      <c r="E129" s="145">
        <f>SUMIFS(Table2[NewPointsAway],Table2[GameDate], "&lt;=" &amp; $A129, Table2[AwayTeam], E$1)+SUMIFS(Table2[NewPointsHome],Table2[GameDate], "&lt;=" &amp; $A129, Table2[HomeTeam], E$1)</f>
        <v>44</v>
      </c>
      <c r="F129" s="145">
        <f>SUMIFS(Table2[NewPointsAway],Table2[GameDate], "&lt;=" &amp; $A129, Table2[AwayTeam], F$1)+SUMIFS(Table2[NewPointsHome],Table2[GameDate], "&lt;=" &amp; $A129, Table2[HomeTeam], F$1)</f>
        <v>34</v>
      </c>
      <c r="G129" s="145">
        <f>SUMIFS(Table2[NewPointsAway],Table2[GameDate], "&lt;=" &amp; $A129, Table2[AwayTeam], G$1)+SUMIFS(Table2[NewPointsHome],Table2[GameDate], "&lt;=" &amp; $A129, Table2[HomeTeam], G$1)</f>
        <v>30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55</v>
      </c>
      <c r="J129" s="145">
        <f>SUMIFS(Table2[NewPointsAway],Table2[GameDate], "&lt;=" &amp; $A129, Table2[AwayTeam], J$1)+SUMIFS(Table2[NewPointsHome],Table2[GameDate], "&lt;=" &amp; $A129, Table2[HomeTeam], J$1)</f>
        <v>49</v>
      </c>
      <c r="K129" s="145">
        <f>SUMIFS(Table2[NewPointsAway],Table2[GameDate], "&lt;=" &amp; $A129, Table2[AwayTeam], K$1)+SUMIFS(Table2[NewPointsHome],Table2[GameDate], "&lt;=" &amp; $A129, Table2[HomeTeam], K$1)</f>
        <v>41</v>
      </c>
      <c r="L129" s="145">
        <f>SUMIFS(Table2[NewPointsAway],Table2[GameDate], "&lt;=" &amp; $A129, Table2[AwayTeam], L$1)+SUMIFS(Table2[NewPointsHome],Table2[GameDate], "&lt;=" &amp; $A129, Table2[HomeTeam], L$1)</f>
        <v>38</v>
      </c>
      <c r="M129" s="145">
        <f>SUMIFS(Table2[NewPointsAway],Table2[GameDate], "&lt;=" &amp; $A129, Table2[AwayTeam], M$1)+SUMIFS(Table2[NewPointsHome],Table2[GameDate], "&lt;=" &amp; $A129, Table2[HomeTeam], M$1)</f>
        <v>36</v>
      </c>
      <c r="N129" s="145">
        <f>SUMIFS(Table2[NewPointsAway],Table2[GameDate], "&lt;=" &amp; $A129, Table2[AwayTeam], N$1)+SUMIFS(Table2[NewPointsHome],Table2[GameDate], "&lt;=" &amp; $A129, Table2[HomeTeam], N$1)</f>
        <v>37</v>
      </c>
      <c r="O129" s="145">
        <f>SUMIFS(Table2[NewPointsAway],Table2[GameDate], "&lt;=" &amp; $A129, Table2[AwayTeam], O$1)+SUMIFS(Table2[NewPointsHome],Table2[GameDate], "&lt;=" &amp; $A129, Table2[HomeTeam], O$1)</f>
        <v>45</v>
      </c>
      <c r="P129" s="145">
        <f>SUMIFS(Table2[NewPointsAway],Table2[GameDate], "&lt;=" &amp; $A129, Table2[AwayTeam], P$1)+SUMIFS(Table2[NewPointsHome],Table2[GameDate], "&lt;=" &amp; $A129, Table2[HomeTeam], P$1)</f>
        <v>38</v>
      </c>
      <c r="Q129" s="145">
        <f>SUMIFS(Table2[NewPointsAway],Table2[GameDate], "&lt;=" &amp; $A129, Table2[AwayTeam], Q$1)+SUMIFS(Table2[NewPointsHome],Table2[GameDate], "&lt;=" &amp; $A129, Table2[HomeTeam], Q$1)</f>
        <v>37</v>
      </c>
      <c r="R129" s="145">
        <f>SUMIFS(Table2[NewPointsAway],Table2[GameDate], "&lt;=" &amp; $A129, Table2[AwayTeam], R$1)+SUMIFS(Table2[NewPointsHome],Table2[GameDate], "&lt;=" &amp; $A129, Table2[HomeTeam], R$1)</f>
        <v>30</v>
      </c>
      <c r="S129" s="145">
        <f>SUMIFS(Table2[NewPointsAway],Table2[GameDate], "&lt;=" &amp; $A129, Table2[AwayTeam], S$1)+SUMIFS(Table2[NewPointsHome],Table2[GameDate], "&lt;=" &amp; $A129, Table2[HomeTeam], S$1)</f>
        <v>41</v>
      </c>
      <c r="T129" s="145">
        <f>SUMIFS(Table2[NewPointsAway],Table2[GameDate], "&lt;=" &amp; $A129, Table2[AwayTeam], T$1)+SUMIFS(Table2[NewPointsHome],Table2[GameDate], "&lt;=" &amp; $A129, Table2[HomeTeam], T$1)</f>
        <v>36</v>
      </c>
      <c r="U129" s="145">
        <f>SUMIFS(Table2[NewPointsAway],Table2[GameDate], "&lt;=" &amp; $A129, Table2[AwayTeam], U$1)+SUMIFS(Table2[NewPointsHome],Table2[GameDate], "&lt;=" &amp; $A129, Table2[HomeTeam], U$1)</f>
        <v>34</v>
      </c>
      <c r="V129" s="145">
        <f>SUMIFS(Table2[NewPointsAway],Table2[GameDate], "&lt;=" &amp; $A129, Table2[AwayTeam], V$1)+SUMIFS(Table2[NewPointsHome],Table2[GameDate], "&lt;=" &amp; $A129, Table2[HomeTeam], V$1)</f>
        <v>39</v>
      </c>
      <c r="W129" s="145">
        <f>SUMIFS(Table2[NewPointsAway],Table2[GameDate], "&lt;=" &amp; $A129, Table2[AwayTeam], W$1)+SUMIFS(Table2[NewPointsHome],Table2[GameDate], "&lt;=" &amp; $A129, Table2[HomeTeam], W$1)</f>
        <v>37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37</v>
      </c>
      <c r="Z129" s="145">
        <f>SUMIFS(Table2[NewPointsAway],Table2[GameDate], "&lt;=" &amp; $A129, Table2[AwayTeam], Z$1)+SUMIFS(Table2[NewPointsHome],Table2[GameDate], "&lt;=" &amp; $A129, Table2[HomeTeam], Z$1)</f>
        <v>32</v>
      </c>
      <c r="AA129" s="145">
        <f>SUMIFS(Table2[NewPointsAway],Table2[GameDate], "&lt;=" &amp; $A129, Table2[AwayTeam], AA$1)+SUMIFS(Table2[NewPointsHome],Table2[GameDate], "&lt;=" &amp; $A129, Table2[HomeTeam], AA$1)</f>
        <v>39</v>
      </c>
      <c r="AB129" s="145">
        <f>SUMIFS(Table2[NewPointsAway],Table2[GameDate], "&lt;=" &amp; $A129, Table2[AwayTeam], AB$1)+SUMIFS(Table2[NewPointsHome],Table2[GameDate], "&lt;=" &amp; $A129, Table2[HomeTeam], AB$1)</f>
        <v>35</v>
      </c>
      <c r="AC129" s="145">
        <f>SUMIFS(Table2[NewPointsAway],Table2[GameDate], "&lt;=" &amp; $A129, Table2[AwayTeam], AC$1)+SUMIFS(Table2[NewPointsHome],Table2[GameDate], "&lt;=" &amp; $A129, Table2[HomeTeam], AC$1)</f>
        <v>35</v>
      </c>
      <c r="AD129" s="145">
        <f>SUMIFS(Table2[NewPointsAway],Table2[GameDate], "&lt;=" &amp; $A129, Table2[AwayTeam], AD$1)+SUMIFS(Table2[NewPointsHome],Table2[GameDate], "&lt;=" &amp; $A129, Table2[HomeTeam], AD$1)</f>
        <v>29</v>
      </c>
      <c r="AE129" s="145">
        <f>SUMIFS(Table2[NewPointsAway],Table2[GameDate], "&lt;=" &amp; $A129, Table2[AwayTeam], AE$1)+SUMIFS(Table2[NewPointsHome],Table2[GameDate], "&lt;=" &amp; $A129, Table2[HomeTeam], AE$1)</f>
        <v>41</v>
      </c>
      <c r="AF129" s="145">
        <f>SUMIFS(Table2[NewPointsAway],Table2[GameDate], "&lt;=" &amp; $A129, Table2[AwayTeam], AF$1)+SUMIFS(Table2[NewPointsHome],Table2[GameDate], "&lt;=" &amp; $A129, Table2[HomeTeam], AF$1)</f>
        <v>32</v>
      </c>
      <c r="AG129" s="145">
        <f>SUMIFS(Table2[NewPointsAway],Table2[GameDate], "&lt;=" &amp; $A129, Table2[AwayTeam], AG$1)+SUMIFS(Table2[NewPointsHome],Table2[GameDate], "&lt;=" &amp; $A129, Table2[HomeTeam], AG$1)</f>
        <v>40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42</v>
      </c>
      <c r="C130" s="145">
        <f>SUMIFS(Table2[NewPointsAway],Table2[GameDate], "&lt;=" &amp; $A130, Table2[AwayTeam], C$1)+SUMIFS(Table2[NewPointsHome],Table2[GameDate], "&lt;=" &amp; $A130, Table2[HomeTeam], C$1)</f>
        <v>40</v>
      </c>
      <c r="D130" s="145">
        <f>SUMIFS(Table2[NewPointsAway],Table2[GameDate], "&lt;=" &amp; $A130, Table2[AwayTeam], D$1)+SUMIFS(Table2[NewPointsHome],Table2[GameDate], "&lt;=" &amp; $A130, Table2[HomeTeam], D$1)</f>
        <v>32</v>
      </c>
      <c r="E130" s="145">
        <f>SUMIFS(Table2[NewPointsAway],Table2[GameDate], "&lt;=" &amp; $A130, Table2[AwayTeam], E$1)+SUMIFS(Table2[NewPointsHome],Table2[GameDate], "&lt;=" &amp; $A130, Table2[HomeTeam], E$1)</f>
        <v>44</v>
      </c>
      <c r="F130" s="145">
        <f>SUMIFS(Table2[NewPointsAway],Table2[GameDate], "&lt;=" &amp; $A130, Table2[AwayTeam], F$1)+SUMIFS(Table2[NewPointsHome],Table2[GameDate], "&lt;=" &amp; $A130, Table2[HomeTeam], F$1)</f>
        <v>34</v>
      </c>
      <c r="G130" s="145">
        <f>SUMIFS(Table2[NewPointsAway],Table2[GameDate], "&lt;=" &amp; $A130, Table2[AwayTeam], G$1)+SUMIFS(Table2[NewPointsHome],Table2[GameDate], "&lt;=" &amp; $A130, Table2[HomeTeam], G$1)</f>
        <v>30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55</v>
      </c>
      <c r="J130" s="145">
        <f>SUMIFS(Table2[NewPointsAway],Table2[GameDate], "&lt;=" &amp; $A130, Table2[AwayTeam], J$1)+SUMIFS(Table2[NewPointsHome],Table2[GameDate], "&lt;=" &amp; $A130, Table2[HomeTeam], J$1)</f>
        <v>49</v>
      </c>
      <c r="K130" s="145">
        <f>SUMIFS(Table2[NewPointsAway],Table2[GameDate], "&lt;=" &amp; $A130, Table2[AwayTeam], K$1)+SUMIFS(Table2[NewPointsHome],Table2[GameDate], "&lt;=" &amp; $A130, Table2[HomeTeam], K$1)</f>
        <v>41</v>
      </c>
      <c r="L130" s="145">
        <f>SUMIFS(Table2[NewPointsAway],Table2[GameDate], "&lt;=" &amp; $A130, Table2[AwayTeam], L$1)+SUMIFS(Table2[NewPointsHome],Table2[GameDate], "&lt;=" &amp; $A130, Table2[HomeTeam], L$1)</f>
        <v>38</v>
      </c>
      <c r="M130" s="145">
        <f>SUMIFS(Table2[NewPointsAway],Table2[GameDate], "&lt;=" &amp; $A130, Table2[AwayTeam], M$1)+SUMIFS(Table2[NewPointsHome],Table2[GameDate], "&lt;=" &amp; $A130, Table2[HomeTeam], M$1)</f>
        <v>36</v>
      </c>
      <c r="N130" s="145">
        <f>SUMIFS(Table2[NewPointsAway],Table2[GameDate], "&lt;=" &amp; $A130, Table2[AwayTeam], N$1)+SUMIFS(Table2[NewPointsHome],Table2[GameDate], "&lt;=" &amp; $A130, Table2[HomeTeam], N$1)</f>
        <v>37</v>
      </c>
      <c r="O130" s="145">
        <f>SUMIFS(Table2[NewPointsAway],Table2[GameDate], "&lt;=" &amp; $A130, Table2[AwayTeam], O$1)+SUMIFS(Table2[NewPointsHome],Table2[GameDate], "&lt;=" &amp; $A130, Table2[HomeTeam], O$1)</f>
        <v>45</v>
      </c>
      <c r="P130" s="145">
        <f>SUMIFS(Table2[NewPointsAway],Table2[GameDate], "&lt;=" &amp; $A130, Table2[AwayTeam], P$1)+SUMIFS(Table2[NewPointsHome],Table2[GameDate], "&lt;=" &amp; $A130, Table2[HomeTeam], P$1)</f>
        <v>38</v>
      </c>
      <c r="Q130" s="145">
        <f>SUMIFS(Table2[NewPointsAway],Table2[GameDate], "&lt;=" &amp; $A130, Table2[AwayTeam], Q$1)+SUMIFS(Table2[NewPointsHome],Table2[GameDate], "&lt;=" &amp; $A130, Table2[HomeTeam], Q$1)</f>
        <v>37</v>
      </c>
      <c r="R130" s="145">
        <f>SUMIFS(Table2[NewPointsAway],Table2[GameDate], "&lt;=" &amp; $A130, Table2[AwayTeam], R$1)+SUMIFS(Table2[NewPointsHome],Table2[GameDate], "&lt;=" &amp; $A130, Table2[HomeTeam], R$1)</f>
        <v>30</v>
      </c>
      <c r="S130" s="145">
        <f>SUMIFS(Table2[NewPointsAway],Table2[GameDate], "&lt;=" &amp; $A130, Table2[AwayTeam], S$1)+SUMIFS(Table2[NewPointsHome],Table2[GameDate], "&lt;=" &amp; $A130, Table2[HomeTeam], S$1)</f>
        <v>41</v>
      </c>
      <c r="T130" s="145">
        <f>SUMIFS(Table2[NewPointsAway],Table2[GameDate], "&lt;=" &amp; $A130, Table2[AwayTeam], T$1)+SUMIFS(Table2[NewPointsHome],Table2[GameDate], "&lt;=" &amp; $A130, Table2[HomeTeam], T$1)</f>
        <v>36</v>
      </c>
      <c r="U130" s="145">
        <f>SUMIFS(Table2[NewPointsAway],Table2[GameDate], "&lt;=" &amp; $A130, Table2[AwayTeam], U$1)+SUMIFS(Table2[NewPointsHome],Table2[GameDate], "&lt;=" &amp; $A130, Table2[HomeTeam], U$1)</f>
        <v>34</v>
      </c>
      <c r="V130" s="145">
        <f>SUMIFS(Table2[NewPointsAway],Table2[GameDate], "&lt;=" &amp; $A130, Table2[AwayTeam], V$1)+SUMIFS(Table2[NewPointsHome],Table2[GameDate], "&lt;=" &amp; $A130, Table2[HomeTeam], V$1)</f>
        <v>39</v>
      </c>
      <c r="W130" s="145">
        <f>SUMIFS(Table2[NewPointsAway],Table2[GameDate], "&lt;=" &amp; $A130, Table2[AwayTeam], W$1)+SUMIFS(Table2[NewPointsHome],Table2[GameDate], "&lt;=" &amp; $A130, Table2[HomeTeam], W$1)</f>
        <v>37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37</v>
      </c>
      <c r="Z130" s="145">
        <f>SUMIFS(Table2[NewPointsAway],Table2[GameDate], "&lt;=" &amp; $A130, Table2[AwayTeam], Z$1)+SUMIFS(Table2[NewPointsHome],Table2[GameDate], "&lt;=" &amp; $A130, Table2[HomeTeam], Z$1)</f>
        <v>32</v>
      </c>
      <c r="AA130" s="145">
        <f>SUMIFS(Table2[NewPointsAway],Table2[GameDate], "&lt;=" &amp; $A130, Table2[AwayTeam], AA$1)+SUMIFS(Table2[NewPointsHome],Table2[GameDate], "&lt;=" &amp; $A130, Table2[HomeTeam], AA$1)</f>
        <v>39</v>
      </c>
      <c r="AB130" s="145">
        <f>SUMIFS(Table2[NewPointsAway],Table2[GameDate], "&lt;=" &amp; $A130, Table2[AwayTeam], AB$1)+SUMIFS(Table2[NewPointsHome],Table2[GameDate], "&lt;=" &amp; $A130, Table2[HomeTeam], AB$1)</f>
        <v>35</v>
      </c>
      <c r="AC130" s="145">
        <f>SUMIFS(Table2[NewPointsAway],Table2[GameDate], "&lt;=" &amp; $A130, Table2[AwayTeam], AC$1)+SUMIFS(Table2[NewPointsHome],Table2[GameDate], "&lt;=" &amp; $A130, Table2[HomeTeam], AC$1)</f>
        <v>35</v>
      </c>
      <c r="AD130" s="145">
        <f>SUMIFS(Table2[NewPointsAway],Table2[GameDate], "&lt;=" &amp; $A130, Table2[AwayTeam], AD$1)+SUMIFS(Table2[NewPointsHome],Table2[GameDate], "&lt;=" &amp; $A130, Table2[HomeTeam], AD$1)</f>
        <v>29</v>
      </c>
      <c r="AE130" s="145">
        <f>SUMIFS(Table2[NewPointsAway],Table2[GameDate], "&lt;=" &amp; $A130, Table2[AwayTeam], AE$1)+SUMIFS(Table2[NewPointsHome],Table2[GameDate], "&lt;=" &amp; $A130, Table2[HomeTeam], AE$1)</f>
        <v>41</v>
      </c>
      <c r="AF130" s="145">
        <f>SUMIFS(Table2[NewPointsAway],Table2[GameDate], "&lt;=" &amp; $A130, Table2[AwayTeam], AF$1)+SUMIFS(Table2[NewPointsHome],Table2[GameDate], "&lt;=" &amp; $A130, Table2[HomeTeam], AF$1)</f>
        <v>32</v>
      </c>
      <c r="AG130" s="145">
        <f>SUMIFS(Table2[NewPointsAway],Table2[GameDate], "&lt;=" &amp; $A130, Table2[AwayTeam], AG$1)+SUMIFS(Table2[NewPointsHome],Table2[GameDate], "&lt;=" &amp; $A130, Table2[HomeTeam], AG$1)</f>
        <v>40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42</v>
      </c>
      <c r="C131" s="145">
        <f>SUMIFS(Table2[NewPointsAway],Table2[GameDate], "&lt;=" &amp; $A131, Table2[AwayTeam], C$1)+SUMIFS(Table2[NewPointsHome],Table2[GameDate], "&lt;=" &amp; $A131, Table2[HomeTeam], C$1)</f>
        <v>40</v>
      </c>
      <c r="D131" s="145">
        <f>SUMIFS(Table2[NewPointsAway],Table2[GameDate], "&lt;=" &amp; $A131, Table2[AwayTeam], D$1)+SUMIFS(Table2[NewPointsHome],Table2[GameDate], "&lt;=" &amp; $A131, Table2[HomeTeam], D$1)</f>
        <v>32</v>
      </c>
      <c r="E131" s="145">
        <f>SUMIFS(Table2[NewPointsAway],Table2[GameDate], "&lt;=" &amp; $A131, Table2[AwayTeam], E$1)+SUMIFS(Table2[NewPointsHome],Table2[GameDate], "&lt;=" &amp; $A131, Table2[HomeTeam], E$1)</f>
        <v>44</v>
      </c>
      <c r="F131" s="145">
        <f>SUMIFS(Table2[NewPointsAway],Table2[GameDate], "&lt;=" &amp; $A131, Table2[AwayTeam], F$1)+SUMIFS(Table2[NewPointsHome],Table2[GameDate], "&lt;=" &amp; $A131, Table2[HomeTeam], F$1)</f>
        <v>34</v>
      </c>
      <c r="G131" s="145">
        <f>SUMIFS(Table2[NewPointsAway],Table2[GameDate], "&lt;=" &amp; $A131, Table2[AwayTeam], G$1)+SUMIFS(Table2[NewPointsHome],Table2[GameDate], "&lt;=" &amp; $A131, Table2[HomeTeam], G$1)</f>
        <v>30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55</v>
      </c>
      <c r="J131" s="145">
        <f>SUMIFS(Table2[NewPointsAway],Table2[GameDate], "&lt;=" &amp; $A131, Table2[AwayTeam], J$1)+SUMIFS(Table2[NewPointsHome],Table2[GameDate], "&lt;=" &amp; $A131, Table2[HomeTeam], J$1)</f>
        <v>49</v>
      </c>
      <c r="K131" s="145">
        <f>SUMIFS(Table2[NewPointsAway],Table2[GameDate], "&lt;=" &amp; $A131, Table2[AwayTeam], K$1)+SUMIFS(Table2[NewPointsHome],Table2[GameDate], "&lt;=" &amp; $A131, Table2[HomeTeam], K$1)</f>
        <v>41</v>
      </c>
      <c r="L131" s="145">
        <f>SUMIFS(Table2[NewPointsAway],Table2[GameDate], "&lt;=" &amp; $A131, Table2[AwayTeam], L$1)+SUMIFS(Table2[NewPointsHome],Table2[GameDate], "&lt;=" &amp; $A131, Table2[HomeTeam], L$1)</f>
        <v>38</v>
      </c>
      <c r="M131" s="145">
        <f>SUMIFS(Table2[NewPointsAway],Table2[GameDate], "&lt;=" &amp; $A131, Table2[AwayTeam], M$1)+SUMIFS(Table2[NewPointsHome],Table2[GameDate], "&lt;=" &amp; $A131, Table2[HomeTeam], M$1)</f>
        <v>36</v>
      </c>
      <c r="N131" s="145">
        <f>SUMIFS(Table2[NewPointsAway],Table2[GameDate], "&lt;=" &amp; $A131, Table2[AwayTeam], N$1)+SUMIFS(Table2[NewPointsHome],Table2[GameDate], "&lt;=" &amp; $A131, Table2[HomeTeam], N$1)</f>
        <v>37</v>
      </c>
      <c r="O131" s="145">
        <f>SUMIFS(Table2[NewPointsAway],Table2[GameDate], "&lt;=" &amp; $A131, Table2[AwayTeam], O$1)+SUMIFS(Table2[NewPointsHome],Table2[GameDate], "&lt;=" &amp; $A131, Table2[HomeTeam], O$1)</f>
        <v>45</v>
      </c>
      <c r="P131" s="145">
        <f>SUMIFS(Table2[NewPointsAway],Table2[GameDate], "&lt;=" &amp; $A131, Table2[AwayTeam], P$1)+SUMIFS(Table2[NewPointsHome],Table2[GameDate], "&lt;=" &amp; $A131, Table2[HomeTeam], P$1)</f>
        <v>38</v>
      </c>
      <c r="Q131" s="145">
        <f>SUMIFS(Table2[NewPointsAway],Table2[GameDate], "&lt;=" &amp; $A131, Table2[AwayTeam], Q$1)+SUMIFS(Table2[NewPointsHome],Table2[GameDate], "&lt;=" &amp; $A131, Table2[HomeTeam], Q$1)</f>
        <v>37</v>
      </c>
      <c r="R131" s="145">
        <f>SUMIFS(Table2[NewPointsAway],Table2[GameDate], "&lt;=" &amp; $A131, Table2[AwayTeam], R$1)+SUMIFS(Table2[NewPointsHome],Table2[GameDate], "&lt;=" &amp; $A131, Table2[HomeTeam], R$1)</f>
        <v>30</v>
      </c>
      <c r="S131" s="145">
        <f>SUMIFS(Table2[NewPointsAway],Table2[GameDate], "&lt;=" &amp; $A131, Table2[AwayTeam], S$1)+SUMIFS(Table2[NewPointsHome],Table2[GameDate], "&lt;=" &amp; $A131, Table2[HomeTeam], S$1)</f>
        <v>41</v>
      </c>
      <c r="T131" s="145">
        <f>SUMIFS(Table2[NewPointsAway],Table2[GameDate], "&lt;=" &amp; $A131, Table2[AwayTeam], T$1)+SUMIFS(Table2[NewPointsHome],Table2[GameDate], "&lt;=" &amp; $A131, Table2[HomeTeam], T$1)</f>
        <v>36</v>
      </c>
      <c r="U131" s="145">
        <f>SUMIFS(Table2[NewPointsAway],Table2[GameDate], "&lt;=" &amp; $A131, Table2[AwayTeam], U$1)+SUMIFS(Table2[NewPointsHome],Table2[GameDate], "&lt;=" &amp; $A131, Table2[HomeTeam], U$1)</f>
        <v>34</v>
      </c>
      <c r="V131" s="145">
        <f>SUMIFS(Table2[NewPointsAway],Table2[GameDate], "&lt;=" &amp; $A131, Table2[AwayTeam], V$1)+SUMIFS(Table2[NewPointsHome],Table2[GameDate], "&lt;=" &amp; $A131, Table2[HomeTeam], V$1)</f>
        <v>39</v>
      </c>
      <c r="W131" s="145">
        <f>SUMIFS(Table2[NewPointsAway],Table2[GameDate], "&lt;=" &amp; $A131, Table2[AwayTeam], W$1)+SUMIFS(Table2[NewPointsHome],Table2[GameDate], "&lt;=" &amp; $A131, Table2[HomeTeam], W$1)</f>
        <v>37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37</v>
      </c>
      <c r="Z131" s="145">
        <f>SUMIFS(Table2[NewPointsAway],Table2[GameDate], "&lt;=" &amp; $A131, Table2[AwayTeam], Z$1)+SUMIFS(Table2[NewPointsHome],Table2[GameDate], "&lt;=" &amp; $A131, Table2[HomeTeam], Z$1)</f>
        <v>32</v>
      </c>
      <c r="AA131" s="145">
        <f>SUMIFS(Table2[NewPointsAway],Table2[GameDate], "&lt;=" &amp; $A131, Table2[AwayTeam], AA$1)+SUMIFS(Table2[NewPointsHome],Table2[GameDate], "&lt;=" &amp; $A131, Table2[HomeTeam], AA$1)</f>
        <v>39</v>
      </c>
      <c r="AB131" s="145">
        <f>SUMIFS(Table2[NewPointsAway],Table2[GameDate], "&lt;=" &amp; $A131, Table2[AwayTeam], AB$1)+SUMIFS(Table2[NewPointsHome],Table2[GameDate], "&lt;=" &amp; $A131, Table2[HomeTeam], AB$1)</f>
        <v>35</v>
      </c>
      <c r="AC131" s="145">
        <f>SUMIFS(Table2[NewPointsAway],Table2[GameDate], "&lt;=" &amp; $A131, Table2[AwayTeam], AC$1)+SUMIFS(Table2[NewPointsHome],Table2[GameDate], "&lt;=" &amp; $A131, Table2[HomeTeam], AC$1)</f>
        <v>35</v>
      </c>
      <c r="AD131" s="145">
        <f>SUMIFS(Table2[NewPointsAway],Table2[GameDate], "&lt;=" &amp; $A131, Table2[AwayTeam], AD$1)+SUMIFS(Table2[NewPointsHome],Table2[GameDate], "&lt;=" &amp; $A131, Table2[HomeTeam], AD$1)</f>
        <v>29</v>
      </c>
      <c r="AE131" s="145">
        <f>SUMIFS(Table2[NewPointsAway],Table2[GameDate], "&lt;=" &amp; $A131, Table2[AwayTeam], AE$1)+SUMIFS(Table2[NewPointsHome],Table2[GameDate], "&lt;=" &amp; $A131, Table2[HomeTeam], AE$1)</f>
        <v>41</v>
      </c>
      <c r="AF131" s="145">
        <f>SUMIFS(Table2[NewPointsAway],Table2[GameDate], "&lt;=" &amp; $A131, Table2[AwayTeam], AF$1)+SUMIFS(Table2[NewPointsHome],Table2[GameDate], "&lt;=" &amp; $A131, Table2[HomeTeam], AF$1)</f>
        <v>32</v>
      </c>
      <c r="AG131" s="145">
        <f>SUMIFS(Table2[NewPointsAway],Table2[GameDate], "&lt;=" &amp; $A131, Table2[AwayTeam], AG$1)+SUMIFS(Table2[NewPointsHome],Table2[GameDate], "&lt;=" &amp; $A131, Table2[HomeTeam], AG$1)</f>
        <v>40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42</v>
      </c>
      <c r="C132" s="145">
        <f>SUMIFS(Table2[NewPointsAway],Table2[GameDate], "&lt;=" &amp; $A132, Table2[AwayTeam], C$1)+SUMIFS(Table2[NewPointsHome],Table2[GameDate], "&lt;=" &amp; $A132, Table2[HomeTeam], C$1)</f>
        <v>40</v>
      </c>
      <c r="D132" s="145">
        <f>SUMIFS(Table2[NewPointsAway],Table2[GameDate], "&lt;=" &amp; $A132, Table2[AwayTeam], D$1)+SUMIFS(Table2[NewPointsHome],Table2[GameDate], "&lt;=" &amp; $A132, Table2[HomeTeam], D$1)</f>
        <v>32</v>
      </c>
      <c r="E132" s="145">
        <f>SUMIFS(Table2[NewPointsAway],Table2[GameDate], "&lt;=" &amp; $A132, Table2[AwayTeam], E$1)+SUMIFS(Table2[NewPointsHome],Table2[GameDate], "&lt;=" &amp; $A132, Table2[HomeTeam], E$1)</f>
        <v>44</v>
      </c>
      <c r="F132" s="145">
        <f>SUMIFS(Table2[NewPointsAway],Table2[GameDate], "&lt;=" &amp; $A132, Table2[AwayTeam], F$1)+SUMIFS(Table2[NewPointsHome],Table2[GameDate], "&lt;=" &amp; $A132, Table2[HomeTeam], F$1)</f>
        <v>34</v>
      </c>
      <c r="G132" s="145">
        <f>SUMIFS(Table2[NewPointsAway],Table2[GameDate], "&lt;=" &amp; $A132, Table2[AwayTeam], G$1)+SUMIFS(Table2[NewPointsHome],Table2[GameDate], "&lt;=" &amp; $A132, Table2[HomeTeam], G$1)</f>
        <v>30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55</v>
      </c>
      <c r="J132" s="145">
        <f>SUMIFS(Table2[NewPointsAway],Table2[GameDate], "&lt;=" &amp; $A132, Table2[AwayTeam], J$1)+SUMIFS(Table2[NewPointsHome],Table2[GameDate], "&lt;=" &amp; $A132, Table2[HomeTeam], J$1)</f>
        <v>49</v>
      </c>
      <c r="K132" s="145">
        <f>SUMIFS(Table2[NewPointsAway],Table2[GameDate], "&lt;=" &amp; $A132, Table2[AwayTeam], K$1)+SUMIFS(Table2[NewPointsHome],Table2[GameDate], "&lt;=" &amp; $A132, Table2[HomeTeam], K$1)</f>
        <v>41</v>
      </c>
      <c r="L132" s="145">
        <f>SUMIFS(Table2[NewPointsAway],Table2[GameDate], "&lt;=" &amp; $A132, Table2[AwayTeam], L$1)+SUMIFS(Table2[NewPointsHome],Table2[GameDate], "&lt;=" &amp; $A132, Table2[HomeTeam], L$1)</f>
        <v>38</v>
      </c>
      <c r="M132" s="145">
        <f>SUMIFS(Table2[NewPointsAway],Table2[GameDate], "&lt;=" &amp; $A132, Table2[AwayTeam], M$1)+SUMIFS(Table2[NewPointsHome],Table2[GameDate], "&lt;=" &amp; $A132, Table2[HomeTeam], M$1)</f>
        <v>36</v>
      </c>
      <c r="N132" s="145">
        <f>SUMIFS(Table2[NewPointsAway],Table2[GameDate], "&lt;=" &amp; $A132, Table2[AwayTeam], N$1)+SUMIFS(Table2[NewPointsHome],Table2[GameDate], "&lt;=" &amp; $A132, Table2[HomeTeam], N$1)</f>
        <v>37</v>
      </c>
      <c r="O132" s="145">
        <f>SUMIFS(Table2[NewPointsAway],Table2[GameDate], "&lt;=" &amp; $A132, Table2[AwayTeam], O$1)+SUMIFS(Table2[NewPointsHome],Table2[GameDate], "&lt;=" &amp; $A132, Table2[HomeTeam], O$1)</f>
        <v>45</v>
      </c>
      <c r="P132" s="145">
        <f>SUMIFS(Table2[NewPointsAway],Table2[GameDate], "&lt;=" &amp; $A132, Table2[AwayTeam], P$1)+SUMIFS(Table2[NewPointsHome],Table2[GameDate], "&lt;=" &amp; $A132, Table2[HomeTeam], P$1)</f>
        <v>38</v>
      </c>
      <c r="Q132" s="145">
        <f>SUMIFS(Table2[NewPointsAway],Table2[GameDate], "&lt;=" &amp; $A132, Table2[AwayTeam], Q$1)+SUMIFS(Table2[NewPointsHome],Table2[GameDate], "&lt;=" &amp; $A132, Table2[HomeTeam], Q$1)</f>
        <v>37</v>
      </c>
      <c r="R132" s="145">
        <f>SUMIFS(Table2[NewPointsAway],Table2[GameDate], "&lt;=" &amp; $A132, Table2[AwayTeam], R$1)+SUMIFS(Table2[NewPointsHome],Table2[GameDate], "&lt;=" &amp; $A132, Table2[HomeTeam], R$1)</f>
        <v>30</v>
      </c>
      <c r="S132" s="145">
        <f>SUMIFS(Table2[NewPointsAway],Table2[GameDate], "&lt;=" &amp; $A132, Table2[AwayTeam], S$1)+SUMIFS(Table2[NewPointsHome],Table2[GameDate], "&lt;=" &amp; $A132, Table2[HomeTeam], S$1)</f>
        <v>41</v>
      </c>
      <c r="T132" s="145">
        <f>SUMIFS(Table2[NewPointsAway],Table2[GameDate], "&lt;=" &amp; $A132, Table2[AwayTeam], T$1)+SUMIFS(Table2[NewPointsHome],Table2[GameDate], "&lt;=" &amp; $A132, Table2[HomeTeam], T$1)</f>
        <v>36</v>
      </c>
      <c r="U132" s="145">
        <f>SUMIFS(Table2[NewPointsAway],Table2[GameDate], "&lt;=" &amp; $A132, Table2[AwayTeam], U$1)+SUMIFS(Table2[NewPointsHome],Table2[GameDate], "&lt;=" &amp; $A132, Table2[HomeTeam], U$1)</f>
        <v>34</v>
      </c>
      <c r="V132" s="145">
        <f>SUMIFS(Table2[NewPointsAway],Table2[GameDate], "&lt;=" &amp; $A132, Table2[AwayTeam], V$1)+SUMIFS(Table2[NewPointsHome],Table2[GameDate], "&lt;=" &amp; $A132, Table2[HomeTeam], V$1)</f>
        <v>39</v>
      </c>
      <c r="W132" s="145">
        <f>SUMIFS(Table2[NewPointsAway],Table2[GameDate], "&lt;=" &amp; $A132, Table2[AwayTeam], W$1)+SUMIFS(Table2[NewPointsHome],Table2[GameDate], "&lt;=" &amp; $A132, Table2[HomeTeam], W$1)</f>
        <v>37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37</v>
      </c>
      <c r="Z132" s="145">
        <f>SUMIFS(Table2[NewPointsAway],Table2[GameDate], "&lt;=" &amp; $A132, Table2[AwayTeam], Z$1)+SUMIFS(Table2[NewPointsHome],Table2[GameDate], "&lt;=" &amp; $A132, Table2[HomeTeam], Z$1)</f>
        <v>32</v>
      </c>
      <c r="AA132" s="145">
        <f>SUMIFS(Table2[NewPointsAway],Table2[GameDate], "&lt;=" &amp; $A132, Table2[AwayTeam], AA$1)+SUMIFS(Table2[NewPointsHome],Table2[GameDate], "&lt;=" &amp; $A132, Table2[HomeTeam], AA$1)</f>
        <v>39</v>
      </c>
      <c r="AB132" s="145">
        <f>SUMIFS(Table2[NewPointsAway],Table2[GameDate], "&lt;=" &amp; $A132, Table2[AwayTeam], AB$1)+SUMIFS(Table2[NewPointsHome],Table2[GameDate], "&lt;=" &amp; $A132, Table2[HomeTeam], AB$1)</f>
        <v>35</v>
      </c>
      <c r="AC132" s="145">
        <f>SUMIFS(Table2[NewPointsAway],Table2[GameDate], "&lt;=" &amp; $A132, Table2[AwayTeam], AC$1)+SUMIFS(Table2[NewPointsHome],Table2[GameDate], "&lt;=" &amp; $A132, Table2[HomeTeam], AC$1)</f>
        <v>35</v>
      </c>
      <c r="AD132" s="145">
        <f>SUMIFS(Table2[NewPointsAway],Table2[GameDate], "&lt;=" &amp; $A132, Table2[AwayTeam], AD$1)+SUMIFS(Table2[NewPointsHome],Table2[GameDate], "&lt;=" &amp; $A132, Table2[HomeTeam], AD$1)</f>
        <v>29</v>
      </c>
      <c r="AE132" s="145">
        <f>SUMIFS(Table2[NewPointsAway],Table2[GameDate], "&lt;=" &amp; $A132, Table2[AwayTeam], AE$1)+SUMIFS(Table2[NewPointsHome],Table2[GameDate], "&lt;=" &amp; $A132, Table2[HomeTeam], AE$1)</f>
        <v>41</v>
      </c>
      <c r="AF132" s="145">
        <f>SUMIFS(Table2[NewPointsAway],Table2[GameDate], "&lt;=" &amp; $A132, Table2[AwayTeam], AF$1)+SUMIFS(Table2[NewPointsHome],Table2[GameDate], "&lt;=" &amp; $A132, Table2[HomeTeam], AF$1)</f>
        <v>32</v>
      </c>
      <c r="AG132" s="145">
        <f>SUMIFS(Table2[NewPointsAway],Table2[GameDate], "&lt;=" &amp; $A132, Table2[AwayTeam], AG$1)+SUMIFS(Table2[NewPointsHome],Table2[GameDate], "&lt;=" &amp; $A132, Table2[HomeTeam], AG$1)</f>
        <v>40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42</v>
      </c>
      <c r="C133" s="145">
        <f>SUMIFS(Table2[NewPointsAway],Table2[GameDate], "&lt;=" &amp; $A133, Table2[AwayTeam], C$1)+SUMIFS(Table2[NewPointsHome],Table2[GameDate], "&lt;=" &amp; $A133, Table2[HomeTeam], C$1)</f>
        <v>40</v>
      </c>
      <c r="D133" s="145">
        <f>SUMIFS(Table2[NewPointsAway],Table2[GameDate], "&lt;=" &amp; $A133, Table2[AwayTeam], D$1)+SUMIFS(Table2[NewPointsHome],Table2[GameDate], "&lt;=" &amp; $A133, Table2[HomeTeam], D$1)</f>
        <v>32</v>
      </c>
      <c r="E133" s="145">
        <f>SUMIFS(Table2[NewPointsAway],Table2[GameDate], "&lt;=" &amp; $A133, Table2[AwayTeam], E$1)+SUMIFS(Table2[NewPointsHome],Table2[GameDate], "&lt;=" &amp; $A133, Table2[HomeTeam], E$1)</f>
        <v>44</v>
      </c>
      <c r="F133" s="145">
        <f>SUMIFS(Table2[NewPointsAway],Table2[GameDate], "&lt;=" &amp; $A133, Table2[AwayTeam], F$1)+SUMIFS(Table2[NewPointsHome],Table2[GameDate], "&lt;=" &amp; $A133, Table2[HomeTeam], F$1)</f>
        <v>34</v>
      </c>
      <c r="G133" s="145">
        <f>SUMIFS(Table2[NewPointsAway],Table2[GameDate], "&lt;=" &amp; $A133, Table2[AwayTeam], G$1)+SUMIFS(Table2[NewPointsHome],Table2[GameDate], "&lt;=" &amp; $A133, Table2[HomeTeam], G$1)</f>
        <v>30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55</v>
      </c>
      <c r="J133" s="145">
        <f>SUMIFS(Table2[NewPointsAway],Table2[GameDate], "&lt;=" &amp; $A133, Table2[AwayTeam], J$1)+SUMIFS(Table2[NewPointsHome],Table2[GameDate], "&lt;=" &amp; $A133, Table2[HomeTeam], J$1)</f>
        <v>49</v>
      </c>
      <c r="K133" s="145">
        <f>SUMIFS(Table2[NewPointsAway],Table2[GameDate], "&lt;=" &amp; $A133, Table2[AwayTeam], K$1)+SUMIFS(Table2[NewPointsHome],Table2[GameDate], "&lt;=" &amp; $A133, Table2[HomeTeam], K$1)</f>
        <v>41</v>
      </c>
      <c r="L133" s="145">
        <f>SUMIFS(Table2[NewPointsAway],Table2[GameDate], "&lt;=" &amp; $A133, Table2[AwayTeam], L$1)+SUMIFS(Table2[NewPointsHome],Table2[GameDate], "&lt;=" &amp; $A133, Table2[HomeTeam], L$1)</f>
        <v>38</v>
      </c>
      <c r="M133" s="145">
        <f>SUMIFS(Table2[NewPointsAway],Table2[GameDate], "&lt;=" &amp; $A133, Table2[AwayTeam], M$1)+SUMIFS(Table2[NewPointsHome],Table2[GameDate], "&lt;=" &amp; $A133, Table2[HomeTeam], M$1)</f>
        <v>36</v>
      </c>
      <c r="N133" s="145">
        <f>SUMIFS(Table2[NewPointsAway],Table2[GameDate], "&lt;=" &amp; $A133, Table2[AwayTeam], N$1)+SUMIFS(Table2[NewPointsHome],Table2[GameDate], "&lt;=" &amp; $A133, Table2[HomeTeam], N$1)</f>
        <v>37</v>
      </c>
      <c r="O133" s="145">
        <f>SUMIFS(Table2[NewPointsAway],Table2[GameDate], "&lt;=" &amp; $A133, Table2[AwayTeam], O$1)+SUMIFS(Table2[NewPointsHome],Table2[GameDate], "&lt;=" &amp; $A133, Table2[HomeTeam], O$1)</f>
        <v>45</v>
      </c>
      <c r="P133" s="145">
        <f>SUMIFS(Table2[NewPointsAway],Table2[GameDate], "&lt;=" &amp; $A133, Table2[AwayTeam], P$1)+SUMIFS(Table2[NewPointsHome],Table2[GameDate], "&lt;=" &amp; $A133, Table2[HomeTeam], P$1)</f>
        <v>38</v>
      </c>
      <c r="Q133" s="145">
        <f>SUMIFS(Table2[NewPointsAway],Table2[GameDate], "&lt;=" &amp; $A133, Table2[AwayTeam], Q$1)+SUMIFS(Table2[NewPointsHome],Table2[GameDate], "&lt;=" &amp; $A133, Table2[HomeTeam], Q$1)</f>
        <v>37</v>
      </c>
      <c r="R133" s="145">
        <f>SUMIFS(Table2[NewPointsAway],Table2[GameDate], "&lt;=" &amp; $A133, Table2[AwayTeam], R$1)+SUMIFS(Table2[NewPointsHome],Table2[GameDate], "&lt;=" &amp; $A133, Table2[HomeTeam], R$1)</f>
        <v>30</v>
      </c>
      <c r="S133" s="145">
        <f>SUMIFS(Table2[NewPointsAway],Table2[GameDate], "&lt;=" &amp; $A133, Table2[AwayTeam], S$1)+SUMIFS(Table2[NewPointsHome],Table2[GameDate], "&lt;=" &amp; $A133, Table2[HomeTeam], S$1)</f>
        <v>41</v>
      </c>
      <c r="T133" s="145">
        <f>SUMIFS(Table2[NewPointsAway],Table2[GameDate], "&lt;=" &amp; $A133, Table2[AwayTeam], T$1)+SUMIFS(Table2[NewPointsHome],Table2[GameDate], "&lt;=" &amp; $A133, Table2[HomeTeam], T$1)</f>
        <v>36</v>
      </c>
      <c r="U133" s="145">
        <f>SUMIFS(Table2[NewPointsAway],Table2[GameDate], "&lt;=" &amp; $A133, Table2[AwayTeam], U$1)+SUMIFS(Table2[NewPointsHome],Table2[GameDate], "&lt;=" &amp; $A133, Table2[HomeTeam], U$1)</f>
        <v>34</v>
      </c>
      <c r="V133" s="145">
        <f>SUMIFS(Table2[NewPointsAway],Table2[GameDate], "&lt;=" &amp; $A133, Table2[AwayTeam], V$1)+SUMIFS(Table2[NewPointsHome],Table2[GameDate], "&lt;=" &amp; $A133, Table2[HomeTeam], V$1)</f>
        <v>39</v>
      </c>
      <c r="W133" s="145">
        <f>SUMIFS(Table2[NewPointsAway],Table2[GameDate], "&lt;=" &amp; $A133, Table2[AwayTeam], W$1)+SUMIFS(Table2[NewPointsHome],Table2[GameDate], "&lt;=" &amp; $A133, Table2[HomeTeam], W$1)</f>
        <v>37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37</v>
      </c>
      <c r="Z133" s="145">
        <f>SUMIFS(Table2[NewPointsAway],Table2[GameDate], "&lt;=" &amp; $A133, Table2[AwayTeam], Z$1)+SUMIFS(Table2[NewPointsHome],Table2[GameDate], "&lt;=" &amp; $A133, Table2[HomeTeam], Z$1)</f>
        <v>32</v>
      </c>
      <c r="AA133" s="145">
        <f>SUMIFS(Table2[NewPointsAway],Table2[GameDate], "&lt;=" &amp; $A133, Table2[AwayTeam], AA$1)+SUMIFS(Table2[NewPointsHome],Table2[GameDate], "&lt;=" &amp; $A133, Table2[HomeTeam], AA$1)</f>
        <v>39</v>
      </c>
      <c r="AB133" s="145">
        <f>SUMIFS(Table2[NewPointsAway],Table2[GameDate], "&lt;=" &amp; $A133, Table2[AwayTeam], AB$1)+SUMIFS(Table2[NewPointsHome],Table2[GameDate], "&lt;=" &amp; $A133, Table2[HomeTeam], AB$1)</f>
        <v>35</v>
      </c>
      <c r="AC133" s="145">
        <f>SUMIFS(Table2[NewPointsAway],Table2[GameDate], "&lt;=" &amp; $A133, Table2[AwayTeam], AC$1)+SUMIFS(Table2[NewPointsHome],Table2[GameDate], "&lt;=" &amp; $A133, Table2[HomeTeam], AC$1)</f>
        <v>35</v>
      </c>
      <c r="AD133" s="145">
        <f>SUMIFS(Table2[NewPointsAway],Table2[GameDate], "&lt;=" &amp; $A133, Table2[AwayTeam], AD$1)+SUMIFS(Table2[NewPointsHome],Table2[GameDate], "&lt;=" &amp; $A133, Table2[HomeTeam], AD$1)</f>
        <v>29</v>
      </c>
      <c r="AE133" s="145">
        <f>SUMIFS(Table2[NewPointsAway],Table2[GameDate], "&lt;=" &amp; $A133, Table2[AwayTeam], AE$1)+SUMIFS(Table2[NewPointsHome],Table2[GameDate], "&lt;=" &amp; $A133, Table2[HomeTeam], AE$1)</f>
        <v>41</v>
      </c>
      <c r="AF133" s="145">
        <f>SUMIFS(Table2[NewPointsAway],Table2[GameDate], "&lt;=" &amp; $A133, Table2[AwayTeam], AF$1)+SUMIFS(Table2[NewPointsHome],Table2[GameDate], "&lt;=" &amp; $A133, Table2[HomeTeam], AF$1)</f>
        <v>32</v>
      </c>
      <c r="AG133" s="145">
        <f>SUMIFS(Table2[NewPointsAway],Table2[GameDate], "&lt;=" &amp; $A133, Table2[AwayTeam], AG$1)+SUMIFS(Table2[NewPointsHome],Table2[GameDate], "&lt;=" &amp; $A133, Table2[HomeTeam], AG$1)</f>
        <v>40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42</v>
      </c>
      <c r="C134" s="145">
        <f>SUMIFS(Table2[NewPointsAway],Table2[GameDate], "&lt;=" &amp; $A134, Table2[AwayTeam], C$1)+SUMIFS(Table2[NewPointsHome],Table2[GameDate], "&lt;=" &amp; $A134, Table2[HomeTeam], C$1)</f>
        <v>40</v>
      </c>
      <c r="D134" s="145">
        <f>SUMIFS(Table2[NewPointsAway],Table2[GameDate], "&lt;=" &amp; $A134, Table2[AwayTeam], D$1)+SUMIFS(Table2[NewPointsHome],Table2[GameDate], "&lt;=" &amp; $A134, Table2[HomeTeam], D$1)</f>
        <v>32</v>
      </c>
      <c r="E134" s="145">
        <f>SUMIFS(Table2[NewPointsAway],Table2[GameDate], "&lt;=" &amp; $A134, Table2[AwayTeam], E$1)+SUMIFS(Table2[NewPointsHome],Table2[GameDate], "&lt;=" &amp; $A134, Table2[HomeTeam], E$1)</f>
        <v>44</v>
      </c>
      <c r="F134" s="145">
        <f>SUMIFS(Table2[NewPointsAway],Table2[GameDate], "&lt;=" &amp; $A134, Table2[AwayTeam], F$1)+SUMIFS(Table2[NewPointsHome],Table2[GameDate], "&lt;=" &amp; $A134, Table2[HomeTeam], F$1)</f>
        <v>34</v>
      </c>
      <c r="G134" s="145">
        <f>SUMIFS(Table2[NewPointsAway],Table2[GameDate], "&lt;=" &amp; $A134, Table2[AwayTeam], G$1)+SUMIFS(Table2[NewPointsHome],Table2[GameDate], "&lt;=" &amp; $A134, Table2[HomeTeam], G$1)</f>
        <v>30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55</v>
      </c>
      <c r="J134" s="145">
        <f>SUMIFS(Table2[NewPointsAway],Table2[GameDate], "&lt;=" &amp; $A134, Table2[AwayTeam], J$1)+SUMIFS(Table2[NewPointsHome],Table2[GameDate], "&lt;=" &amp; $A134, Table2[HomeTeam], J$1)</f>
        <v>49</v>
      </c>
      <c r="K134" s="145">
        <f>SUMIFS(Table2[NewPointsAway],Table2[GameDate], "&lt;=" &amp; $A134, Table2[AwayTeam], K$1)+SUMIFS(Table2[NewPointsHome],Table2[GameDate], "&lt;=" &amp; $A134, Table2[HomeTeam], K$1)</f>
        <v>41</v>
      </c>
      <c r="L134" s="145">
        <f>SUMIFS(Table2[NewPointsAway],Table2[GameDate], "&lt;=" &amp; $A134, Table2[AwayTeam], L$1)+SUMIFS(Table2[NewPointsHome],Table2[GameDate], "&lt;=" &amp; $A134, Table2[HomeTeam], L$1)</f>
        <v>38</v>
      </c>
      <c r="M134" s="145">
        <f>SUMIFS(Table2[NewPointsAway],Table2[GameDate], "&lt;=" &amp; $A134, Table2[AwayTeam], M$1)+SUMIFS(Table2[NewPointsHome],Table2[GameDate], "&lt;=" &amp; $A134, Table2[HomeTeam], M$1)</f>
        <v>36</v>
      </c>
      <c r="N134" s="145">
        <f>SUMIFS(Table2[NewPointsAway],Table2[GameDate], "&lt;=" &amp; $A134, Table2[AwayTeam], N$1)+SUMIFS(Table2[NewPointsHome],Table2[GameDate], "&lt;=" &amp; $A134, Table2[HomeTeam], N$1)</f>
        <v>37</v>
      </c>
      <c r="O134" s="145">
        <f>SUMIFS(Table2[NewPointsAway],Table2[GameDate], "&lt;=" &amp; $A134, Table2[AwayTeam], O$1)+SUMIFS(Table2[NewPointsHome],Table2[GameDate], "&lt;=" &amp; $A134, Table2[HomeTeam], O$1)</f>
        <v>45</v>
      </c>
      <c r="P134" s="145">
        <f>SUMIFS(Table2[NewPointsAway],Table2[GameDate], "&lt;=" &amp; $A134, Table2[AwayTeam], P$1)+SUMIFS(Table2[NewPointsHome],Table2[GameDate], "&lt;=" &amp; $A134, Table2[HomeTeam], P$1)</f>
        <v>38</v>
      </c>
      <c r="Q134" s="145">
        <f>SUMIFS(Table2[NewPointsAway],Table2[GameDate], "&lt;=" &amp; $A134, Table2[AwayTeam], Q$1)+SUMIFS(Table2[NewPointsHome],Table2[GameDate], "&lt;=" &amp; $A134, Table2[HomeTeam], Q$1)</f>
        <v>37</v>
      </c>
      <c r="R134" s="145">
        <f>SUMIFS(Table2[NewPointsAway],Table2[GameDate], "&lt;=" &amp; $A134, Table2[AwayTeam], R$1)+SUMIFS(Table2[NewPointsHome],Table2[GameDate], "&lt;=" &amp; $A134, Table2[HomeTeam], R$1)</f>
        <v>30</v>
      </c>
      <c r="S134" s="145">
        <f>SUMIFS(Table2[NewPointsAway],Table2[GameDate], "&lt;=" &amp; $A134, Table2[AwayTeam], S$1)+SUMIFS(Table2[NewPointsHome],Table2[GameDate], "&lt;=" &amp; $A134, Table2[HomeTeam], S$1)</f>
        <v>41</v>
      </c>
      <c r="T134" s="145">
        <f>SUMIFS(Table2[NewPointsAway],Table2[GameDate], "&lt;=" &amp; $A134, Table2[AwayTeam], T$1)+SUMIFS(Table2[NewPointsHome],Table2[GameDate], "&lt;=" &amp; $A134, Table2[HomeTeam], T$1)</f>
        <v>36</v>
      </c>
      <c r="U134" s="145">
        <f>SUMIFS(Table2[NewPointsAway],Table2[GameDate], "&lt;=" &amp; $A134, Table2[AwayTeam], U$1)+SUMIFS(Table2[NewPointsHome],Table2[GameDate], "&lt;=" &amp; $A134, Table2[HomeTeam], U$1)</f>
        <v>34</v>
      </c>
      <c r="V134" s="145">
        <f>SUMIFS(Table2[NewPointsAway],Table2[GameDate], "&lt;=" &amp; $A134, Table2[AwayTeam], V$1)+SUMIFS(Table2[NewPointsHome],Table2[GameDate], "&lt;=" &amp; $A134, Table2[HomeTeam], V$1)</f>
        <v>39</v>
      </c>
      <c r="W134" s="145">
        <f>SUMIFS(Table2[NewPointsAway],Table2[GameDate], "&lt;=" &amp; $A134, Table2[AwayTeam], W$1)+SUMIFS(Table2[NewPointsHome],Table2[GameDate], "&lt;=" &amp; $A134, Table2[HomeTeam], W$1)</f>
        <v>37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37</v>
      </c>
      <c r="Z134" s="145">
        <f>SUMIFS(Table2[NewPointsAway],Table2[GameDate], "&lt;=" &amp; $A134, Table2[AwayTeam], Z$1)+SUMIFS(Table2[NewPointsHome],Table2[GameDate], "&lt;=" &amp; $A134, Table2[HomeTeam], Z$1)</f>
        <v>32</v>
      </c>
      <c r="AA134" s="145">
        <f>SUMIFS(Table2[NewPointsAway],Table2[GameDate], "&lt;=" &amp; $A134, Table2[AwayTeam], AA$1)+SUMIFS(Table2[NewPointsHome],Table2[GameDate], "&lt;=" &amp; $A134, Table2[HomeTeam], AA$1)</f>
        <v>39</v>
      </c>
      <c r="AB134" s="145">
        <f>SUMIFS(Table2[NewPointsAway],Table2[GameDate], "&lt;=" &amp; $A134, Table2[AwayTeam], AB$1)+SUMIFS(Table2[NewPointsHome],Table2[GameDate], "&lt;=" &amp; $A134, Table2[HomeTeam], AB$1)</f>
        <v>35</v>
      </c>
      <c r="AC134" s="145">
        <f>SUMIFS(Table2[NewPointsAway],Table2[GameDate], "&lt;=" &amp; $A134, Table2[AwayTeam], AC$1)+SUMIFS(Table2[NewPointsHome],Table2[GameDate], "&lt;=" &amp; $A134, Table2[HomeTeam], AC$1)</f>
        <v>35</v>
      </c>
      <c r="AD134" s="145">
        <f>SUMIFS(Table2[NewPointsAway],Table2[GameDate], "&lt;=" &amp; $A134, Table2[AwayTeam], AD$1)+SUMIFS(Table2[NewPointsHome],Table2[GameDate], "&lt;=" &amp; $A134, Table2[HomeTeam], AD$1)</f>
        <v>29</v>
      </c>
      <c r="AE134" s="145">
        <f>SUMIFS(Table2[NewPointsAway],Table2[GameDate], "&lt;=" &amp; $A134, Table2[AwayTeam], AE$1)+SUMIFS(Table2[NewPointsHome],Table2[GameDate], "&lt;=" &amp; $A134, Table2[HomeTeam], AE$1)</f>
        <v>41</v>
      </c>
      <c r="AF134" s="145">
        <f>SUMIFS(Table2[NewPointsAway],Table2[GameDate], "&lt;=" &amp; $A134, Table2[AwayTeam], AF$1)+SUMIFS(Table2[NewPointsHome],Table2[GameDate], "&lt;=" &amp; $A134, Table2[HomeTeam], AF$1)</f>
        <v>32</v>
      </c>
      <c r="AG134" s="145">
        <f>SUMIFS(Table2[NewPointsAway],Table2[GameDate], "&lt;=" &amp; $A134, Table2[AwayTeam], AG$1)+SUMIFS(Table2[NewPointsHome],Table2[GameDate], "&lt;=" &amp; $A134, Table2[HomeTeam], AG$1)</f>
        <v>40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42</v>
      </c>
      <c r="C135" s="145">
        <f>SUMIFS(Table2[NewPointsAway],Table2[GameDate], "&lt;=" &amp; $A135, Table2[AwayTeam], C$1)+SUMIFS(Table2[NewPointsHome],Table2[GameDate], "&lt;=" &amp; $A135, Table2[HomeTeam], C$1)</f>
        <v>40</v>
      </c>
      <c r="D135" s="145">
        <f>SUMIFS(Table2[NewPointsAway],Table2[GameDate], "&lt;=" &amp; $A135, Table2[AwayTeam], D$1)+SUMIFS(Table2[NewPointsHome],Table2[GameDate], "&lt;=" &amp; $A135, Table2[HomeTeam], D$1)</f>
        <v>32</v>
      </c>
      <c r="E135" s="145">
        <f>SUMIFS(Table2[NewPointsAway],Table2[GameDate], "&lt;=" &amp; $A135, Table2[AwayTeam], E$1)+SUMIFS(Table2[NewPointsHome],Table2[GameDate], "&lt;=" &amp; $A135, Table2[HomeTeam], E$1)</f>
        <v>44</v>
      </c>
      <c r="F135" s="145">
        <f>SUMIFS(Table2[NewPointsAway],Table2[GameDate], "&lt;=" &amp; $A135, Table2[AwayTeam], F$1)+SUMIFS(Table2[NewPointsHome],Table2[GameDate], "&lt;=" &amp; $A135, Table2[HomeTeam], F$1)</f>
        <v>34</v>
      </c>
      <c r="G135" s="145">
        <f>SUMIFS(Table2[NewPointsAway],Table2[GameDate], "&lt;=" &amp; $A135, Table2[AwayTeam], G$1)+SUMIFS(Table2[NewPointsHome],Table2[GameDate], "&lt;=" &amp; $A135, Table2[HomeTeam], G$1)</f>
        <v>30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55</v>
      </c>
      <c r="J135" s="145">
        <f>SUMIFS(Table2[NewPointsAway],Table2[GameDate], "&lt;=" &amp; $A135, Table2[AwayTeam], J$1)+SUMIFS(Table2[NewPointsHome],Table2[GameDate], "&lt;=" &amp; $A135, Table2[HomeTeam], J$1)</f>
        <v>49</v>
      </c>
      <c r="K135" s="145">
        <f>SUMIFS(Table2[NewPointsAway],Table2[GameDate], "&lt;=" &amp; $A135, Table2[AwayTeam], K$1)+SUMIFS(Table2[NewPointsHome],Table2[GameDate], "&lt;=" &amp; $A135, Table2[HomeTeam], K$1)</f>
        <v>41</v>
      </c>
      <c r="L135" s="145">
        <f>SUMIFS(Table2[NewPointsAway],Table2[GameDate], "&lt;=" &amp; $A135, Table2[AwayTeam], L$1)+SUMIFS(Table2[NewPointsHome],Table2[GameDate], "&lt;=" &amp; $A135, Table2[HomeTeam], L$1)</f>
        <v>38</v>
      </c>
      <c r="M135" s="145">
        <f>SUMIFS(Table2[NewPointsAway],Table2[GameDate], "&lt;=" &amp; $A135, Table2[AwayTeam], M$1)+SUMIFS(Table2[NewPointsHome],Table2[GameDate], "&lt;=" &amp; $A135, Table2[HomeTeam], M$1)</f>
        <v>36</v>
      </c>
      <c r="N135" s="145">
        <f>SUMIFS(Table2[NewPointsAway],Table2[GameDate], "&lt;=" &amp; $A135, Table2[AwayTeam], N$1)+SUMIFS(Table2[NewPointsHome],Table2[GameDate], "&lt;=" &amp; $A135, Table2[HomeTeam], N$1)</f>
        <v>37</v>
      </c>
      <c r="O135" s="145">
        <f>SUMIFS(Table2[NewPointsAway],Table2[GameDate], "&lt;=" &amp; $A135, Table2[AwayTeam], O$1)+SUMIFS(Table2[NewPointsHome],Table2[GameDate], "&lt;=" &amp; $A135, Table2[HomeTeam], O$1)</f>
        <v>45</v>
      </c>
      <c r="P135" s="145">
        <f>SUMIFS(Table2[NewPointsAway],Table2[GameDate], "&lt;=" &amp; $A135, Table2[AwayTeam], P$1)+SUMIFS(Table2[NewPointsHome],Table2[GameDate], "&lt;=" &amp; $A135, Table2[HomeTeam], P$1)</f>
        <v>38</v>
      </c>
      <c r="Q135" s="145">
        <f>SUMIFS(Table2[NewPointsAway],Table2[GameDate], "&lt;=" &amp; $A135, Table2[AwayTeam], Q$1)+SUMIFS(Table2[NewPointsHome],Table2[GameDate], "&lt;=" &amp; $A135, Table2[HomeTeam], Q$1)</f>
        <v>37</v>
      </c>
      <c r="R135" s="145">
        <f>SUMIFS(Table2[NewPointsAway],Table2[GameDate], "&lt;=" &amp; $A135, Table2[AwayTeam], R$1)+SUMIFS(Table2[NewPointsHome],Table2[GameDate], "&lt;=" &amp; $A135, Table2[HomeTeam], R$1)</f>
        <v>30</v>
      </c>
      <c r="S135" s="145">
        <f>SUMIFS(Table2[NewPointsAway],Table2[GameDate], "&lt;=" &amp; $A135, Table2[AwayTeam], S$1)+SUMIFS(Table2[NewPointsHome],Table2[GameDate], "&lt;=" &amp; $A135, Table2[HomeTeam], S$1)</f>
        <v>41</v>
      </c>
      <c r="T135" s="145">
        <f>SUMIFS(Table2[NewPointsAway],Table2[GameDate], "&lt;=" &amp; $A135, Table2[AwayTeam], T$1)+SUMIFS(Table2[NewPointsHome],Table2[GameDate], "&lt;=" &amp; $A135, Table2[HomeTeam], T$1)</f>
        <v>36</v>
      </c>
      <c r="U135" s="145">
        <f>SUMIFS(Table2[NewPointsAway],Table2[GameDate], "&lt;=" &amp; $A135, Table2[AwayTeam], U$1)+SUMIFS(Table2[NewPointsHome],Table2[GameDate], "&lt;=" &amp; $A135, Table2[HomeTeam], U$1)</f>
        <v>34</v>
      </c>
      <c r="V135" s="145">
        <f>SUMIFS(Table2[NewPointsAway],Table2[GameDate], "&lt;=" &amp; $A135, Table2[AwayTeam], V$1)+SUMIFS(Table2[NewPointsHome],Table2[GameDate], "&lt;=" &amp; $A135, Table2[HomeTeam], V$1)</f>
        <v>39</v>
      </c>
      <c r="W135" s="145">
        <f>SUMIFS(Table2[NewPointsAway],Table2[GameDate], "&lt;=" &amp; $A135, Table2[AwayTeam], W$1)+SUMIFS(Table2[NewPointsHome],Table2[GameDate], "&lt;=" &amp; $A135, Table2[HomeTeam], W$1)</f>
        <v>37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37</v>
      </c>
      <c r="Z135" s="145">
        <f>SUMIFS(Table2[NewPointsAway],Table2[GameDate], "&lt;=" &amp; $A135, Table2[AwayTeam], Z$1)+SUMIFS(Table2[NewPointsHome],Table2[GameDate], "&lt;=" &amp; $A135, Table2[HomeTeam], Z$1)</f>
        <v>32</v>
      </c>
      <c r="AA135" s="145">
        <f>SUMIFS(Table2[NewPointsAway],Table2[GameDate], "&lt;=" &amp; $A135, Table2[AwayTeam], AA$1)+SUMIFS(Table2[NewPointsHome],Table2[GameDate], "&lt;=" &amp; $A135, Table2[HomeTeam], AA$1)</f>
        <v>39</v>
      </c>
      <c r="AB135" s="145">
        <f>SUMIFS(Table2[NewPointsAway],Table2[GameDate], "&lt;=" &amp; $A135, Table2[AwayTeam], AB$1)+SUMIFS(Table2[NewPointsHome],Table2[GameDate], "&lt;=" &amp; $A135, Table2[HomeTeam], AB$1)</f>
        <v>35</v>
      </c>
      <c r="AC135" s="145">
        <f>SUMIFS(Table2[NewPointsAway],Table2[GameDate], "&lt;=" &amp; $A135, Table2[AwayTeam], AC$1)+SUMIFS(Table2[NewPointsHome],Table2[GameDate], "&lt;=" &amp; $A135, Table2[HomeTeam], AC$1)</f>
        <v>35</v>
      </c>
      <c r="AD135" s="145">
        <f>SUMIFS(Table2[NewPointsAway],Table2[GameDate], "&lt;=" &amp; $A135, Table2[AwayTeam], AD$1)+SUMIFS(Table2[NewPointsHome],Table2[GameDate], "&lt;=" &amp; $A135, Table2[HomeTeam], AD$1)</f>
        <v>29</v>
      </c>
      <c r="AE135" s="145">
        <f>SUMIFS(Table2[NewPointsAway],Table2[GameDate], "&lt;=" &amp; $A135, Table2[AwayTeam], AE$1)+SUMIFS(Table2[NewPointsHome],Table2[GameDate], "&lt;=" &amp; $A135, Table2[HomeTeam], AE$1)</f>
        <v>41</v>
      </c>
      <c r="AF135" s="145">
        <f>SUMIFS(Table2[NewPointsAway],Table2[GameDate], "&lt;=" &amp; $A135, Table2[AwayTeam], AF$1)+SUMIFS(Table2[NewPointsHome],Table2[GameDate], "&lt;=" &amp; $A135, Table2[HomeTeam], AF$1)</f>
        <v>32</v>
      </c>
      <c r="AG135" s="145">
        <f>SUMIFS(Table2[NewPointsAway],Table2[GameDate], "&lt;=" &amp; $A135, Table2[AwayTeam], AG$1)+SUMIFS(Table2[NewPointsHome],Table2[GameDate], "&lt;=" &amp; $A135, Table2[HomeTeam], AG$1)</f>
        <v>40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42</v>
      </c>
      <c r="C136" s="145">
        <f>SUMIFS(Table2[NewPointsAway],Table2[GameDate], "&lt;=" &amp; $A136, Table2[AwayTeam], C$1)+SUMIFS(Table2[NewPointsHome],Table2[GameDate], "&lt;=" &amp; $A136, Table2[HomeTeam], C$1)</f>
        <v>40</v>
      </c>
      <c r="D136" s="145">
        <f>SUMIFS(Table2[NewPointsAway],Table2[GameDate], "&lt;=" &amp; $A136, Table2[AwayTeam], D$1)+SUMIFS(Table2[NewPointsHome],Table2[GameDate], "&lt;=" &amp; $A136, Table2[HomeTeam], D$1)</f>
        <v>32</v>
      </c>
      <c r="E136" s="145">
        <f>SUMIFS(Table2[NewPointsAway],Table2[GameDate], "&lt;=" &amp; $A136, Table2[AwayTeam], E$1)+SUMIFS(Table2[NewPointsHome],Table2[GameDate], "&lt;=" &amp; $A136, Table2[HomeTeam], E$1)</f>
        <v>44</v>
      </c>
      <c r="F136" s="145">
        <f>SUMIFS(Table2[NewPointsAway],Table2[GameDate], "&lt;=" &amp; $A136, Table2[AwayTeam], F$1)+SUMIFS(Table2[NewPointsHome],Table2[GameDate], "&lt;=" &amp; $A136, Table2[HomeTeam], F$1)</f>
        <v>34</v>
      </c>
      <c r="G136" s="145">
        <f>SUMIFS(Table2[NewPointsAway],Table2[GameDate], "&lt;=" &amp; $A136, Table2[AwayTeam], G$1)+SUMIFS(Table2[NewPointsHome],Table2[GameDate], "&lt;=" &amp; $A136, Table2[HomeTeam], G$1)</f>
        <v>30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55</v>
      </c>
      <c r="J136" s="145">
        <f>SUMIFS(Table2[NewPointsAway],Table2[GameDate], "&lt;=" &amp; $A136, Table2[AwayTeam], J$1)+SUMIFS(Table2[NewPointsHome],Table2[GameDate], "&lt;=" &amp; $A136, Table2[HomeTeam], J$1)</f>
        <v>49</v>
      </c>
      <c r="K136" s="145">
        <f>SUMIFS(Table2[NewPointsAway],Table2[GameDate], "&lt;=" &amp; $A136, Table2[AwayTeam], K$1)+SUMIFS(Table2[NewPointsHome],Table2[GameDate], "&lt;=" &amp; $A136, Table2[HomeTeam], K$1)</f>
        <v>41</v>
      </c>
      <c r="L136" s="145">
        <f>SUMIFS(Table2[NewPointsAway],Table2[GameDate], "&lt;=" &amp; $A136, Table2[AwayTeam], L$1)+SUMIFS(Table2[NewPointsHome],Table2[GameDate], "&lt;=" &amp; $A136, Table2[HomeTeam], L$1)</f>
        <v>38</v>
      </c>
      <c r="M136" s="145">
        <f>SUMIFS(Table2[NewPointsAway],Table2[GameDate], "&lt;=" &amp; $A136, Table2[AwayTeam], M$1)+SUMIFS(Table2[NewPointsHome],Table2[GameDate], "&lt;=" &amp; $A136, Table2[HomeTeam], M$1)</f>
        <v>36</v>
      </c>
      <c r="N136" s="145">
        <f>SUMIFS(Table2[NewPointsAway],Table2[GameDate], "&lt;=" &amp; $A136, Table2[AwayTeam], N$1)+SUMIFS(Table2[NewPointsHome],Table2[GameDate], "&lt;=" &amp; $A136, Table2[HomeTeam], N$1)</f>
        <v>37</v>
      </c>
      <c r="O136" s="145">
        <f>SUMIFS(Table2[NewPointsAway],Table2[GameDate], "&lt;=" &amp; $A136, Table2[AwayTeam], O$1)+SUMIFS(Table2[NewPointsHome],Table2[GameDate], "&lt;=" &amp; $A136, Table2[HomeTeam], O$1)</f>
        <v>45</v>
      </c>
      <c r="P136" s="145">
        <f>SUMIFS(Table2[NewPointsAway],Table2[GameDate], "&lt;=" &amp; $A136, Table2[AwayTeam], P$1)+SUMIFS(Table2[NewPointsHome],Table2[GameDate], "&lt;=" &amp; $A136, Table2[HomeTeam], P$1)</f>
        <v>38</v>
      </c>
      <c r="Q136" s="145">
        <f>SUMIFS(Table2[NewPointsAway],Table2[GameDate], "&lt;=" &amp; $A136, Table2[AwayTeam], Q$1)+SUMIFS(Table2[NewPointsHome],Table2[GameDate], "&lt;=" &amp; $A136, Table2[HomeTeam], Q$1)</f>
        <v>37</v>
      </c>
      <c r="R136" s="145">
        <f>SUMIFS(Table2[NewPointsAway],Table2[GameDate], "&lt;=" &amp; $A136, Table2[AwayTeam], R$1)+SUMIFS(Table2[NewPointsHome],Table2[GameDate], "&lt;=" &amp; $A136, Table2[HomeTeam], R$1)</f>
        <v>30</v>
      </c>
      <c r="S136" s="145">
        <f>SUMIFS(Table2[NewPointsAway],Table2[GameDate], "&lt;=" &amp; $A136, Table2[AwayTeam], S$1)+SUMIFS(Table2[NewPointsHome],Table2[GameDate], "&lt;=" &amp; $A136, Table2[HomeTeam], S$1)</f>
        <v>41</v>
      </c>
      <c r="T136" s="145">
        <f>SUMIFS(Table2[NewPointsAway],Table2[GameDate], "&lt;=" &amp; $A136, Table2[AwayTeam], T$1)+SUMIFS(Table2[NewPointsHome],Table2[GameDate], "&lt;=" &amp; $A136, Table2[HomeTeam], T$1)</f>
        <v>36</v>
      </c>
      <c r="U136" s="145">
        <f>SUMIFS(Table2[NewPointsAway],Table2[GameDate], "&lt;=" &amp; $A136, Table2[AwayTeam], U$1)+SUMIFS(Table2[NewPointsHome],Table2[GameDate], "&lt;=" &amp; $A136, Table2[HomeTeam], U$1)</f>
        <v>34</v>
      </c>
      <c r="V136" s="145">
        <f>SUMIFS(Table2[NewPointsAway],Table2[GameDate], "&lt;=" &amp; $A136, Table2[AwayTeam], V$1)+SUMIFS(Table2[NewPointsHome],Table2[GameDate], "&lt;=" &amp; $A136, Table2[HomeTeam], V$1)</f>
        <v>39</v>
      </c>
      <c r="W136" s="145">
        <f>SUMIFS(Table2[NewPointsAway],Table2[GameDate], "&lt;=" &amp; $A136, Table2[AwayTeam], W$1)+SUMIFS(Table2[NewPointsHome],Table2[GameDate], "&lt;=" &amp; $A136, Table2[HomeTeam], W$1)</f>
        <v>37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37</v>
      </c>
      <c r="Z136" s="145">
        <f>SUMIFS(Table2[NewPointsAway],Table2[GameDate], "&lt;=" &amp; $A136, Table2[AwayTeam], Z$1)+SUMIFS(Table2[NewPointsHome],Table2[GameDate], "&lt;=" &amp; $A136, Table2[HomeTeam], Z$1)</f>
        <v>32</v>
      </c>
      <c r="AA136" s="145">
        <f>SUMIFS(Table2[NewPointsAway],Table2[GameDate], "&lt;=" &amp; $A136, Table2[AwayTeam], AA$1)+SUMIFS(Table2[NewPointsHome],Table2[GameDate], "&lt;=" &amp; $A136, Table2[HomeTeam], AA$1)</f>
        <v>39</v>
      </c>
      <c r="AB136" s="145">
        <f>SUMIFS(Table2[NewPointsAway],Table2[GameDate], "&lt;=" &amp; $A136, Table2[AwayTeam], AB$1)+SUMIFS(Table2[NewPointsHome],Table2[GameDate], "&lt;=" &amp; $A136, Table2[HomeTeam], AB$1)</f>
        <v>35</v>
      </c>
      <c r="AC136" s="145">
        <f>SUMIFS(Table2[NewPointsAway],Table2[GameDate], "&lt;=" &amp; $A136, Table2[AwayTeam], AC$1)+SUMIFS(Table2[NewPointsHome],Table2[GameDate], "&lt;=" &amp; $A136, Table2[HomeTeam], AC$1)</f>
        <v>35</v>
      </c>
      <c r="AD136" s="145">
        <f>SUMIFS(Table2[NewPointsAway],Table2[GameDate], "&lt;=" &amp; $A136, Table2[AwayTeam], AD$1)+SUMIFS(Table2[NewPointsHome],Table2[GameDate], "&lt;=" &amp; $A136, Table2[HomeTeam], AD$1)</f>
        <v>29</v>
      </c>
      <c r="AE136" s="145">
        <f>SUMIFS(Table2[NewPointsAway],Table2[GameDate], "&lt;=" &amp; $A136, Table2[AwayTeam], AE$1)+SUMIFS(Table2[NewPointsHome],Table2[GameDate], "&lt;=" &amp; $A136, Table2[HomeTeam], AE$1)</f>
        <v>41</v>
      </c>
      <c r="AF136" s="145">
        <f>SUMIFS(Table2[NewPointsAway],Table2[GameDate], "&lt;=" &amp; $A136, Table2[AwayTeam], AF$1)+SUMIFS(Table2[NewPointsHome],Table2[GameDate], "&lt;=" &amp; $A136, Table2[HomeTeam], AF$1)</f>
        <v>32</v>
      </c>
      <c r="AG136" s="145">
        <f>SUMIFS(Table2[NewPointsAway],Table2[GameDate], "&lt;=" &amp; $A136, Table2[AwayTeam], AG$1)+SUMIFS(Table2[NewPointsHome],Table2[GameDate], "&lt;=" &amp; $A136, Table2[HomeTeam], AG$1)</f>
        <v>40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42</v>
      </c>
      <c r="C137" s="145">
        <f>SUMIFS(Table2[NewPointsAway],Table2[GameDate], "&lt;=" &amp; $A137, Table2[AwayTeam], C$1)+SUMIFS(Table2[NewPointsHome],Table2[GameDate], "&lt;=" &amp; $A137, Table2[HomeTeam], C$1)</f>
        <v>40</v>
      </c>
      <c r="D137" s="145">
        <f>SUMIFS(Table2[NewPointsAway],Table2[GameDate], "&lt;=" &amp; $A137, Table2[AwayTeam], D$1)+SUMIFS(Table2[NewPointsHome],Table2[GameDate], "&lt;=" &amp; $A137, Table2[HomeTeam], D$1)</f>
        <v>32</v>
      </c>
      <c r="E137" s="145">
        <f>SUMIFS(Table2[NewPointsAway],Table2[GameDate], "&lt;=" &amp; $A137, Table2[AwayTeam], E$1)+SUMIFS(Table2[NewPointsHome],Table2[GameDate], "&lt;=" &amp; $A137, Table2[HomeTeam], E$1)</f>
        <v>44</v>
      </c>
      <c r="F137" s="145">
        <f>SUMIFS(Table2[NewPointsAway],Table2[GameDate], "&lt;=" &amp; $A137, Table2[AwayTeam], F$1)+SUMIFS(Table2[NewPointsHome],Table2[GameDate], "&lt;=" &amp; $A137, Table2[HomeTeam], F$1)</f>
        <v>34</v>
      </c>
      <c r="G137" s="145">
        <f>SUMIFS(Table2[NewPointsAway],Table2[GameDate], "&lt;=" &amp; $A137, Table2[AwayTeam], G$1)+SUMIFS(Table2[NewPointsHome],Table2[GameDate], "&lt;=" &amp; $A137, Table2[HomeTeam], G$1)</f>
        <v>30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55</v>
      </c>
      <c r="J137" s="145">
        <f>SUMIFS(Table2[NewPointsAway],Table2[GameDate], "&lt;=" &amp; $A137, Table2[AwayTeam], J$1)+SUMIFS(Table2[NewPointsHome],Table2[GameDate], "&lt;=" &amp; $A137, Table2[HomeTeam], J$1)</f>
        <v>49</v>
      </c>
      <c r="K137" s="145">
        <f>SUMIFS(Table2[NewPointsAway],Table2[GameDate], "&lt;=" &amp; $A137, Table2[AwayTeam], K$1)+SUMIFS(Table2[NewPointsHome],Table2[GameDate], "&lt;=" &amp; $A137, Table2[HomeTeam], K$1)</f>
        <v>41</v>
      </c>
      <c r="L137" s="145">
        <f>SUMIFS(Table2[NewPointsAway],Table2[GameDate], "&lt;=" &amp; $A137, Table2[AwayTeam], L$1)+SUMIFS(Table2[NewPointsHome],Table2[GameDate], "&lt;=" &amp; $A137, Table2[HomeTeam], L$1)</f>
        <v>38</v>
      </c>
      <c r="M137" s="145">
        <f>SUMIFS(Table2[NewPointsAway],Table2[GameDate], "&lt;=" &amp; $A137, Table2[AwayTeam], M$1)+SUMIFS(Table2[NewPointsHome],Table2[GameDate], "&lt;=" &amp; $A137, Table2[HomeTeam], M$1)</f>
        <v>36</v>
      </c>
      <c r="N137" s="145">
        <f>SUMIFS(Table2[NewPointsAway],Table2[GameDate], "&lt;=" &amp; $A137, Table2[AwayTeam], N$1)+SUMIFS(Table2[NewPointsHome],Table2[GameDate], "&lt;=" &amp; $A137, Table2[HomeTeam], N$1)</f>
        <v>37</v>
      </c>
      <c r="O137" s="145">
        <f>SUMIFS(Table2[NewPointsAway],Table2[GameDate], "&lt;=" &amp; $A137, Table2[AwayTeam], O$1)+SUMIFS(Table2[NewPointsHome],Table2[GameDate], "&lt;=" &amp; $A137, Table2[HomeTeam], O$1)</f>
        <v>45</v>
      </c>
      <c r="P137" s="145">
        <f>SUMIFS(Table2[NewPointsAway],Table2[GameDate], "&lt;=" &amp; $A137, Table2[AwayTeam], P$1)+SUMIFS(Table2[NewPointsHome],Table2[GameDate], "&lt;=" &amp; $A137, Table2[HomeTeam], P$1)</f>
        <v>38</v>
      </c>
      <c r="Q137" s="145">
        <f>SUMIFS(Table2[NewPointsAway],Table2[GameDate], "&lt;=" &amp; $A137, Table2[AwayTeam], Q$1)+SUMIFS(Table2[NewPointsHome],Table2[GameDate], "&lt;=" &amp; $A137, Table2[HomeTeam], Q$1)</f>
        <v>37</v>
      </c>
      <c r="R137" s="145">
        <f>SUMIFS(Table2[NewPointsAway],Table2[GameDate], "&lt;=" &amp; $A137, Table2[AwayTeam], R$1)+SUMIFS(Table2[NewPointsHome],Table2[GameDate], "&lt;=" &amp; $A137, Table2[HomeTeam], R$1)</f>
        <v>30</v>
      </c>
      <c r="S137" s="145">
        <f>SUMIFS(Table2[NewPointsAway],Table2[GameDate], "&lt;=" &amp; $A137, Table2[AwayTeam], S$1)+SUMIFS(Table2[NewPointsHome],Table2[GameDate], "&lt;=" &amp; $A137, Table2[HomeTeam], S$1)</f>
        <v>41</v>
      </c>
      <c r="T137" s="145">
        <f>SUMIFS(Table2[NewPointsAway],Table2[GameDate], "&lt;=" &amp; $A137, Table2[AwayTeam], T$1)+SUMIFS(Table2[NewPointsHome],Table2[GameDate], "&lt;=" &amp; $A137, Table2[HomeTeam], T$1)</f>
        <v>36</v>
      </c>
      <c r="U137" s="145">
        <f>SUMIFS(Table2[NewPointsAway],Table2[GameDate], "&lt;=" &amp; $A137, Table2[AwayTeam], U$1)+SUMIFS(Table2[NewPointsHome],Table2[GameDate], "&lt;=" &amp; $A137, Table2[HomeTeam], U$1)</f>
        <v>34</v>
      </c>
      <c r="V137" s="145">
        <f>SUMIFS(Table2[NewPointsAway],Table2[GameDate], "&lt;=" &amp; $A137, Table2[AwayTeam], V$1)+SUMIFS(Table2[NewPointsHome],Table2[GameDate], "&lt;=" &amp; $A137, Table2[HomeTeam], V$1)</f>
        <v>39</v>
      </c>
      <c r="W137" s="145">
        <f>SUMIFS(Table2[NewPointsAway],Table2[GameDate], "&lt;=" &amp; $A137, Table2[AwayTeam], W$1)+SUMIFS(Table2[NewPointsHome],Table2[GameDate], "&lt;=" &amp; $A137, Table2[HomeTeam], W$1)</f>
        <v>37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37</v>
      </c>
      <c r="Z137" s="145">
        <f>SUMIFS(Table2[NewPointsAway],Table2[GameDate], "&lt;=" &amp; $A137, Table2[AwayTeam], Z$1)+SUMIFS(Table2[NewPointsHome],Table2[GameDate], "&lt;=" &amp; $A137, Table2[HomeTeam], Z$1)</f>
        <v>32</v>
      </c>
      <c r="AA137" s="145">
        <f>SUMIFS(Table2[NewPointsAway],Table2[GameDate], "&lt;=" &amp; $A137, Table2[AwayTeam], AA$1)+SUMIFS(Table2[NewPointsHome],Table2[GameDate], "&lt;=" &amp; $A137, Table2[HomeTeam], AA$1)</f>
        <v>39</v>
      </c>
      <c r="AB137" s="145">
        <f>SUMIFS(Table2[NewPointsAway],Table2[GameDate], "&lt;=" &amp; $A137, Table2[AwayTeam], AB$1)+SUMIFS(Table2[NewPointsHome],Table2[GameDate], "&lt;=" &amp; $A137, Table2[HomeTeam], AB$1)</f>
        <v>35</v>
      </c>
      <c r="AC137" s="145">
        <f>SUMIFS(Table2[NewPointsAway],Table2[GameDate], "&lt;=" &amp; $A137, Table2[AwayTeam], AC$1)+SUMIFS(Table2[NewPointsHome],Table2[GameDate], "&lt;=" &amp; $A137, Table2[HomeTeam], AC$1)</f>
        <v>35</v>
      </c>
      <c r="AD137" s="145">
        <f>SUMIFS(Table2[NewPointsAway],Table2[GameDate], "&lt;=" &amp; $A137, Table2[AwayTeam], AD$1)+SUMIFS(Table2[NewPointsHome],Table2[GameDate], "&lt;=" &amp; $A137, Table2[HomeTeam], AD$1)</f>
        <v>29</v>
      </c>
      <c r="AE137" s="145">
        <f>SUMIFS(Table2[NewPointsAway],Table2[GameDate], "&lt;=" &amp; $A137, Table2[AwayTeam], AE$1)+SUMIFS(Table2[NewPointsHome],Table2[GameDate], "&lt;=" &amp; $A137, Table2[HomeTeam], AE$1)</f>
        <v>41</v>
      </c>
      <c r="AF137" s="145">
        <f>SUMIFS(Table2[NewPointsAway],Table2[GameDate], "&lt;=" &amp; $A137, Table2[AwayTeam], AF$1)+SUMIFS(Table2[NewPointsHome],Table2[GameDate], "&lt;=" &amp; $A137, Table2[HomeTeam], AF$1)</f>
        <v>32</v>
      </c>
      <c r="AG137" s="145">
        <f>SUMIFS(Table2[NewPointsAway],Table2[GameDate], "&lt;=" &amp; $A137, Table2[AwayTeam], AG$1)+SUMIFS(Table2[NewPointsHome],Table2[GameDate], "&lt;=" &amp; $A137, Table2[HomeTeam], AG$1)</f>
        <v>40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42</v>
      </c>
      <c r="C138" s="145">
        <f>SUMIFS(Table2[NewPointsAway],Table2[GameDate], "&lt;=" &amp; $A138, Table2[AwayTeam], C$1)+SUMIFS(Table2[NewPointsHome],Table2[GameDate], "&lt;=" &amp; $A138, Table2[HomeTeam], C$1)</f>
        <v>40</v>
      </c>
      <c r="D138" s="145">
        <f>SUMIFS(Table2[NewPointsAway],Table2[GameDate], "&lt;=" &amp; $A138, Table2[AwayTeam], D$1)+SUMIFS(Table2[NewPointsHome],Table2[GameDate], "&lt;=" &amp; $A138, Table2[HomeTeam], D$1)</f>
        <v>32</v>
      </c>
      <c r="E138" s="145">
        <f>SUMIFS(Table2[NewPointsAway],Table2[GameDate], "&lt;=" &amp; $A138, Table2[AwayTeam], E$1)+SUMIFS(Table2[NewPointsHome],Table2[GameDate], "&lt;=" &amp; $A138, Table2[HomeTeam], E$1)</f>
        <v>44</v>
      </c>
      <c r="F138" s="145">
        <f>SUMIFS(Table2[NewPointsAway],Table2[GameDate], "&lt;=" &amp; $A138, Table2[AwayTeam], F$1)+SUMIFS(Table2[NewPointsHome],Table2[GameDate], "&lt;=" &amp; $A138, Table2[HomeTeam], F$1)</f>
        <v>34</v>
      </c>
      <c r="G138" s="145">
        <f>SUMIFS(Table2[NewPointsAway],Table2[GameDate], "&lt;=" &amp; $A138, Table2[AwayTeam], G$1)+SUMIFS(Table2[NewPointsHome],Table2[GameDate], "&lt;=" &amp; $A138, Table2[HomeTeam], G$1)</f>
        <v>30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55</v>
      </c>
      <c r="J138" s="145">
        <f>SUMIFS(Table2[NewPointsAway],Table2[GameDate], "&lt;=" &amp; $A138, Table2[AwayTeam], J$1)+SUMIFS(Table2[NewPointsHome],Table2[GameDate], "&lt;=" &amp; $A138, Table2[HomeTeam], J$1)</f>
        <v>49</v>
      </c>
      <c r="K138" s="145">
        <f>SUMIFS(Table2[NewPointsAway],Table2[GameDate], "&lt;=" &amp; $A138, Table2[AwayTeam], K$1)+SUMIFS(Table2[NewPointsHome],Table2[GameDate], "&lt;=" &amp; $A138, Table2[HomeTeam], K$1)</f>
        <v>41</v>
      </c>
      <c r="L138" s="145">
        <f>SUMIFS(Table2[NewPointsAway],Table2[GameDate], "&lt;=" &amp; $A138, Table2[AwayTeam], L$1)+SUMIFS(Table2[NewPointsHome],Table2[GameDate], "&lt;=" &amp; $A138, Table2[HomeTeam], L$1)</f>
        <v>38</v>
      </c>
      <c r="M138" s="145">
        <f>SUMIFS(Table2[NewPointsAway],Table2[GameDate], "&lt;=" &amp; $A138, Table2[AwayTeam], M$1)+SUMIFS(Table2[NewPointsHome],Table2[GameDate], "&lt;=" &amp; $A138, Table2[HomeTeam], M$1)</f>
        <v>36</v>
      </c>
      <c r="N138" s="145">
        <f>SUMIFS(Table2[NewPointsAway],Table2[GameDate], "&lt;=" &amp; $A138, Table2[AwayTeam], N$1)+SUMIFS(Table2[NewPointsHome],Table2[GameDate], "&lt;=" &amp; $A138, Table2[HomeTeam], N$1)</f>
        <v>37</v>
      </c>
      <c r="O138" s="145">
        <f>SUMIFS(Table2[NewPointsAway],Table2[GameDate], "&lt;=" &amp; $A138, Table2[AwayTeam], O$1)+SUMIFS(Table2[NewPointsHome],Table2[GameDate], "&lt;=" &amp; $A138, Table2[HomeTeam], O$1)</f>
        <v>45</v>
      </c>
      <c r="P138" s="145">
        <f>SUMIFS(Table2[NewPointsAway],Table2[GameDate], "&lt;=" &amp; $A138, Table2[AwayTeam], P$1)+SUMIFS(Table2[NewPointsHome],Table2[GameDate], "&lt;=" &amp; $A138, Table2[HomeTeam], P$1)</f>
        <v>38</v>
      </c>
      <c r="Q138" s="145">
        <f>SUMIFS(Table2[NewPointsAway],Table2[GameDate], "&lt;=" &amp; $A138, Table2[AwayTeam], Q$1)+SUMIFS(Table2[NewPointsHome],Table2[GameDate], "&lt;=" &amp; $A138, Table2[HomeTeam], Q$1)</f>
        <v>37</v>
      </c>
      <c r="R138" s="145">
        <f>SUMIFS(Table2[NewPointsAway],Table2[GameDate], "&lt;=" &amp; $A138, Table2[AwayTeam], R$1)+SUMIFS(Table2[NewPointsHome],Table2[GameDate], "&lt;=" &amp; $A138, Table2[HomeTeam], R$1)</f>
        <v>30</v>
      </c>
      <c r="S138" s="145">
        <f>SUMIFS(Table2[NewPointsAway],Table2[GameDate], "&lt;=" &amp; $A138, Table2[AwayTeam], S$1)+SUMIFS(Table2[NewPointsHome],Table2[GameDate], "&lt;=" &amp; $A138, Table2[HomeTeam], S$1)</f>
        <v>41</v>
      </c>
      <c r="T138" s="145">
        <f>SUMIFS(Table2[NewPointsAway],Table2[GameDate], "&lt;=" &amp; $A138, Table2[AwayTeam], T$1)+SUMIFS(Table2[NewPointsHome],Table2[GameDate], "&lt;=" &amp; $A138, Table2[HomeTeam], T$1)</f>
        <v>36</v>
      </c>
      <c r="U138" s="145">
        <f>SUMIFS(Table2[NewPointsAway],Table2[GameDate], "&lt;=" &amp; $A138, Table2[AwayTeam], U$1)+SUMIFS(Table2[NewPointsHome],Table2[GameDate], "&lt;=" &amp; $A138, Table2[HomeTeam], U$1)</f>
        <v>34</v>
      </c>
      <c r="V138" s="145">
        <f>SUMIFS(Table2[NewPointsAway],Table2[GameDate], "&lt;=" &amp; $A138, Table2[AwayTeam], V$1)+SUMIFS(Table2[NewPointsHome],Table2[GameDate], "&lt;=" &amp; $A138, Table2[HomeTeam], V$1)</f>
        <v>39</v>
      </c>
      <c r="W138" s="145">
        <f>SUMIFS(Table2[NewPointsAway],Table2[GameDate], "&lt;=" &amp; $A138, Table2[AwayTeam], W$1)+SUMIFS(Table2[NewPointsHome],Table2[GameDate], "&lt;=" &amp; $A138, Table2[HomeTeam], W$1)</f>
        <v>37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37</v>
      </c>
      <c r="Z138" s="145">
        <f>SUMIFS(Table2[NewPointsAway],Table2[GameDate], "&lt;=" &amp; $A138, Table2[AwayTeam], Z$1)+SUMIFS(Table2[NewPointsHome],Table2[GameDate], "&lt;=" &amp; $A138, Table2[HomeTeam], Z$1)</f>
        <v>32</v>
      </c>
      <c r="AA138" s="145">
        <f>SUMIFS(Table2[NewPointsAway],Table2[GameDate], "&lt;=" &amp; $A138, Table2[AwayTeam], AA$1)+SUMIFS(Table2[NewPointsHome],Table2[GameDate], "&lt;=" &amp; $A138, Table2[HomeTeam], AA$1)</f>
        <v>39</v>
      </c>
      <c r="AB138" s="145">
        <f>SUMIFS(Table2[NewPointsAway],Table2[GameDate], "&lt;=" &amp; $A138, Table2[AwayTeam], AB$1)+SUMIFS(Table2[NewPointsHome],Table2[GameDate], "&lt;=" &amp; $A138, Table2[HomeTeam], AB$1)</f>
        <v>35</v>
      </c>
      <c r="AC138" s="145">
        <f>SUMIFS(Table2[NewPointsAway],Table2[GameDate], "&lt;=" &amp; $A138, Table2[AwayTeam], AC$1)+SUMIFS(Table2[NewPointsHome],Table2[GameDate], "&lt;=" &amp; $A138, Table2[HomeTeam], AC$1)</f>
        <v>35</v>
      </c>
      <c r="AD138" s="145">
        <f>SUMIFS(Table2[NewPointsAway],Table2[GameDate], "&lt;=" &amp; $A138, Table2[AwayTeam], AD$1)+SUMIFS(Table2[NewPointsHome],Table2[GameDate], "&lt;=" &amp; $A138, Table2[HomeTeam], AD$1)</f>
        <v>29</v>
      </c>
      <c r="AE138" s="145">
        <f>SUMIFS(Table2[NewPointsAway],Table2[GameDate], "&lt;=" &amp; $A138, Table2[AwayTeam], AE$1)+SUMIFS(Table2[NewPointsHome],Table2[GameDate], "&lt;=" &amp; $A138, Table2[HomeTeam], AE$1)</f>
        <v>41</v>
      </c>
      <c r="AF138" s="145">
        <f>SUMIFS(Table2[NewPointsAway],Table2[GameDate], "&lt;=" &amp; $A138, Table2[AwayTeam], AF$1)+SUMIFS(Table2[NewPointsHome],Table2[GameDate], "&lt;=" &amp; $A138, Table2[HomeTeam], AF$1)</f>
        <v>32</v>
      </c>
      <c r="AG138" s="145">
        <f>SUMIFS(Table2[NewPointsAway],Table2[GameDate], "&lt;=" &amp; $A138, Table2[AwayTeam], AG$1)+SUMIFS(Table2[NewPointsHome],Table2[GameDate], "&lt;=" &amp; $A138, Table2[HomeTeam], AG$1)</f>
        <v>40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42</v>
      </c>
      <c r="C139" s="145">
        <f>SUMIFS(Table2[NewPointsAway],Table2[GameDate], "&lt;=" &amp; $A139, Table2[AwayTeam], C$1)+SUMIFS(Table2[NewPointsHome],Table2[GameDate], "&lt;=" &amp; $A139, Table2[HomeTeam], C$1)</f>
        <v>40</v>
      </c>
      <c r="D139" s="145">
        <f>SUMIFS(Table2[NewPointsAway],Table2[GameDate], "&lt;=" &amp; $A139, Table2[AwayTeam], D$1)+SUMIFS(Table2[NewPointsHome],Table2[GameDate], "&lt;=" &amp; $A139, Table2[HomeTeam], D$1)</f>
        <v>32</v>
      </c>
      <c r="E139" s="145">
        <f>SUMIFS(Table2[NewPointsAway],Table2[GameDate], "&lt;=" &amp; $A139, Table2[AwayTeam], E$1)+SUMIFS(Table2[NewPointsHome],Table2[GameDate], "&lt;=" &amp; $A139, Table2[HomeTeam], E$1)</f>
        <v>44</v>
      </c>
      <c r="F139" s="145">
        <f>SUMIFS(Table2[NewPointsAway],Table2[GameDate], "&lt;=" &amp; $A139, Table2[AwayTeam], F$1)+SUMIFS(Table2[NewPointsHome],Table2[GameDate], "&lt;=" &amp; $A139, Table2[HomeTeam], F$1)</f>
        <v>34</v>
      </c>
      <c r="G139" s="145">
        <f>SUMIFS(Table2[NewPointsAway],Table2[GameDate], "&lt;=" &amp; $A139, Table2[AwayTeam], G$1)+SUMIFS(Table2[NewPointsHome],Table2[GameDate], "&lt;=" &amp; $A139, Table2[HomeTeam], G$1)</f>
        <v>30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55</v>
      </c>
      <c r="J139" s="145">
        <f>SUMIFS(Table2[NewPointsAway],Table2[GameDate], "&lt;=" &amp; $A139, Table2[AwayTeam], J$1)+SUMIFS(Table2[NewPointsHome],Table2[GameDate], "&lt;=" &amp; $A139, Table2[HomeTeam], J$1)</f>
        <v>49</v>
      </c>
      <c r="K139" s="145">
        <f>SUMIFS(Table2[NewPointsAway],Table2[GameDate], "&lt;=" &amp; $A139, Table2[AwayTeam], K$1)+SUMIFS(Table2[NewPointsHome],Table2[GameDate], "&lt;=" &amp; $A139, Table2[HomeTeam], K$1)</f>
        <v>41</v>
      </c>
      <c r="L139" s="145">
        <f>SUMIFS(Table2[NewPointsAway],Table2[GameDate], "&lt;=" &amp; $A139, Table2[AwayTeam], L$1)+SUMIFS(Table2[NewPointsHome],Table2[GameDate], "&lt;=" &amp; $A139, Table2[HomeTeam], L$1)</f>
        <v>38</v>
      </c>
      <c r="M139" s="145">
        <f>SUMIFS(Table2[NewPointsAway],Table2[GameDate], "&lt;=" &amp; $A139, Table2[AwayTeam], M$1)+SUMIFS(Table2[NewPointsHome],Table2[GameDate], "&lt;=" &amp; $A139, Table2[HomeTeam], M$1)</f>
        <v>36</v>
      </c>
      <c r="N139" s="145">
        <f>SUMIFS(Table2[NewPointsAway],Table2[GameDate], "&lt;=" &amp; $A139, Table2[AwayTeam], N$1)+SUMIFS(Table2[NewPointsHome],Table2[GameDate], "&lt;=" &amp; $A139, Table2[HomeTeam], N$1)</f>
        <v>37</v>
      </c>
      <c r="O139" s="145">
        <f>SUMIFS(Table2[NewPointsAway],Table2[GameDate], "&lt;=" &amp; $A139, Table2[AwayTeam], O$1)+SUMIFS(Table2[NewPointsHome],Table2[GameDate], "&lt;=" &amp; $A139, Table2[HomeTeam], O$1)</f>
        <v>45</v>
      </c>
      <c r="P139" s="145">
        <f>SUMIFS(Table2[NewPointsAway],Table2[GameDate], "&lt;=" &amp; $A139, Table2[AwayTeam], P$1)+SUMIFS(Table2[NewPointsHome],Table2[GameDate], "&lt;=" &amp; $A139, Table2[HomeTeam], P$1)</f>
        <v>38</v>
      </c>
      <c r="Q139" s="145">
        <f>SUMIFS(Table2[NewPointsAway],Table2[GameDate], "&lt;=" &amp; $A139, Table2[AwayTeam], Q$1)+SUMIFS(Table2[NewPointsHome],Table2[GameDate], "&lt;=" &amp; $A139, Table2[HomeTeam], Q$1)</f>
        <v>37</v>
      </c>
      <c r="R139" s="145">
        <f>SUMIFS(Table2[NewPointsAway],Table2[GameDate], "&lt;=" &amp; $A139, Table2[AwayTeam], R$1)+SUMIFS(Table2[NewPointsHome],Table2[GameDate], "&lt;=" &amp; $A139, Table2[HomeTeam], R$1)</f>
        <v>30</v>
      </c>
      <c r="S139" s="145">
        <f>SUMIFS(Table2[NewPointsAway],Table2[GameDate], "&lt;=" &amp; $A139, Table2[AwayTeam], S$1)+SUMIFS(Table2[NewPointsHome],Table2[GameDate], "&lt;=" &amp; $A139, Table2[HomeTeam], S$1)</f>
        <v>41</v>
      </c>
      <c r="T139" s="145">
        <f>SUMIFS(Table2[NewPointsAway],Table2[GameDate], "&lt;=" &amp; $A139, Table2[AwayTeam], T$1)+SUMIFS(Table2[NewPointsHome],Table2[GameDate], "&lt;=" &amp; $A139, Table2[HomeTeam], T$1)</f>
        <v>36</v>
      </c>
      <c r="U139" s="145">
        <f>SUMIFS(Table2[NewPointsAway],Table2[GameDate], "&lt;=" &amp; $A139, Table2[AwayTeam], U$1)+SUMIFS(Table2[NewPointsHome],Table2[GameDate], "&lt;=" &amp; $A139, Table2[HomeTeam], U$1)</f>
        <v>34</v>
      </c>
      <c r="V139" s="145">
        <f>SUMIFS(Table2[NewPointsAway],Table2[GameDate], "&lt;=" &amp; $A139, Table2[AwayTeam], V$1)+SUMIFS(Table2[NewPointsHome],Table2[GameDate], "&lt;=" &amp; $A139, Table2[HomeTeam], V$1)</f>
        <v>39</v>
      </c>
      <c r="W139" s="145">
        <f>SUMIFS(Table2[NewPointsAway],Table2[GameDate], "&lt;=" &amp; $A139, Table2[AwayTeam], W$1)+SUMIFS(Table2[NewPointsHome],Table2[GameDate], "&lt;=" &amp; $A139, Table2[HomeTeam], W$1)</f>
        <v>37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37</v>
      </c>
      <c r="Z139" s="145">
        <f>SUMIFS(Table2[NewPointsAway],Table2[GameDate], "&lt;=" &amp; $A139, Table2[AwayTeam], Z$1)+SUMIFS(Table2[NewPointsHome],Table2[GameDate], "&lt;=" &amp; $A139, Table2[HomeTeam], Z$1)</f>
        <v>32</v>
      </c>
      <c r="AA139" s="145">
        <f>SUMIFS(Table2[NewPointsAway],Table2[GameDate], "&lt;=" &amp; $A139, Table2[AwayTeam], AA$1)+SUMIFS(Table2[NewPointsHome],Table2[GameDate], "&lt;=" &amp; $A139, Table2[HomeTeam], AA$1)</f>
        <v>39</v>
      </c>
      <c r="AB139" s="145">
        <f>SUMIFS(Table2[NewPointsAway],Table2[GameDate], "&lt;=" &amp; $A139, Table2[AwayTeam], AB$1)+SUMIFS(Table2[NewPointsHome],Table2[GameDate], "&lt;=" &amp; $A139, Table2[HomeTeam], AB$1)</f>
        <v>35</v>
      </c>
      <c r="AC139" s="145">
        <f>SUMIFS(Table2[NewPointsAway],Table2[GameDate], "&lt;=" &amp; $A139, Table2[AwayTeam], AC$1)+SUMIFS(Table2[NewPointsHome],Table2[GameDate], "&lt;=" &amp; $A139, Table2[HomeTeam], AC$1)</f>
        <v>35</v>
      </c>
      <c r="AD139" s="145">
        <f>SUMIFS(Table2[NewPointsAway],Table2[GameDate], "&lt;=" &amp; $A139, Table2[AwayTeam], AD$1)+SUMIFS(Table2[NewPointsHome],Table2[GameDate], "&lt;=" &amp; $A139, Table2[HomeTeam], AD$1)</f>
        <v>29</v>
      </c>
      <c r="AE139" s="145">
        <f>SUMIFS(Table2[NewPointsAway],Table2[GameDate], "&lt;=" &amp; $A139, Table2[AwayTeam], AE$1)+SUMIFS(Table2[NewPointsHome],Table2[GameDate], "&lt;=" &amp; $A139, Table2[HomeTeam], AE$1)</f>
        <v>41</v>
      </c>
      <c r="AF139" s="145">
        <f>SUMIFS(Table2[NewPointsAway],Table2[GameDate], "&lt;=" &amp; $A139, Table2[AwayTeam], AF$1)+SUMIFS(Table2[NewPointsHome],Table2[GameDate], "&lt;=" &amp; $A139, Table2[HomeTeam], AF$1)</f>
        <v>32</v>
      </c>
      <c r="AG139" s="145">
        <f>SUMIFS(Table2[NewPointsAway],Table2[GameDate], "&lt;=" &amp; $A139, Table2[AwayTeam], AG$1)+SUMIFS(Table2[NewPointsHome],Table2[GameDate], "&lt;=" &amp; $A139, Table2[HomeTeam], AG$1)</f>
        <v>40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42</v>
      </c>
      <c r="C140" s="145">
        <f>SUMIFS(Table2[NewPointsAway],Table2[GameDate], "&lt;=" &amp; $A140, Table2[AwayTeam], C$1)+SUMIFS(Table2[NewPointsHome],Table2[GameDate], "&lt;=" &amp; $A140, Table2[HomeTeam], C$1)</f>
        <v>40</v>
      </c>
      <c r="D140" s="145">
        <f>SUMIFS(Table2[NewPointsAway],Table2[GameDate], "&lt;=" &amp; $A140, Table2[AwayTeam], D$1)+SUMIFS(Table2[NewPointsHome],Table2[GameDate], "&lt;=" &amp; $A140, Table2[HomeTeam], D$1)</f>
        <v>32</v>
      </c>
      <c r="E140" s="145">
        <f>SUMIFS(Table2[NewPointsAway],Table2[GameDate], "&lt;=" &amp; $A140, Table2[AwayTeam], E$1)+SUMIFS(Table2[NewPointsHome],Table2[GameDate], "&lt;=" &amp; $A140, Table2[HomeTeam], E$1)</f>
        <v>44</v>
      </c>
      <c r="F140" s="145">
        <f>SUMIFS(Table2[NewPointsAway],Table2[GameDate], "&lt;=" &amp; $A140, Table2[AwayTeam], F$1)+SUMIFS(Table2[NewPointsHome],Table2[GameDate], "&lt;=" &amp; $A140, Table2[HomeTeam], F$1)</f>
        <v>34</v>
      </c>
      <c r="G140" s="145">
        <f>SUMIFS(Table2[NewPointsAway],Table2[GameDate], "&lt;=" &amp; $A140, Table2[AwayTeam], G$1)+SUMIFS(Table2[NewPointsHome],Table2[GameDate], "&lt;=" &amp; $A140, Table2[HomeTeam], G$1)</f>
        <v>30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55</v>
      </c>
      <c r="J140" s="145">
        <f>SUMIFS(Table2[NewPointsAway],Table2[GameDate], "&lt;=" &amp; $A140, Table2[AwayTeam], J$1)+SUMIFS(Table2[NewPointsHome],Table2[GameDate], "&lt;=" &amp; $A140, Table2[HomeTeam], J$1)</f>
        <v>49</v>
      </c>
      <c r="K140" s="145">
        <f>SUMIFS(Table2[NewPointsAway],Table2[GameDate], "&lt;=" &amp; $A140, Table2[AwayTeam], K$1)+SUMIFS(Table2[NewPointsHome],Table2[GameDate], "&lt;=" &amp; $A140, Table2[HomeTeam], K$1)</f>
        <v>41</v>
      </c>
      <c r="L140" s="145">
        <f>SUMIFS(Table2[NewPointsAway],Table2[GameDate], "&lt;=" &amp; $A140, Table2[AwayTeam], L$1)+SUMIFS(Table2[NewPointsHome],Table2[GameDate], "&lt;=" &amp; $A140, Table2[HomeTeam], L$1)</f>
        <v>38</v>
      </c>
      <c r="M140" s="145">
        <f>SUMIFS(Table2[NewPointsAway],Table2[GameDate], "&lt;=" &amp; $A140, Table2[AwayTeam], M$1)+SUMIFS(Table2[NewPointsHome],Table2[GameDate], "&lt;=" &amp; $A140, Table2[HomeTeam], M$1)</f>
        <v>36</v>
      </c>
      <c r="N140" s="145">
        <f>SUMIFS(Table2[NewPointsAway],Table2[GameDate], "&lt;=" &amp; $A140, Table2[AwayTeam], N$1)+SUMIFS(Table2[NewPointsHome],Table2[GameDate], "&lt;=" &amp; $A140, Table2[HomeTeam], N$1)</f>
        <v>37</v>
      </c>
      <c r="O140" s="145">
        <f>SUMIFS(Table2[NewPointsAway],Table2[GameDate], "&lt;=" &amp; $A140, Table2[AwayTeam], O$1)+SUMIFS(Table2[NewPointsHome],Table2[GameDate], "&lt;=" &amp; $A140, Table2[HomeTeam], O$1)</f>
        <v>45</v>
      </c>
      <c r="P140" s="145">
        <f>SUMIFS(Table2[NewPointsAway],Table2[GameDate], "&lt;=" &amp; $A140, Table2[AwayTeam], P$1)+SUMIFS(Table2[NewPointsHome],Table2[GameDate], "&lt;=" &amp; $A140, Table2[HomeTeam], P$1)</f>
        <v>38</v>
      </c>
      <c r="Q140" s="145">
        <f>SUMIFS(Table2[NewPointsAway],Table2[GameDate], "&lt;=" &amp; $A140, Table2[AwayTeam], Q$1)+SUMIFS(Table2[NewPointsHome],Table2[GameDate], "&lt;=" &amp; $A140, Table2[HomeTeam], Q$1)</f>
        <v>37</v>
      </c>
      <c r="R140" s="145">
        <f>SUMIFS(Table2[NewPointsAway],Table2[GameDate], "&lt;=" &amp; $A140, Table2[AwayTeam], R$1)+SUMIFS(Table2[NewPointsHome],Table2[GameDate], "&lt;=" &amp; $A140, Table2[HomeTeam], R$1)</f>
        <v>30</v>
      </c>
      <c r="S140" s="145">
        <f>SUMIFS(Table2[NewPointsAway],Table2[GameDate], "&lt;=" &amp; $A140, Table2[AwayTeam], S$1)+SUMIFS(Table2[NewPointsHome],Table2[GameDate], "&lt;=" &amp; $A140, Table2[HomeTeam], S$1)</f>
        <v>41</v>
      </c>
      <c r="T140" s="145">
        <f>SUMIFS(Table2[NewPointsAway],Table2[GameDate], "&lt;=" &amp; $A140, Table2[AwayTeam], T$1)+SUMIFS(Table2[NewPointsHome],Table2[GameDate], "&lt;=" &amp; $A140, Table2[HomeTeam], T$1)</f>
        <v>36</v>
      </c>
      <c r="U140" s="145">
        <f>SUMIFS(Table2[NewPointsAway],Table2[GameDate], "&lt;=" &amp; $A140, Table2[AwayTeam], U$1)+SUMIFS(Table2[NewPointsHome],Table2[GameDate], "&lt;=" &amp; $A140, Table2[HomeTeam], U$1)</f>
        <v>34</v>
      </c>
      <c r="V140" s="145">
        <f>SUMIFS(Table2[NewPointsAway],Table2[GameDate], "&lt;=" &amp; $A140, Table2[AwayTeam], V$1)+SUMIFS(Table2[NewPointsHome],Table2[GameDate], "&lt;=" &amp; $A140, Table2[HomeTeam], V$1)</f>
        <v>39</v>
      </c>
      <c r="W140" s="145">
        <f>SUMIFS(Table2[NewPointsAway],Table2[GameDate], "&lt;=" &amp; $A140, Table2[AwayTeam], W$1)+SUMIFS(Table2[NewPointsHome],Table2[GameDate], "&lt;=" &amp; $A140, Table2[HomeTeam], W$1)</f>
        <v>37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37</v>
      </c>
      <c r="Z140" s="145">
        <f>SUMIFS(Table2[NewPointsAway],Table2[GameDate], "&lt;=" &amp; $A140, Table2[AwayTeam], Z$1)+SUMIFS(Table2[NewPointsHome],Table2[GameDate], "&lt;=" &amp; $A140, Table2[HomeTeam], Z$1)</f>
        <v>32</v>
      </c>
      <c r="AA140" s="145">
        <f>SUMIFS(Table2[NewPointsAway],Table2[GameDate], "&lt;=" &amp; $A140, Table2[AwayTeam], AA$1)+SUMIFS(Table2[NewPointsHome],Table2[GameDate], "&lt;=" &amp; $A140, Table2[HomeTeam], AA$1)</f>
        <v>39</v>
      </c>
      <c r="AB140" s="145">
        <f>SUMIFS(Table2[NewPointsAway],Table2[GameDate], "&lt;=" &amp; $A140, Table2[AwayTeam], AB$1)+SUMIFS(Table2[NewPointsHome],Table2[GameDate], "&lt;=" &amp; $A140, Table2[HomeTeam], AB$1)</f>
        <v>35</v>
      </c>
      <c r="AC140" s="145">
        <f>SUMIFS(Table2[NewPointsAway],Table2[GameDate], "&lt;=" &amp; $A140, Table2[AwayTeam], AC$1)+SUMIFS(Table2[NewPointsHome],Table2[GameDate], "&lt;=" &amp; $A140, Table2[HomeTeam], AC$1)</f>
        <v>35</v>
      </c>
      <c r="AD140" s="145">
        <f>SUMIFS(Table2[NewPointsAway],Table2[GameDate], "&lt;=" &amp; $A140, Table2[AwayTeam], AD$1)+SUMIFS(Table2[NewPointsHome],Table2[GameDate], "&lt;=" &amp; $A140, Table2[HomeTeam], AD$1)</f>
        <v>29</v>
      </c>
      <c r="AE140" s="145">
        <f>SUMIFS(Table2[NewPointsAway],Table2[GameDate], "&lt;=" &amp; $A140, Table2[AwayTeam], AE$1)+SUMIFS(Table2[NewPointsHome],Table2[GameDate], "&lt;=" &amp; $A140, Table2[HomeTeam], AE$1)</f>
        <v>41</v>
      </c>
      <c r="AF140" s="145">
        <f>SUMIFS(Table2[NewPointsAway],Table2[GameDate], "&lt;=" &amp; $A140, Table2[AwayTeam], AF$1)+SUMIFS(Table2[NewPointsHome],Table2[GameDate], "&lt;=" &amp; $A140, Table2[HomeTeam], AF$1)</f>
        <v>32</v>
      </c>
      <c r="AG140" s="145">
        <f>SUMIFS(Table2[NewPointsAway],Table2[GameDate], "&lt;=" &amp; $A140, Table2[AwayTeam], AG$1)+SUMIFS(Table2[NewPointsHome],Table2[GameDate], "&lt;=" &amp; $A140, Table2[HomeTeam], AG$1)</f>
        <v>40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42</v>
      </c>
      <c r="C141" s="145">
        <f>SUMIFS(Table2[NewPointsAway],Table2[GameDate], "&lt;=" &amp; $A141, Table2[AwayTeam], C$1)+SUMIFS(Table2[NewPointsHome],Table2[GameDate], "&lt;=" &amp; $A141, Table2[HomeTeam], C$1)</f>
        <v>40</v>
      </c>
      <c r="D141" s="145">
        <f>SUMIFS(Table2[NewPointsAway],Table2[GameDate], "&lt;=" &amp; $A141, Table2[AwayTeam], D$1)+SUMIFS(Table2[NewPointsHome],Table2[GameDate], "&lt;=" &amp; $A141, Table2[HomeTeam], D$1)</f>
        <v>32</v>
      </c>
      <c r="E141" s="145">
        <f>SUMIFS(Table2[NewPointsAway],Table2[GameDate], "&lt;=" &amp; $A141, Table2[AwayTeam], E$1)+SUMIFS(Table2[NewPointsHome],Table2[GameDate], "&lt;=" &amp; $A141, Table2[HomeTeam], E$1)</f>
        <v>44</v>
      </c>
      <c r="F141" s="145">
        <f>SUMIFS(Table2[NewPointsAway],Table2[GameDate], "&lt;=" &amp; $A141, Table2[AwayTeam], F$1)+SUMIFS(Table2[NewPointsHome],Table2[GameDate], "&lt;=" &amp; $A141, Table2[HomeTeam], F$1)</f>
        <v>34</v>
      </c>
      <c r="G141" s="145">
        <f>SUMIFS(Table2[NewPointsAway],Table2[GameDate], "&lt;=" &amp; $A141, Table2[AwayTeam], G$1)+SUMIFS(Table2[NewPointsHome],Table2[GameDate], "&lt;=" &amp; $A141, Table2[HomeTeam], G$1)</f>
        <v>30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55</v>
      </c>
      <c r="J141" s="145">
        <f>SUMIFS(Table2[NewPointsAway],Table2[GameDate], "&lt;=" &amp; $A141, Table2[AwayTeam], J$1)+SUMIFS(Table2[NewPointsHome],Table2[GameDate], "&lt;=" &amp; $A141, Table2[HomeTeam], J$1)</f>
        <v>49</v>
      </c>
      <c r="K141" s="145">
        <f>SUMIFS(Table2[NewPointsAway],Table2[GameDate], "&lt;=" &amp; $A141, Table2[AwayTeam], K$1)+SUMIFS(Table2[NewPointsHome],Table2[GameDate], "&lt;=" &amp; $A141, Table2[HomeTeam], K$1)</f>
        <v>41</v>
      </c>
      <c r="L141" s="145">
        <f>SUMIFS(Table2[NewPointsAway],Table2[GameDate], "&lt;=" &amp; $A141, Table2[AwayTeam], L$1)+SUMIFS(Table2[NewPointsHome],Table2[GameDate], "&lt;=" &amp; $A141, Table2[HomeTeam], L$1)</f>
        <v>38</v>
      </c>
      <c r="M141" s="145">
        <f>SUMIFS(Table2[NewPointsAway],Table2[GameDate], "&lt;=" &amp; $A141, Table2[AwayTeam], M$1)+SUMIFS(Table2[NewPointsHome],Table2[GameDate], "&lt;=" &amp; $A141, Table2[HomeTeam], M$1)</f>
        <v>36</v>
      </c>
      <c r="N141" s="145">
        <f>SUMIFS(Table2[NewPointsAway],Table2[GameDate], "&lt;=" &amp; $A141, Table2[AwayTeam], N$1)+SUMIFS(Table2[NewPointsHome],Table2[GameDate], "&lt;=" &amp; $A141, Table2[HomeTeam], N$1)</f>
        <v>37</v>
      </c>
      <c r="O141" s="145">
        <f>SUMIFS(Table2[NewPointsAway],Table2[GameDate], "&lt;=" &amp; $A141, Table2[AwayTeam], O$1)+SUMIFS(Table2[NewPointsHome],Table2[GameDate], "&lt;=" &amp; $A141, Table2[HomeTeam], O$1)</f>
        <v>45</v>
      </c>
      <c r="P141" s="145">
        <f>SUMIFS(Table2[NewPointsAway],Table2[GameDate], "&lt;=" &amp; $A141, Table2[AwayTeam], P$1)+SUMIFS(Table2[NewPointsHome],Table2[GameDate], "&lt;=" &amp; $A141, Table2[HomeTeam], P$1)</f>
        <v>38</v>
      </c>
      <c r="Q141" s="145">
        <f>SUMIFS(Table2[NewPointsAway],Table2[GameDate], "&lt;=" &amp; $A141, Table2[AwayTeam], Q$1)+SUMIFS(Table2[NewPointsHome],Table2[GameDate], "&lt;=" &amp; $A141, Table2[HomeTeam], Q$1)</f>
        <v>37</v>
      </c>
      <c r="R141" s="145">
        <f>SUMIFS(Table2[NewPointsAway],Table2[GameDate], "&lt;=" &amp; $A141, Table2[AwayTeam], R$1)+SUMIFS(Table2[NewPointsHome],Table2[GameDate], "&lt;=" &amp; $A141, Table2[HomeTeam], R$1)</f>
        <v>30</v>
      </c>
      <c r="S141" s="145">
        <f>SUMIFS(Table2[NewPointsAway],Table2[GameDate], "&lt;=" &amp; $A141, Table2[AwayTeam], S$1)+SUMIFS(Table2[NewPointsHome],Table2[GameDate], "&lt;=" &amp; $A141, Table2[HomeTeam], S$1)</f>
        <v>41</v>
      </c>
      <c r="T141" s="145">
        <f>SUMIFS(Table2[NewPointsAway],Table2[GameDate], "&lt;=" &amp; $A141, Table2[AwayTeam], T$1)+SUMIFS(Table2[NewPointsHome],Table2[GameDate], "&lt;=" &amp; $A141, Table2[HomeTeam], T$1)</f>
        <v>36</v>
      </c>
      <c r="U141" s="145">
        <f>SUMIFS(Table2[NewPointsAway],Table2[GameDate], "&lt;=" &amp; $A141, Table2[AwayTeam], U$1)+SUMIFS(Table2[NewPointsHome],Table2[GameDate], "&lt;=" &amp; $A141, Table2[HomeTeam], U$1)</f>
        <v>34</v>
      </c>
      <c r="V141" s="145">
        <f>SUMIFS(Table2[NewPointsAway],Table2[GameDate], "&lt;=" &amp; $A141, Table2[AwayTeam], V$1)+SUMIFS(Table2[NewPointsHome],Table2[GameDate], "&lt;=" &amp; $A141, Table2[HomeTeam], V$1)</f>
        <v>39</v>
      </c>
      <c r="W141" s="145">
        <f>SUMIFS(Table2[NewPointsAway],Table2[GameDate], "&lt;=" &amp; $A141, Table2[AwayTeam], W$1)+SUMIFS(Table2[NewPointsHome],Table2[GameDate], "&lt;=" &amp; $A141, Table2[HomeTeam], W$1)</f>
        <v>37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37</v>
      </c>
      <c r="Z141" s="145">
        <f>SUMIFS(Table2[NewPointsAway],Table2[GameDate], "&lt;=" &amp; $A141, Table2[AwayTeam], Z$1)+SUMIFS(Table2[NewPointsHome],Table2[GameDate], "&lt;=" &amp; $A141, Table2[HomeTeam], Z$1)</f>
        <v>32</v>
      </c>
      <c r="AA141" s="145">
        <f>SUMIFS(Table2[NewPointsAway],Table2[GameDate], "&lt;=" &amp; $A141, Table2[AwayTeam], AA$1)+SUMIFS(Table2[NewPointsHome],Table2[GameDate], "&lt;=" &amp; $A141, Table2[HomeTeam], AA$1)</f>
        <v>39</v>
      </c>
      <c r="AB141" s="145">
        <f>SUMIFS(Table2[NewPointsAway],Table2[GameDate], "&lt;=" &amp; $A141, Table2[AwayTeam], AB$1)+SUMIFS(Table2[NewPointsHome],Table2[GameDate], "&lt;=" &amp; $A141, Table2[HomeTeam], AB$1)</f>
        <v>35</v>
      </c>
      <c r="AC141" s="145">
        <f>SUMIFS(Table2[NewPointsAway],Table2[GameDate], "&lt;=" &amp; $A141, Table2[AwayTeam], AC$1)+SUMIFS(Table2[NewPointsHome],Table2[GameDate], "&lt;=" &amp; $A141, Table2[HomeTeam], AC$1)</f>
        <v>35</v>
      </c>
      <c r="AD141" s="145">
        <f>SUMIFS(Table2[NewPointsAway],Table2[GameDate], "&lt;=" &amp; $A141, Table2[AwayTeam], AD$1)+SUMIFS(Table2[NewPointsHome],Table2[GameDate], "&lt;=" &amp; $A141, Table2[HomeTeam], AD$1)</f>
        <v>29</v>
      </c>
      <c r="AE141" s="145">
        <f>SUMIFS(Table2[NewPointsAway],Table2[GameDate], "&lt;=" &amp; $A141, Table2[AwayTeam], AE$1)+SUMIFS(Table2[NewPointsHome],Table2[GameDate], "&lt;=" &amp; $A141, Table2[HomeTeam], AE$1)</f>
        <v>41</v>
      </c>
      <c r="AF141" s="145">
        <f>SUMIFS(Table2[NewPointsAway],Table2[GameDate], "&lt;=" &amp; $A141, Table2[AwayTeam], AF$1)+SUMIFS(Table2[NewPointsHome],Table2[GameDate], "&lt;=" &amp; $A141, Table2[HomeTeam], AF$1)</f>
        <v>32</v>
      </c>
      <c r="AG141" s="145">
        <f>SUMIFS(Table2[NewPointsAway],Table2[GameDate], "&lt;=" &amp; $A141, Table2[AwayTeam], AG$1)+SUMIFS(Table2[NewPointsHome],Table2[GameDate], "&lt;=" &amp; $A141, Table2[HomeTeam], AG$1)</f>
        <v>40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42</v>
      </c>
      <c r="C142" s="145">
        <f>SUMIFS(Table2[NewPointsAway],Table2[GameDate], "&lt;=" &amp; $A142, Table2[AwayTeam], C$1)+SUMIFS(Table2[NewPointsHome],Table2[GameDate], "&lt;=" &amp; $A142, Table2[HomeTeam], C$1)</f>
        <v>40</v>
      </c>
      <c r="D142" s="145">
        <f>SUMIFS(Table2[NewPointsAway],Table2[GameDate], "&lt;=" &amp; $A142, Table2[AwayTeam], D$1)+SUMIFS(Table2[NewPointsHome],Table2[GameDate], "&lt;=" &amp; $A142, Table2[HomeTeam], D$1)</f>
        <v>32</v>
      </c>
      <c r="E142" s="145">
        <f>SUMIFS(Table2[NewPointsAway],Table2[GameDate], "&lt;=" &amp; $A142, Table2[AwayTeam], E$1)+SUMIFS(Table2[NewPointsHome],Table2[GameDate], "&lt;=" &amp; $A142, Table2[HomeTeam], E$1)</f>
        <v>44</v>
      </c>
      <c r="F142" s="145">
        <f>SUMIFS(Table2[NewPointsAway],Table2[GameDate], "&lt;=" &amp; $A142, Table2[AwayTeam], F$1)+SUMIFS(Table2[NewPointsHome],Table2[GameDate], "&lt;=" &amp; $A142, Table2[HomeTeam], F$1)</f>
        <v>34</v>
      </c>
      <c r="G142" s="145">
        <f>SUMIFS(Table2[NewPointsAway],Table2[GameDate], "&lt;=" &amp; $A142, Table2[AwayTeam], G$1)+SUMIFS(Table2[NewPointsHome],Table2[GameDate], "&lt;=" &amp; $A142, Table2[HomeTeam], G$1)</f>
        <v>30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55</v>
      </c>
      <c r="J142" s="145">
        <f>SUMIFS(Table2[NewPointsAway],Table2[GameDate], "&lt;=" &amp; $A142, Table2[AwayTeam], J$1)+SUMIFS(Table2[NewPointsHome],Table2[GameDate], "&lt;=" &amp; $A142, Table2[HomeTeam], J$1)</f>
        <v>49</v>
      </c>
      <c r="K142" s="145">
        <f>SUMIFS(Table2[NewPointsAway],Table2[GameDate], "&lt;=" &amp; $A142, Table2[AwayTeam], K$1)+SUMIFS(Table2[NewPointsHome],Table2[GameDate], "&lt;=" &amp; $A142, Table2[HomeTeam], K$1)</f>
        <v>41</v>
      </c>
      <c r="L142" s="145">
        <f>SUMIFS(Table2[NewPointsAway],Table2[GameDate], "&lt;=" &amp; $A142, Table2[AwayTeam], L$1)+SUMIFS(Table2[NewPointsHome],Table2[GameDate], "&lt;=" &amp; $A142, Table2[HomeTeam], L$1)</f>
        <v>38</v>
      </c>
      <c r="M142" s="145">
        <f>SUMIFS(Table2[NewPointsAway],Table2[GameDate], "&lt;=" &amp; $A142, Table2[AwayTeam], M$1)+SUMIFS(Table2[NewPointsHome],Table2[GameDate], "&lt;=" &amp; $A142, Table2[HomeTeam], M$1)</f>
        <v>36</v>
      </c>
      <c r="N142" s="145">
        <f>SUMIFS(Table2[NewPointsAway],Table2[GameDate], "&lt;=" &amp; $A142, Table2[AwayTeam], N$1)+SUMIFS(Table2[NewPointsHome],Table2[GameDate], "&lt;=" &amp; $A142, Table2[HomeTeam], N$1)</f>
        <v>37</v>
      </c>
      <c r="O142" s="145">
        <f>SUMIFS(Table2[NewPointsAway],Table2[GameDate], "&lt;=" &amp; $A142, Table2[AwayTeam], O$1)+SUMIFS(Table2[NewPointsHome],Table2[GameDate], "&lt;=" &amp; $A142, Table2[HomeTeam], O$1)</f>
        <v>45</v>
      </c>
      <c r="P142" s="145">
        <f>SUMIFS(Table2[NewPointsAway],Table2[GameDate], "&lt;=" &amp; $A142, Table2[AwayTeam], P$1)+SUMIFS(Table2[NewPointsHome],Table2[GameDate], "&lt;=" &amp; $A142, Table2[HomeTeam], P$1)</f>
        <v>38</v>
      </c>
      <c r="Q142" s="145">
        <f>SUMIFS(Table2[NewPointsAway],Table2[GameDate], "&lt;=" &amp; $A142, Table2[AwayTeam], Q$1)+SUMIFS(Table2[NewPointsHome],Table2[GameDate], "&lt;=" &amp; $A142, Table2[HomeTeam], Q$1)</f>
        <v>37</v>
      </c>
      <c r="R142" s="145">
        <f>SUMIFS(Table2[NewPointsAway],Table2[GameDate], "&lt;=" &amp; $A142, Table2[AwayTeam], R$1)+SUMIFS(Table2[NewPointsHome],Table2[GameDate], "&lt;=" &amp; $A142, Table2[HomeTeam], R$1)</f>
        <v>30</v>
      </c>
      <c r="S142" s="145">
        <f>SUMIFS(Table2[NewPointsAway],Table2[GameDate], "&lt;=" &amp; $A142, Table2[AwayTeam], S$1)+SUMIFS(Table2[NewPointsHome],Table2[GameDate], "&lt;=" &amp; $A142, Table2[HomeTeam], S$1)</f>
        <v>41</v>
      </c>
      <c r="T142" s="145">
        <f>SUMIFS(Table2[NewPointsAway],Table2[GameDate], "&lt;=" &amp; $A142, Table2[AwayTeam], T$1)+SUMIFS(Table2[NewPointsHome],Table2[GameDate], "&lt;=" &amp; $A142, Table2[HomeTeam], T$1)</f>
        <v>36</v>
      </c>
      <c r="U142" s="145">
        <f>SUMIFS(Table2[NewPointsAway],Table2[GameDate], "&lt;=" &amp; $A142, Table2[AwayTeam], U$1)+SUMIFS(Table2[NewPointsHome],Table2[GameDate], "&lt;=" &amp; $A142, Table2[HomeTeam], U$1)</f>
        <v>34</v>
      </c>
      <c r="V142" s="145">
        <f>SUMIFS(Table2[NewPointsAway],Table2[GameDate], "&lt;=" &amp; $A142, Table2[AwayTeam], V$1)+SUMIFS(Table2[NewPointsHome],Table2[GameDate], "&lt;=" &amp; $A142, Table2[HomeTeam], V$1)</f>
        <v>39</v>
      </c>
      <c r="W142" s="145">
        <f>SUMIFS(Table2[NewPointsAway],Table2[GameDate], "&lt;=" &amp; $A142, Table2[AwayTeam], W$1)+SUMIFS(Table2[NewPointsHome],Table2[GameDate], "&lt;=" &amp; $A142, Table2[HomeTeam], W$1)</f>
        <v>37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37</v>
      </c>
      <c r="Z142" s="145">
        <f>SUMIFS(Table2[NewPointsAway],Table2[GameDate], "&lt;=" &amp; $A142, Table2[AwayTeam], Z$1)+SUMIFS(Table2[NewPointsHome],Table2[GameDate], "&lt;=" &amp; $A142, Table2[HomeTeam], Z$1)</f>
        <v>32</v>
      </c>
      <c r="AA142" s="145">
        <f>SUMIFS(Table2[NewPointsAway],Table2[GameDate], "&lt;=" &amp; $A142, Table2[AwayTeam], AA$1)+SUMIFS(Table2[NewPointsHome],Table2[GameDate], "&lt;=" &amp; $A142, Table2[HomeTeam], AA$1)</f>
        <v>39</v>
      </c>
      <c r="AB142" s="145">
        <f>SUMIFS(Table2[NewPointsAway],Table2[GameDate], "&lt;=" &amp; $A142, Table2[AwayTeam], AB$1)+SUMIFS(Table2[NewPointsHome],Table2[GameDate], "&lt;=" &amp; $A142, Table2[HomeTeam], AB$1)</f>
        <v>35</v>
      </c>
      <c r="AC142" s="145">
        <f>SUMIFS(Table2[NewPointsAway],Table2[GameDate], "&lt;=" &amp; $A142, Table2[AwayTeam], AC$1)+SUMIFS(Table2[NewPointsHome],Table2[GameDate], "&lt;=" &amp; $A142, Table2[HomeTeam], AC$1)</f>
        <v>35</v>
      </c>
      <c r="AD142" s="145">
        <f>SUMIFS(Table2[NewPointsAway],Table2[GameDate], "&lt;=" &amp; $A142, Table2[AwayTeam], AD$1)+SUMIFS(Table2[NewPointsHome],Table2[GameDate], "&lt;=" &amp; $A142, Table2[HomeTeam], AD$1)</f>
        <v>29</v>
      </c>
      <c r="AE142" s="145">
        <f>SUMIFS(Table2[NewPointsAway],Table2[GameDate], "&lt;=" &amp; $A142, Table2[AwayTeam], AE$1)+SUMIFS(Table2[NewPointsHome],Table2[GameDate], "&lt;=" &amp; $A142, Table2[HomeTeam], AE$1)</f>
        <v>41</v>
      </c>
      <c r="AF142" s="145">
        <f>SUMIFS(Table2[NewPointsAway],Table2[GameDate], "&lt;=" &amp; $A142, Table2[AwayTeam], AF$1)+SUMIFS(Table2[NewPointsHome],Table2[GameDate], "&lt;=" &amp; $A142, Table2[HomeTeam], AF$1)</f>
        <v>32</v>
      </c>
      <c r="AG142" s="145">
        <f>SUMIFS(Table2[NewPointsAway],Table2[GameDate], "&lt;=" &amp; $A142, Table2[AwayTeam], AG$1)+SUMIFS(Table2[NewPointsHome],Table2[GameDate], "&lt;=" &amp; $A142, Table2[HomeTeam], AG$1)</f>
        <v>40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42</v>
      </c>
      <c r="C143" s="145">
        <f>SUMIFS(Table2[NewPointsAway],Table2[GameDate], "&lt;=" &amp; $A143, Table2[AwayTeam], C$1)+SUMIFS(Table2[NewPointsHome],Table2[GameDate], "&lt;=" &amp; $A143, Table2[HomeTeam], C$1)</f>
        <v>40</v>
      </c>
      <c r="D143" s="145">
        <f>SUMIFS(Table2[NewPointsAway],Table2[GameDate], "&lt;=" &amp; $A143, Table2[AwayTeam], D$1)+SUMIFS(Table2[NewPointsHome],Table2[GameDate], "&lt;=" &amp; $A143, Table2[HomeTeam], D$1)</f>
        <v>32</v>
      </c>
      <c r="E143" s="145">
        <f>SUMIFS(Table2[NewPointsAway],Table2[GameDate], "&lt;=" &amp; $A143, Table2[AwayTeam], E$1)+SUMIFS(Table2[NewPointsHome],Table2[GameDate], "&lt;=" &amp; $A143, Table2[HomeTeam], E$1)</f>
        <v>44</v>
      </c>
      <c r="F143" s="145">
        <f>SUMIFS(Table2[NewPointsAway],Table2[GameDate], "&lt;=" &amp; $A143, Table2[AwayTeam], F$1)+SUMIFS(Table2[NewPointsHome],Table2[GameDate], "&lt;=" &amp; $A143, Table2[HomeTeam], F$1)</f>
        <v>34</v>
      </c>
      <c r="G143" s="145">
        <f>SUMIFS(Table2[NewPointsAway],Table2[GameDate], "&lt;=" &amp; $A143, Table2[AwayTeam], G$1)+SUMIFS(Table2[NewPointsHome],Table2[GameDate], "&lt;=" &amp; $A143, Table2[HomeTeam], G$1)</f>
        <v>30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55</v>
      </c>
      <c r="J143" s="145">
        <f>SUMIFS(Table2[NewPointsAway],Table2[GameDate], "&lt;=" &amp; $A143, Table2[AwayTeam], J$1)+SUMIFS(Table2[NewPointsHome],Table2[GameDate], "&lt;=" &amp; $A143, Table2[HomeTeam], J$1)</f>
        <v>49</v>
      </c>
      <c r="K143" s="145">
        <f>SUMIFS(Table2[NewPointsAway],Table2[GameDate], "&lt;=" &amp; $A143, Table2[AwayTeam], K$1)+SUMIFS(Table2[NewPointsHome],Table2[GameDate], "&lt;=" &amp; $A143, Table2[HomeTeam], K$1)</f>
        <v>41</v>
      </c>
      <c r="L143" s="145">
        <f>SUMIFS(Table2[NewPointsAway],Table2[GameDate], "&lt;=" &amp; $A143, Table2[AwayTeam], L$1)+SUMIFS(Table2[NewPointsHome],Table2[GameDate], "&lt;=" &amp; $A143, Table2[HomeTeam], L$1)</f>
        <v>38</v>
      </c>
      <c r="M143" s="145">
        <f>SUMIFS(Table2[NewPointsAway],Table2[GameDate], "&lt;=" &amp; $A143, Table2[AwayTeam], M$1)+SUMIFS(Table2[NewPointsHome],Table2[GameDate], "&lt;=" &amp; $A143, Table2[HomeTeam], M$1)</f>
        <v>36</v>
      </c>
      <c r="N143" s="145">
        <f>SUMIFS(Table2[NewPointsAway],Table2[GameDate], "&lt;=" &amp; $A143, Table2[AwayTeam], N$1)+SUMIFS(Table2[NewPointsHome],Table2[GameDate], "&lt;=" &amp; $A143, Table2[HomeTeam], N$1)</f>
        <v>37</v>
      </c>
      <c r="O143" s="145">
        <f>SUMIFS(Table2[NewPointsAway],Table2[GameDate], "&lt;=" &amp; $A143, Table2[AwayTeam], O$1)+SUMIFS(Table2[NewPointsHome],Table2[GameDate], "&lt;=" &amp; $A143, Table2[HomeTeam], O$1)</f>
        <v>45</v>
      </c>
      <c r="P143" s="145">
        <f>SUMIFS(Table2[NewPointsAway],Table2[GameDate], "&lt;=" &amp; $A143, Table2[AwayTeam], P$1)+SUMIFS(Table2[NewPointsHome],Table2[GameDate], "&lt;=" &amp; $A143, Table2[HomeTeam], P$1)</f>
        <v>38</v>
      </c>
      <c r="Q143" s="145">
        <f>SUMIFS(Table2[NewPointsAway],Table2[GameDate], "&lt;=" &amp; $A143, Table2[AwayTeam], Q$1)+SUMIFS(Table2[NewPointsHome],Table2[GameDate], "&lt;=" &amp; $A143, Table2[HomeTeam], Q$1)</f>
        <v>37</v>
      </c>
      <c r="R143" s="145">
        <f>SUMIFS(Table2[NewPointsAway],Table2[GameDate], "&lt;=" &amp; $A143, Table2[AwayTeam], R$1)+SUMIFS(Table2[NewPointsHome],Table2[GameDate], "&lt;=" &amp; $A143, Table2[HomeTeam], R$1)</f>
        <v>30</v>
      </c>
      <c r="S143" s="145">
        <f>SUMIFS(Table2[NewPointsAway],Table2[GameDate], "&lt;=" &amp; $A143, Table2[AwayTeam], S$1)+SUMIFS(Table2[NewPointsHome],Table2[GameDate], "&lt;=" &amp; $A143, Table2[HomeTeam], S$1)</f>
        <v>41</v>
      </c>
      <c r="T143" s="145">
        <f>SUMIFS(Table2[NewPointsAway],Table2[GameDate], "&lt;=" &amp; $A143, Table2[AwayTeam], T$1)+SUMIFS(Table2[NewPointsHome],Table2[GameDate], "&lt;=" &amp; $A143, Table2[HomeTeam], T$1)</f>
        <v>36</v>
      </c>
      <c r="U143" s="145">
        <f>SUMIFS(Table2[NewPointsAway],Table2[GameDate], "&lt;=" &amp; $A143, Table2[AwayTeam], U$1)+SUMIFS(Table2[NewPointsHome],Table2[GameDate], "&lt;=" &amp; $A143, Table2[HomeTeam], U$1)</f>
        <v>34</v>
      </c>
      <c r="V143" s="145">
        <f>SUMIFS(Table2[NewPointsAway],Table2[GameDate], "&lt;=" &amp; $A143, Table2[AwayTeam], V$1)+SUMIFS(Table2[NewPointsHome],Table2[GameDate], "&lt;=" &amp; $A143, Table2[HomeTeam], V$1)</f>
        <v>39</v>
      </c>
      <c r="W143" s="145">
        <f>SUMIFS(Table2[NewPointsAway],Table2[GameDate], "&lt;=" &amp; $A143, Table2[AwayTeam], W$1)+SUMIFS(Table2[NewPointsHome],Table2[GameDate], "&lt;=" &amp; $A143, Table2[HomeTeam], W$1)</f>
        <v>37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37</v>
      </c>
      <c r="Z143" s="145">
        <f>SUMIFS(Table2[NewPointsAway],Table2[GameDate], "&lt;=" &amp; $A143, Table2[AwayTeam], Z$1)+SUMIFS(Table2[NewPointsHome],Table2[GameDate], "&lt;=" &amp; $A143, Table2[HomeTeam], Z$1)</f>
        <v>32</v>
      </c>
      <c r="AA143" s="145">
        <f>SUMIFS(Table2[NewPointsAway],Table2[GameDate], "&lt;=" &amp; $A143, Table2[AwayTeam], AA$1)+SUMIFS(Table2[NewPointsHome],Table2[GameDate], "&lt;=" &amp; $A143, Table2[HomeTeam], AA$1)</f>
        <v>39</v>
      </c>
      <c r="AB143" s="145">
        <f>SUMIFS(Table2[NewPointsAway],Table2[GameDate], "&lt;=" &amp; $A143, Table2[AwayTeam], AB$1)+SUMIFS(Table2[NewPointsHome],Table2[GameDate], "&lt;=" &amp; $A143, Table2[HomeTeam], AB$1)</f>
        <v>35</v>
      </c>
      <c r="AC143" s="145">
        <f>SUMIFS(Table2[NewPointsAway],Table2[GameDate], "&lt;=" &amp; $A143, Table2[AwayTeam], AC$1)+SUMIFS(Table2[NewPointsHome],Table2[GameDate], "&lt;=" &amp; $A143, Table2[HomeTeam], AC$1)</f>
        <v>35</v>
      </c>
      <c r="AD143" s="145">
        <f>SUMIFS(Table2[NewPointsAway],Table2[GameDate], "&lt;=" &amp; $A143, Table2[AwayTeam], AD$1)+SUMIFS(Table2[NewPointsHome],Table2[GameDate], "&lt;=" &amp; $A143, Table2[HomeTeam], AD$1)</f>
        <v>29</v>
      </c>
      <c r="AE143" s="145">
        <f>SUMIFS(Table2[NewPointsAway],Table2[GameDate], "&lt;=" &amp; $A143, Table2[AwayTeam], AE$1)+SUMIFS(Table2[NewPointsHome],Table2[GameDate], "&lt;=" &amp; $A143, Table2[HomeTeam], AE$1)</f>
        <v>41</v>
      </c>
      <c r="AF143" s="145">
        <f>SUMIFS(Table2[NewPointsAway],Table2[GameDate], "&lt;=" &amp; $A143, Table2[AwayTeam], AF$1)+SUMIFS(Table2[NewPointsHome],Table2[GameDate], "&lt;=" &amp; $A143, Table2[HomeTeam], AF$1)</f>
        <v>32</v>
      </c>
      <c r="AG143" s="145">
        <f>SUMIFS(Table2[NewPointsAway],Table2[GameDate], "&lt;=" &amp; $A143, Table2[AwayTeam], AG$1)+SUMIFS(Table2[NewPointsHome],Table2[GameDate], "&lt;=" &amp; $A143, Table2[HomeTeam], AG$1)</f>
        <v>40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42</v>
      </c>
      <c r="C144" s="145">
        <f>SUMIFS(Table2[NewPointsAway],Table2[GameDate], "&lt;=" &amp; $A144, Table2[AwayTeam], C$1)+SUMIFS(Table2[NewPointsHome],Table2[GameDate], "&lt;=" &amp; $A144, Table2[HomeTeam], C$1)</f>
        <v>40</v>
      </c>
      <c r="D144" s="145">
        <f>SUMIFS(Table2[NewPointsAway],Table2[GameDate], "&lt;=" &amp; $A144, Table2[AwayTeam], D$1)+SUMIFS(Table2[NewPointsHome],Table2[GameDate], "&lt;=" &amp; $A144, Table2[HomeTeam], D$1)</f>
        <v>32</v>
      </c>
      <c r="E144" s="145">
        <f>SUMIFS(Table2[NewPointsAway],Table2[GameDate], "&lt;=" &amp; $A144, Table2[AwayTeam], E$1)+SUMIFS(Table2[NewPointsHome],Table2[GameDate], "&lt;=" &amp; $A144, Table2[HomeTeam], E$1)</f>
        <v>44</v>
      </c>
      <c r="F144" s="145">
        <f>SUMIFS(Table2[NewPointsAway],Table2[GameDate], "&lt;=" &amp; $A144, Table2[AwayTeam], F$1)+SUMIFS(Table2[NewPointsHome],Table2[GameDate], "&lt;=" &amp; $A144, Table2[HomeTeam], F$1)</f>
        <v>34</v>
      </c>
      <c r="G144" s="145">
        <f>SUMIFS(Table2[NewPointsAway],Table2[GameDate], "&lt;=" &amp; $A144, Table2[AwayTeam], G$1)+SUMIFS(Table2[NewPointsHome],Table2[GameDate], "&lt;=" &amp; $A144, Table2[HomeTeam], G$1)</f>
        <v>30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55</v>
      </c>
      <c r="J144" s="145">
        <f>SUMIFS(Table2[NewPointsAway],Table2[GameDate], "&lt;=" &amp; $A144, Table2[AwayTeam], J$1)+SUMIFS(Table2[NewPointsHome],Table2[GameDate], "&lt;=" &amp; $A144, Table2[HomeTeam], J$1)</f>
        <v>49</v>
      </c>
      <c r="K144" s="145">
        <f>SUMIFS(Table2[NewPointsAway],Table2[GameDate], "&lt;=" &amp; $A144, Table2[AwayTeam], K$1)+SUMIFS(Table2[NewPointsHome],Table2[GameDate], "&lt;=" &amp; $A144, Table2[HomeTeam], K$1)</f>
        <v>41</v>
      </c>
      <c r="L144" s="145">
        <f>SUMIFS(Table2[NewPointsAway],Table2[GameDate], "&lt;=" &amp; $A144, Table2[AwayTeam], L$1)+SUMIFS(Table2[NewPointsHome],Table2[GameDate], "&lt;=" &amp; $A144, Table2[HomeTeam], L$1)</f>
        <v>38</v>
      </c>
      <c r="M144" s="145">
        <f>SUMIFS(Table2[NewPointsAway],Table2[GameDate], "&lt;=" &amp; $A144, Table2[AwayTeam], M$1)+SUMIFS(Table2[NewPointsHome],Table2[GameDate], "&lt;=" &amp; $A144, Table2[HomeTeam], M$1)</f>
        <v>36</v>
      </c>
      <c r="N144" s="145">
        <f>SUMIFS(Table2[NewPointsAway],Table2[GameDate], "&lt;=" &amp; $A144, Table2[AwayTeam], N$1)+SUMIFS(Table2[NewPointsHome],Table2[GameDate], "&lt;=" &amp; $A144, Table2[HomeTeam], N$1)</f>
        <v>37</v>
      </c>
      <c r="O144" s="145">
        <f>SUMIFS(Table2[NewPointsAway],Table2[GameDate], "&lt;=" &amp; $A144, Table2[AwayTeam], O$1)+SUMIFS(Table2[NewPointsHome],Table2[GameDate], "&lt;=" &amp; $A144, Table2[HomeTeam], O$1)</f>
        <v>45</v>
      </c>
      <c r="P144" s="145">
        <f>SUMIFS(Table2[NewPointsAway],Table2[GameDate], "&lt;=" &amp; $A144, Table2[AwayTeam], P$1)+SUMIFS(Table2[NewPointsHome],Table2[GameDate], "&lt;=" &amp; $A144, Table2[HomeTeam], P$1)</f>
        <v>38</v>
      </c>
      <c r="Q144" s="145">
        <f>SUMIFS(Table2[NewPointsAway],Table2[GameDate], "&lt;=" &amp; $A144, Table2[AwayTeam], Q$1)+SUMIFS(Table2[NewPointsHome],Table2[GameDate], "&lt;=" &amp; $A144, Table2[HomeTeam], Q$1)</f>
        <v>37</v>
      </c>
      <c r="R144" s="145">
        <f>SUMIFS(Table2[NewPointsAway],Table2[GameDate], "&lt;=" &amp; $A144, Table2[AwayTeam], R$1)+SUMIFS(Table2[NewPointsHome],Table2[GameDate], "&lt;=" &amp; $A144, Table2[HomeTeam], R$1)</f>
        <v>30</v>
      </c>
      <c r="S144" s="145">
        <f>SUMIFS(Table2[NewPointsAway],Table2[GameDate], "&lt;=" &amp; $A144, Table2[AwayTeam], S$1)+SUMIFS(Table2[NewPointsHome],Table2[GameDate], "&lt;=" &amp; $A144, Table2[HomeTeam], S$1)</f>
        <v>41</v>
      </c>
      <c r="T144" s="145">
        <f>SUMIFS(Table2[NewPointsAway],Table2[GameDate], "&lt;=" &amp; $A144, Table2[AwayTeam], T$1)+SUMIFS(Table2[NewPointsHome],Table2[GameDate], "&lt;=" &amp; $A144, Table2[HomeTeam], T$1)</f>
        <v>36</v>
      </c>
      <c r="U144" s="145">
        <f>SUMIFS(Table2[NewPointsAway],Table2[GameDate], "&lt;=" &amp; $A144, Table2[AwayTeam], U$1)+SUMIFS(Table2[NewPointsHome],Table2[GameDate], "&lt;=" &amp; $A144, Table2[HomeTeam], U$1)</f>
        <v>34</v>
      </c>
      <c r="V144" s="145">
        <f>SUMIFS(Table2[NewPointsAway],Table2[GameDate], "&lt;=" &amp; $A144, Table2[AwayTeam], V$1)+SUMIFS(Table2[NewPointsHome],Table2[GameDate], "&lt;=" &amp; $A144, Table2[HomeTeam], V$1)</f>
        <v>39</v>
      </c>
      <c r="W144" s="145">
        <f>SUMIFS(Table2[NewPointsAway],Table2[GameDate], "&lt;=" &amp; $A144, Table2[AwayTeam], W$1)+SUMIFS(Table2[NewPointsHome],Table2[GameDate], "&lt;=" &amp; $A144, Table2[HomeTeam], W$1)</f>
        <v>37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37</v>
      </c>
      <c r="Z144" s="145">
        <f>SUMIFS(Table2[NewPointsAway],Table2[GameDate], "&lt;=" &amp; $A144, Table2[AwayTeam], Z$1)+SUMIFS(Table2[NewPointsHome],Table2[GameDate], "&lt;=" &amp; $A144, Table2[HomeTeam], Z$1)</f>
        <v>32</v>
      </c>
      <c r="AA144" s="145">
        <f>SUMIFS(Table2[NewPointsAway],Table2[GameDate], "&lt;=" &amp; $A144, Table2[AwayTeam], AA$1)+SUMIFS(Table2[NewPointsHome],Table2[GameDate], "&lt;=" &amp; $A144, Table2[HomeTeam], AA$1)</f>
        <v>39</v>
      </c>
      <c r="AB144" s="145">
        <f>SUMIFS(Table2[NewPointsAway],Table2[GameDate], "&lt;=" &amp; $A144, Table2[AwayTeam], AB$1)+SUMIFS(Table2[NewPointsHome],Table2[GameDate], "&lt;=" &amp; $A144, Table2[HomeTeam], AB$1)</f>
        <v>35</v>
      </c>
      <c r="AC144" s="145">
        <f>SUMIFS(Table2[NewPointsAway],Table2[GameDate], "&lt;=" &amp; $A144, Table2[AwayTeam], AC$1)+SUMIFS(Table2[NewPointsHome],Table2[GameDate], "&lt;=" &amp; $A144, Table2[HomeTeam], AC$1)</f>
        <v>35</v>
      </c>
      <c r="AD144" s="145">
        <f>SUMIFS(Table2[NewPointsAway],Table2[GameDate], "&lt;=" &amp; $A144, Table2[AwayTeam], AD$1)+SUMIFS(Table2[NewPointsHome],Table2[GameDate], "&lt;=" &amp; $A144, Table2[HomeTeam], AD$1)</f>
        <v>29</v>
      </c>
      <c r="AE144" s="145">
        <f>SUMIFS(Table2[NewPointsAway],Table2[GameDate], "&lt;=" &amp; $A144, Table2[AwayTeam], AE$1)+SUMIFS(Table2[NewPointsHome],Table2[GameDate], "&lt;=" &amp; $A144, Table2[HomeTeam], AE$1)</f>
        <v>41</v>
      </c>
      <c r="AF144" s="145">
        <f>SUMIFS(Table2[NewPointsAway],Table2[GameDate], "&lt;=" &amp; $A144, Table2[AwayTeam], AF$1)+SUMIFS(Table2[NewPointsHome],Table2[GameDate], "&lt;=" &amp; $A144, Table2[HomeTeam], AF$1)</f>
        <v>32</v>
      </c>
      <c r="AG144" s="145">
        <f>SUMIFS(Table2[NewPointsAway],Table2[GameDate], "&lt;=" &amp; $A144, Table2[AwayTeam], AG$1)+SUMIFS(Table2[NewPointsHome],Table2[GameDate], "&lt;=" &amp; $A144, Table2[HomeTeam], AG$1)</f>
        <v>40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42</v>
      </c>
      <c r="C145" s="145">
        <f>SUMIFS(Table2[NewPointsAway],Table2[GameDate], "&lt;=" &amp; $A145, Table2[AwayTeam], C$1)+SUMIFS(Table2[NewPointsHome],Table2[GameDate], "&lt;=" &amp; $A145, Table2[HomeTeam], C$1)</f>
        <v>40</v>
      </c>
      <c r="D145" s="145">
        <f>SUMIFS(Table2[NewPointsAway],Table2[GameDate], "&lt;=" &amp; $A145, Table2[AwayTeam], D$1)+SUMIFS(Table2[NewPointsHome],Table2[GameDate], "&lt;=" &amp; $A145, Table2[HomeTeam], D$1)</f>
        <v>32</v>
      </c>
      <c r="E145" s="145">
        <f>SUMIFS(Table2[NewPointsAway],Table2[GameDate], "&lt;=" &amp; $A145, Table2[AwayTeam], E$1)+SUMIFS(Table2[NewPointsHome],Table2[GameDate], "&lt;=" &amp; $A145, Table2[HomeTeam], E$1)</f>
        <v>44</v>
      </c>
      <c r="F145" s="145">
        <f>SUMIFS(Table2[NewPointsAway],Table2[GameDate], "&lt;=" &amp; $A145, Table2[AwayTeam], F$1)+SUMIFS(Table2[NewPointsHome],Table2[GameDate], "&lt;=" &amp; $A145, Table2[HomeTeam], F$1)</f>
        <v>34</v>
      </c>
      <c r="G145" s="145">
        <f>SUMIFS(Table2[NewPointsAway],Table2[GameDate], "&lt;=" &amp; $A145, Table2[AwayTeam], G$1)+SUMIFS(Table2[NewPointsHome],Table2[GameDate], "&lt;=" &amp; $A145, Table2[HomeTeam], G$1)</f>
        <v>30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55</v>
      </c>
      <c r="J145" s="145">
        <f>SUMIFS(Table2[NewPointsAway],Table2[GameDate], "&lt;=" &amp; $A145, Table2[AwayTeam], J$1)+SUMIFS(Table2[NewPointsHome],Table2[GameDate], "&lt;=" &amp; $A145, Table2[HomeTeam], J$1)</f>
        <v>49</v>
      </c>
      <c r="K145" s="145">
        <f>SUMIFS(Table2[NewPointsAway],Table2[GameDate], "&lt;=" &amp; $A145, Table2[AwayTeam], K$1)+SUMIFS(Table2[NewPointsHome],Table2[GameDate], "&lt;=" &amp; $A145, Table2[HomeTeam], K$1)</f>
        <v>41</v>
      </c>
      <c r="L145" s="145">
        <f>SUMIFS(Table2[NewPointsAway],Table2[GameDate], "&lt;=" &amp; $A145, Table2[AwayTeam], L$1)+SUMIFS(Table2[NewPointsHome],Table2[GameDate], "&lt;=" &amp; $A145, Table2[HomeTeam], L$1)</f>
        <v>38</v>
      </c>
      <c r="M145" s="145">
        <f>SUMIFS(Table2[NewPointsAway],Table2[GameDate], "&lt;=" &amp; $A145, Table2[AwayTeam], M$1)+SUMIFS(Table2[NewPointsHome],Table2[GameDate], "&lt;=" &amp; $A145, Table2[HomeTeam], M$1)</f>
        <v>36</v>
      </c>
      <c r="N145" s="145">
        <f>SUMIFS(Table2[NewPointsAway],Table2[GameDate], "&lt;=" &amp; $A145, Table2[AwayTeam], N$1)+SUMIFS(Table2[NewPointsHome],Table2[GameDate], "&lt;=" &amp; $A145, Table2[HomeTeam], N$1)</f>
        <v>37</v>
      </c>
      <c r="O145" s="145">
        <f>SUMIFS(Table2[NewPointsAway],Table2[GameDate], "&lt;=" &amp; $A145, Table2[AwayTeam], O$1)+SUMIFS(Table2[NewPointsHome],Table2[GameDate], "&lt;=" &amp; $A145, Table2[HomeTeam], O$1)</f>
        <v>45</v>
      </c>
      <c r="P145" s="145">
        <f>SUMIFS(Table2[NewPointsAway],Table2[GameDate], "&lt;=" &amp; $A145, Table2[AwayTeam], P$1)+SUMIFS(Table2[NewPointsHome],Table2[GameDate], "&lt;=" &amp; $A145, Table2[HomeTeam], P$1)</f>
        <v>38</v>
      </c>
      <c r="Q145" s="145">
        <f>SUMIFS(Table2[NewPointsAway],Table2[GameDate], "&lt;=" &amp; $A145, Table2[AwayTeam], Q$1)+SUMIFS(Table2[NewPointsHome],Table2[GameDate], "&lt;=" &amp; $A145, Table2[HomeTeam], Q$1)</f>
        <v>37</v>
      </c>
      <c r="R145" s="145">
        <f>SUMIFS(Table2[NewPointsAway],Table2[GameDate], "&lt;=" &amp; $A145, Table2[AwayTeam], R$1)+SUMIFS(Table2[NewPointsHome],Table2[GameDate], "&lt;=" &amp; $A145, Table2[HomeTeam], R$1)</f>
        <v>30</v>
      </c>
      <c r="S145" s="145">
        <f>SUMIFS(Table2[NewPointsAway],Table2[GameDate], "&lt;=" &amp; $A145, Table2[AwayTeam], S$1)+SUMIFS(Table2[NewPointsHome],Table2[GameDate], "&lt;=" &amp; $A145, Table2[HomeTeam], S$1)</f>
        <v>41</v>
      </c>
      <c r="T145" s="145">
        <f>SUMIFS(Table2[NewPointsAway],Table2[GameDate], "&lt;=" &amp; $A145, Table2[AwayTeam], T$1)+SUMIFS(Table2[NewPointsHome],Table2[GameDate], "&lt;=" &amp; $A145, Table2[HomeTeam], T$1)</f>
        <v>36</v>
      </c>
      <c r="U145" s="145">
        <f>SUMIFS(Table2[NewPointsAway],Table2[GameDate], "&lt;=" &amp; $A145, Table2[AwayTeam], U$1)+SUMIFS(Table2[NewPointsHome],Table2[GameDate], "&lt;=" &amp; $A145, Table2[HomeTeam], U$1)</f>
        <v>34</v>
      </c>
      <c r="V145" s="145">
        <f>SUMIFS(Table2[NewPointsAway],Table2[GameDate], "&lt;=" &amp; $A145, Table2[AwayTeam], V$1)+SUMIFS(Table2[NewPointsHome],Table2[GameDate], "&lt;=" &amp; $A145, Table2[HomeTeam], V$1)</f>
        <v>39</v>
      </c>
      <c r="W145" s="145">
        <f>SUMIFS(Table2[NewPointsAway],Table2[GameDate], "&lt;=" &amp; $A145, Table2[AwayTeam], W$1)+SUMIFS(Table2[NewPointsHome],Table2[GameDate], "&lt;=" &amp; $A145, Table2[HomeTeam], W$1)</f>
        <v>37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37</v>
      </c>
      <c r="Z145" s="145">
        <f>SUMIFS(Table2[NewPointsAway],Table2[GameDate], "&lt;=" &amp; $A145, Table2[AwayTeam], Z$1)+SUMIFS(Table2[NewPointsHome],Table2[GameDate], "&lt;=" &amp; $A145, Table2[HomeTeam], Z$1)</f>
        <v>32</v>
      </c>
      <c r="AA145" s="145">
        <f>SUMIFS(Table2[NewPointsAway],Table2[GameDate], "&lt;=" &amp; $A145, Table2[AwayTeam], AA$1)+SUMIFS(Table2[NewPointsHome],Table2[GameDate], "&lt;=" &amp; $A145, Table2[HomeTeam], AA$1)</f>
        <v>39</v>
      </c>
      <c r="AB145" s="145">
        <f>SUMIFS(Table2[NewPointsAway],Table2[GameDate], "&lt;=" &amp; $A145, Table2[AwayTeam], AB$1)+SUMIFS(Table2[NewPointsHome],Table2[GameDate], "&lt;=" &amp; $A145, Table2[HomeTeam], AB$1)</f>
        <v>35</v>
      </c>
      <c r="AC145" s="145">
        <f>SUMIFS(Table2[NewPointsAway],Table2[GameDate], "&lt;=" &amp; $A145, Table2[AwayTeam], AC$1)+SUMIFS(Table2[NewPointsHome],Table2[GameDate], "&lt;=" &amp; $A145, Table2[HomeTeam], AC$1)</f>
        <v>35</v>
      </c>
      <c r="AD145" s="145">
        <f>SUMIFS(Table2[NewPointsAway],Table2[GameDate], "&lt;=" &amp; $A145, Table2[AwayTeam], AD$1)+SUMIFS(Table2[NewPointsHome],Table2[GameDate], "&lt;=" &amp; $A145, Table2[HomeTeam], AD$1)</f>
        <v>29</v>
      </c>
      <c r="AE145" s="145">
        <f>SUMIFS(Table2[NewPointsAway],Table2[GameDate], "&lt;=" &amp; $A145, Table2[AwayTeam], AE$1)+SUMIFS(Table2[NewPointsHome],Table2[GameDate], "&lt;=" &amp; $A145, Table2[HomeTeam], AE$1)</f>
        <v>41</v>
      </c>
      <c r="AF145" s="145">
        <f>SUMIFS(Table2[NewPointsAway],Table2[GameDate], "&lt;=" &amp; $A145, Table2[AwayTeam], AF$1)+SUMIFS(Table2[NewPointsHome],Table2[GameDate], "&lt;=" &amp; $A145, Table2[HomeTeam], AF$1)</f>
        <v>32</v>
      </c>
      <c r="AG145" s="145">
        <f>SUMIFS(Table2[NewPointsAway],Table2[GameDate], "&lt;=" &amp; $A145, Table2[AwayTeam], AG$1)+SUMIFS(Table2[NewPointsHome],Table2[GameDate], "&lt;=" &amp; $A145, Table2[HomeTeam], AG$1)</f>
        <v>40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42</v>
      </c>
      <c r="C146" s="145">
        <f>SUMIFS(Table2[NewPointsAway],Table2[GameDate], "&lt;=" &amp; $A146, Table2[AwayTeam], C$1)+SUMIFS(Table2[NewPointsHome],Table2[GameDate], "&lt;=" &amp; $A146, Table2[HomeTeam], C$1)</f>
        <v>40</v>
      </c>
      <c r="D146" s="145">
        <f>SUMIFS(Table2[NewPointsAway],Table2[GameDate], "&lt;=" &amp; $A146, Table2[AwayTeam], D$1)+SUMIFS(Table2[NewPointsHome],Table2[GameDate], "&lt;=" &amp; $A146, Table2[HomeTeam], D$1)</f>
        <v>32</v>
      </c>
      <c r="E146" s="145">
        <f>SUMIFS(Table2[NewPointsAway],Table2[GameDate], "&lt;=" &amp; $A146, Table2[AwayTeam], E$1)+SUMIFS(Table2[NewPointsHome],Table2[GameDate], "&lt;=" &amp; $A146, Table2[HomeTeam], E$1)</f>
        <v>44</v>
      </c>
      <c r="F146" s="145">
        <f>SUMIFS(Table2[NewPointsAway],Table2[GameDate], "&lt;=" &amp; $A146, Table2[AwayTeam], F$1)+SUMIFS(Table2[NewPointsHome],Table2[GameDate], "&lt;=" &amp; $A146, Table2[HomeTeam], F$1)</f>
        <v>34</v>
      </c>
      <c r="G146" s="145">
        <f>SUMIFS(Table2[NewPointsAway],Table2[GameDate], "&lt;=" &amp; $A146, Table2[AwayTeam], G$1)+SUMIFS(Table2[NewPointsHome],Table2[GameDate], "&lt;=" &amp; $A146, Table2[HomeTeam], G$1)</f>
        <v>30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55</v>
      </c>
      <c r="J146" s="145">
        <f>SUMIFS(Table2[NewPointsAway],Table2[GameDate], "&lt;=" &amp; $A146, Table2[AwayTeam], J$1)+SUMIFS(Table2[NewPointsHome],Table2[GameDate], "&lt;=" &amp; $A146, Table2[HomeTeam], J$1)</f>
        <v>49</v>
      </c>
      <c r="K146" s="145">
        <f>SUMIFS(Table2[NewPointsAway],Table2[GameDate], "&lt;=" &amp; $A146, Table2[AwayTeam], K$1)+SUMIFS(Table2[NewPointsHome],Table2[GameDate], "&lt;=" &amp; $A146, Table2[HomeTeam], K$1)</f>
        <v>41</v>
      </c>
      <c r="L146" s="145">
        <f>SUMIFS(Table2[NewPointsAway],Table2[GameDate], "&lt;=" &amp; $A146, Table2[AwayTeam], L$1)+SUMIFS(Table2[NewPointsHome],Table2[GameDate], "&lt;=" &amp; $A146, Table2[HomeTeam], L$1)</f>
        <v>38</v>
      </c>
      <c r="M146" s="145">
        <f>SUMIFS(Table2[NewPointsAway],Table2[GameDate], "&lt;=" &amp; $A146, Table2[AwayTeam], M$1)+SUMIFS(Table2[NewPointsHome],Table2[GameDate], "&lt;=" &amp; $A146, Table2[HomeTeam], M$1)</f>
        <v>36</v>
      </c>
      <c r="N146" s="145">
        <f>SUMIFS(Table2[NewPointsAway],Table2[GameDate], "&lt;=" &amp; $A146, Table2[AwayTeam], N$1)+SUMIFS(Table2[NewPointsHome],Table2[GameDate], "&lt;=" &amp; $A146, Table2[HomeTeam], N$1)</f>
        <v>37</v>
      </c>
      <c r="O146" s="145">
        <f>SUMIFS(Table2[NewPointsAway],Table2[GameDate], "&lt;=" &amp; $A146, Table2[AwayTeam], O$1)+SUMIFS(Table2[NewPointsHome],Table2[GameDate], "&lt;=" &amp; $A146, Table2[HomeTeam], O$1)</f>
        <v>45</v>
      </c>
      <c r="P146" s="145">
        <f>SUMIFS(Table2[NewPointsAway],Table2[GameDate], "&lt;=" &amp; $A146, Table2[AwayTeam], P$1)+SUMIFS(Table2[NewPointsHome],Table2[GameDate], "&lt;=" &amp; $A146, Table2[HomeTeam], P$1)</f>
        <v>38</v>
      </c>
      <c r="Q146" s="145">
        <f>SUMIFS(Table2[NewPointsAway],Table2[GameDate], "&lt;=" &amp; $A146, Table2[AwayTeam], Q$1)+SUMIFS(Table2[NewPointsHome],Table2[GameDate], "&lt;=" &amp; $A146, Table2[HomeTeam], Q$1)</f>
        <v>37</v>
      </c>
      <c r="R146" s="145">
        <f>SUMIFS(Table2[NewPointsAway],Table2[GameDate], "&lt;=" &amp; $A146, Table2[AwayTeam], R$1)+SUMIFS(Table2[NewPointsHome],Table2[GameDate], "&lt;=" &amp; $A146, Table2[HomeTeam], R$1)</f>
        <v>30</v>
      </c>
      <c r="S146" s="145">
        <f>SUMIFS(Table2[NewPointsAway],Table2[GameDate], "&lt;=" &amp; $A146, Table2[AwayTeam], S$1)+SUMIFS(Table2[NewPointsHome],Table2[GameDate], "&lt;=" &amp; $A146, Table2[HomeTeam], S$1)</f>
        <v>41</v>
      </c>
      <c r="T146" s="145">
        <f>SUMIFS(Table2[NewPointsAway],Table2[GameDate], "&lt;=" &amp; $A146, Table2[AwayTeam], T$1)+SUMIFS(Table2[NewPointsHome],Table2[GameDate], "&lt;=" &amp; $A146, Table2[HomeTeam], T$1)</f>
        <v>36</v>
      </c>
      <c r="U146" s="145">
        <f>SUMIFS(Table2[NewPointsAway],Table2[GameDate], "&lt;=" &amp; $A146, Table2[AwayTeam], U$1)+SUMIFS(Table2[NewPointsHome],Table2[GameDate], "&lt;=" &amp; $A146, Table2[HomeTeam], U$1)</f>
        <v>34</v>
      </c>
      <c r="V146" s="145">
        <f>SUMIFS(Table2[NewPointsAway],Table2[GameDate], "&lt;=" &amp; $A146, Table2[AwayTeam], V$1)+SUMIFS(Table2[NewPointsHome],Table2[GameDate], "&lt;=" &amp; $A146, Table2[HomeTeam], V$1)</f>
        <v>39</v>
      </c>
      <c r="W146" s="145">
        <f>SUMIFS(Table2[NewPointsAway],Table2[GameDate], "&lt;=" &amp; $A146, Table2[AwayTeam], W$1)+SUMIFS(Table2[NewPointsHome],Table2[GameDate], "&lt;=" &amp; $A146, Table2[HomeTeam], W$1)</f>
        <v>37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37</v>
      </c>
      <c r="Z146" s="145">
        <f>SUMIFS(Table2[NewPointsAway],Table2[GameDate], "&lt;=" &amp; $A146, Table2[AwayTeam], Z$1)+SUMIFS(Table2[NewPointsHome],Table2[GameDate], "&lt;=" &amp; $A146, Table2[HomeTeam], Z$1)</f>
        <v>32</v>
      </c>
      <c r="AA146" s="145">
        <f>SUMIFS(Table2[NewPointsAway],Table2[GameDate], "&lt;=" &amp; $A146, Table2[AwayTeam], AA$1)+SUMIFS(Table2[NewPointsHome],Table2[GameDate], "&lt;=" &amp; $A146, Table2[HomeTeam], AA$1)</f>
        <v>39</v>
      </c>
      <c r="AB146" s="145">
        <f>SUMIFS(Table2[NewPointsAway],Table2[GameDate], "&lt;=" &amp; $A146, Table2[AwayTeam], AB$1)+SUMIFS(Table2[NewPointsHome],Table2[GameDate], "&lt;=" &amp; $A146, Table2[HomeTeam], AB$1)</f>
        <v>35</v>
      </c>
      <c r="AC146" s="145">
        <f>SUMIFS(Table2[NewPointsAway],Table2[GameDate], "&lt;=" &amp; $A146, Table2[AwayTeam], AC$1)+SUMIFS(Table2[NewPointsHome],Table2[GameDate], "&lt;=" &amp; $A146, Table2[HomeTeam], AC$1)</f>
        <v>35</v>
      </c>
      <c r="AD146" s="145">
        <f>SUMIFS(Table2[NewPointsAway],Table2[GameDate], "&lt;=" &amp; $A146, Table2[AwayTeam], AD$1)+SUMIFS(Table2[NewPointsHome],Table2[GameDate], "&lt;=" &amp; $A146, Table2[HomeTeam], AD$1)</f>
        <v>29</v>
      </c>
      <c r="AE146" s="145">
        <f>SUMIFS(Table2[NewPointsAway],Table2[GameDate], "&lt;=" &amp; $A146, Table2[AwayTeam], AE$1)+SUMIFS(Table2[NewPointsHome],Table2[GameDate], "&lt;=" &amp; $A146, Table2[HomeTeam], AE$1)</f>
        <v>41</v>
      </c>
      <c r="AF146" s="145">
        <f>SUMIFS(Table2[NewPointsAway],Table2[GameDate], "&lt;=" &amp; $A146, Table2[AwayTeam], AF$1)+SUMIFS(Table2[NewPointsHome],Table2[GameDate], "&lt;=" &amp; $A146, Table2[HomeTeam], AF$1)</f>
        <v>32</v>
      </c>
      <c r="AG146" s="145">
        <f>SUMIFS(Table2[NewPointsAway],Table2[GameDate], "&lt;=" &amp; $A146, Table2[AwayTeam], AG$1)+SUMIFS(Table2[NewPointsHome],Table2[GameDate], "&lt;=" &amp; $A146, Table2[HomeTeam], AG$1)</f>
        <v>40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42</v>
      </c>
      <c r="C147" s="145">
        <f>SUMIFS(Table2[NewPointsAway],Table2[GameDate], "&lt;=" &amp; $A147, Table2[AwayTeam], C$1)+SUMIFS(Table2[NewPointsHome],Table2[GameDate], "&lt;=" &amp; $A147, Table2[HomeTeam], C$1)</f>
        <v>40</v>
      </c>
      <c r="D147" s="145">
        <f>SUMIFS(Table2[NewPointsAway],Table2[GameDate], "&lt;=" &amp; $A147, Table2[AwayTeam], D$1)+SUMIFS(Table2[NewPointsHome],Table2[GameDate], "&lt;=" &amp; $A147, Table2[HomeTeam], D$1)</f>
        <v>32</v>
      </c>
      <c r="E147" s="145">
        <f>SUMIFS(Table2[NewPointsAway],Table2[GameDate], "&lt;=" &amp; $A147, Table2[AwayTeam], E$1)+SUMIFS(Table2[NewPointsHome],Table2[GameDate], "&lt;=" &amp; $A147, Table2[HomeTeam], E$1)</f>
        <v>44</v>
      </c>
      <c r="F147" s="145">
        <f>SUMIFS(Table2[NewPointsAway],Table2[GameDate], "&lt;=" &amp; $A147, Table2[AwayTeam], F$1)+SUMIFS(Table2[NewPointsHome],Table2[GameDate], "&lt;=" &amp; $A147, Table2[HomeTeam], F$1)</f>
        <v>34</v>
      </c>
      <c r="G147" s="145">
        <f>SUMIFS(Table2[NewPointsAway],Table2[GameDate], "&lt;=" &amp; $A147, Table2[AwayTeam], G$1)+SUMIFS(Table2[NewPointsHome],Table2[GameDate], "&lt;=" &amp; $A147, Table2[HomeTeam], G$1)</f>
        <v>30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55</v>
      </c>
      <c r="J147" s="145">
        <f>SUMIFS(Table2[NewPointsAway],Table2[GameDate], "&lt;=" &amp; $A147, Table2[AwayTeam], J$1)+SUMIFS(Table2[NewPointsHome],Table2[GameDate], "&lt;=" &amp; $A147, Table2[HomeTeam], J$1)</f>
        <v>49</v>
      </c>
      <c r="K147" s="145">
        <f>SUMIFS(Table2[NewPointsAway],Table2[GameDate], "&lt;=" &amp; $A147, Table2[AwayTeam], K$1)+SUMIFS(Table2[NewPointsHome],Table2[GameDate], "&lt;=" &amp; $A147, Table2[HomeTeam], K$1)</f>
        <v>41</v>
      </c>
      <c r="L147" s="145">
        <f>SUMIFS(Table2[NewPointsAway],Table2[GameDate], "&lt;=" &amp; $A147, Table2[AwayTeam], L$1)+SUMIFS(Table2[NewPointsHome],Table2[GameDate], "&lt;=" &amp; $A147, Table2[HomeTeam], L$1)</f>
        <v>38</v>
      </c>
      <c r="M147" s="145">
        <f>SUMIFS(Table2[NewPointsAway],Table2[GameDate], "&lt;=" &amp; $A147, Table2[AwayTeam], M$1)+SUMIFS(Table2[NewPointsHome],Table2[GameDate], "&lt;=" &amp; $A147, Table2[HomeTeam], M$1)</f>
        <v>36</v>
      </c>
      <c r="N147" s="145">
        <f>SUMIFS(Table2[NewPointsAway],Table2[GameDate], "&lt;=" &amp; $A147, Table2[AwayTeam], N$1)+SUMIFS(Table2[NewPointsHome],Table2[GameDate], "&lt;=" &amp; $A147, Table2[HomeTeam], N$1)</f>
        <v>37</v>
      </c>
      <c r="O147" s="145">
        <f>SUMIFS(Table2[NewPointsAway],Table2[GameDate], "&lt;=" &amp; $A147, Table2[AwayTeam], O$1)+SUMIFS(Table2[NewPointsHome],Table2[GameDate], "&lt;=" &amp; $A147, Table2[HomeTeam], O$1)</f>
        <v>45</v>
      </c>
      <c r="P147" s="145">
        <f>SUMIFS(Table2[NewPointsAway],Table2[GameDate], "&lt;=" &amp; $A147, Table2[AwayTeam], P$1)+SUMIFS(Table2[NewPointsHome],Table2[GameDate], "&lt;=" &amp; $A147, Table2[HomeTeam], P$1)</f>
        <v>38</v>
      </c>
      <c r="Q147" s="145">
        <f>SUMIFS(Table2[NewPointsAway],Table2[GameDate], "&lt;=" &amp; $A147, Table2[AwayTeam], Q$1)+SUMIFS(Table2[NewPointsHome],Table2[GameDate], "&lt;=" &amp; $A147, Table2[HomeTeam], Q$1)</f>
        <v>37</v>
      </c>
      <c r="R147" s="145">
        <f>SUMIFS(Table2[NewPointsAway],Table2[GameDate], "&lt;=" &amp; $A147, Table2[AwayTeam], R$1)+SUMIFS(Table2[NewPointsHome],Table2[GameDate], "&lt;=" &amp; $A147, Table2[HomeTeam], R$1)</f>
        <v>30</v>
      </c>
      <c r="S147" s="145">
        <f>SUMIFS(Table2[NewPointsAway],Table2[GameDate], "&lt;=" &amp; $A147, Table2[AwayTeam], S$1)+SUMIFS(Table2[NewPointsHome],Table2[GameDate], "&lt;=" &amp; $A147, Table2[HomeTeam], S$1)</f>
        <v>41</v>
      </c>
      <c r="T147" s="145">
        <f>SUMIFS(Table2[NewPointsAway],Table2[GameDate], "&lt;=" &amp; $A147, Table2[AwayTeam], T$1)+SUMIFS(Table2[NewPointsHome],Table2[GameDate], "&lt;=" &amp; $A147, Table2[HomeTeam], T$1)</f>
        <v>36</v>
      </c>
      <c r="U147" s="145">
        <f>SUMIFS(Table2[NewPointsAway],Table2[GameDate], "&lt;=" &amp; $A147, Table2[AwayTeam], U$1)+SUMIFS(Table2[NewPointsHome],Table2[GameDate], "&lt;=" &amp; $A147, Table2[HomeTeam], U$1)</f>
        <v>34</v>
      </c>
      <c r="V147" s="145">
        <f>SUMIFS(Table2[NewPointsAway],Table2[GameDate], "&lt;=" &amp; $A147, Table2[AwayTeam], V$1)+SUMIFS(Table2[NewPointsHome],Table2[GameDate], "&lt;=" &amp; $A147, Table2[HomeTeam], V$1)</f>
        <v>39</v>
      </c>
      <c r="W147" s="145">
        <f>SUMIFS(Table2[NewPointsAway],Table2[GameDate], "&lt;=" &amp; $A147, Table2[AwayTeam], W$1)+SUMIFS(Table2[NewPointsHome],Table2[GameDate], "&lt;=" &amp; $A147, Table2[HomeTeam], W$1)</f>
        <v>37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37</v>
      </c>
      <c r="Z147" s="145">
        <f>SUMIFS(Table2[NewPointsAway],Table2[GameDate], "&lt;=" &amp; $A147, Table2[AwayTeam], Z$1)+SUMIFS(Table2[NewPointsHome],Table2[GameDate], "&lt;=" &amp; $A147, Table2[HomeTeam], Z$1)</f>
        <v>32</v>
      </c>
      <c r="AA147" s="145">
        <f>SUMIFS(Table2[NewPointsAway],Table2[GameDate], "&lt;=" &amp; $A147, Table2[AwayTeam], AA$1)+SUMIFS(Table2[NewPointsHome],Table2[GameDate], "&lt;=" &amp; $A147, Table2[HomeTeam], AA$1)</f>
        <v>39</v>
      </c>
      <c r="AB147" s="145">
        <f>SUMIFS(Table2[NewPointsAway],Table2[GameDate], "&lt;=" &amp; $A147, Table2[AwayTeam], AB$1)+SUMIFS(Table2[NewPointsHome],Table2[GameDate], "&lt;=" &amp; $A147, Table2[HomeTeam], AB$1)</f>
        <v>35</v>
      </c>
      <c r="AC147" s="145">
        <f>SUMIFS(Table2[NewPointsAway],Table2[GameDate], "&lt;=" &amp; $A147, Table2[AwayTeam], AC$1)+SUMIFS(Table2[NewPointsHome],Table2[GameDate], "&lt;=" &amp; $A147, Table2[HomeTeam], AC$1)</f>
        <v>35</v>
      </c>
      <c r="AD147" s="145">
        <f>SUMIFS(Table2[NewPointsAway],Table2[GameDate], "&lt;=" &amp; $A147, Table2[AwayTeam], AD$1)+SUMIFS(Table2[NewPointsHome],Table2[GameDate], "&lt;=" &amp; $A147, Table2[HomeTeam], AD$1)</f>
        <v>29</v>
      </c>
      <c r="AE147" s="145">
        <f>SUMIFS(Table2[NewPointsAway],Table2[GameDate], "&lt;=" &amp; $A147, Table2[AwayTeam], AE$1)+SUMIFS(Table2[NewPointsHome],Table2[GameDate], "&lt;=" &amp; $A147, Table2[HomeTeam], AE$1)</f>
        <v>41</v>
      </c>
      <c r="AF147" s="145">
        <f>SUMIFS(Table2[NewPointsAway],Table2[GameDate], "&lt;=" &amp; $A147, Table2[AwayTeam], AF$1)+SUMIFS(Table2[NewPointsHome],Table2[GameDate], "&lt;=" &amp; $A147, Table2[HomeTeam], AF$1)</f>
        <v>32</v>
      </c>
      <c r="AG147" s="145">
        <f>SUMIFS(Table2[NewPointsAway],Table2[GameDate], "&lt;=" &amp; $A147, Table2[AwayTeam], AG$1)+SUMIFS(Table2[NewPointsHome],Table2[GameDate], "&lt;=" &amp; $A147, Table2[HomeTeam], AG$1)</f>
        <v>40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42</v>
      </c>
      <c r="C148" s="145">
        <f>SUMIFS(Table2[NewPointsAway],Table2[GameDate], "&lt;=" &amp; $A148, Table2[AwayTeam], C$1)+SUMIFS(Table2[NewPointsHome],Table2[GameDate], "&lt;=" &amp; $A148, Table2[HomeTeam], C$1)</f>
        <v>40</v>
      </c>
      <c r="D148" s="145">
        <f>SUMIFS(Table2[NewPointsAway],Table2[GameDate], "&lt;=" &amp; $A148, Table2[AwayTeam], D$1)+SUMIFS(Table2[NewPointsHome],Table2[GameDate], "&lt;=" &amp; $A148, Table2[HomeTeam], D$1)</f>
        <v>32</v>
      </c>
      <c r="E148" s="145">
        <f>SUMIFS(Table2[NewPointsAway],Table2[GameDate], "&lt;=" &amp; $A148, Table2[AwayTeam], E$1)+SUMIFS(Table2[NewPointsHome],Table2[GameDate], "&lt;=" &amp; $A148, Table2[HomeTeam], E$1)</f>
        <v>44</v>
      </c>
      <c r="F148" s="145">
        <f>SUMIFS(Table2[NewPointsAway],Table2[GameDate], "&lt;=" &amp; $A148, Table2[AwayTeam], F$1)+SUMIFS(Table2[NewPointsHome],Table2[GameDate], "&lt;=" &amp; $A148, Table2[HomeTeam], F$1)</f>
        <v>34</v>
      </c>
      <c r="G148" s="145">
        <f>SUMIFS(Table2[NewPointsAway],Table2[GameDate], "&lt;=" &amp; $A148, Table2[AwayTeam], G$1)+SUMIFS(Table2[NewPointsHome],Table2[GameDate], "&lt;=" &amp; $A148, Table2[HomeTeam], G$1)</f>
        <v>30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55</v>
      </c>
      <c r="J148" s="145">
        <f>SUMIFS(Table2[NewPointsAway],Table2[GameDate], "&lt;=" &amp; $A148, Table2[AwayTeam], J$1)+SUMIFS(Table2[NewPointsHome],Table2[GameDate], "&lt;=" &amp; $A148, Table2[HomeTeam], J$1)</f>
        <v>49</v>
      </c>
      <c r="K148" s="145">
        <f>SUMIFS(Table2[NewPointsAway],Table2[GameDate], "&lt;=" &amp; $A148, Table2[AwayTeam], K$1)+SUMIFS(Table2[NewPointsHome],Table2[GameDate], "&lt;=" &amp; $A148, Table2[HomeTeam], K$1)</f>
        <v>41</v>
      </c>
      <c r="L148" s="145">
        <f>SUMIFS(Table2[NewPointsAway],Table2[GameDate], "&lt;=" &amp; $A148, Table2[AwayTeam], L$1)+SUMIFS(Table2[NewPointsHome],Table2[GameDate], "&lt;=" &amp; $A148, Table2[HomeTeam], L$1)</f>
        <v>38</v>
      </c>
      <c r="M148" s="145">
        <f>SUMIFS(Table2[NewPointsAway],Table2[GameDate], "&lt;=" &amp; $A148, Table2[AwayTeam], M$1)+SUMIFS(Table2[NewPointsHome],Table2[GameDate], "&lt;=" &amp; $A148, Table2[HomeTeam], M$1)</f>
        <v>36</v>
      </c>
      <c r="N148" s="145">
        <f>SUMIFS(Table2[NewPointsAway],Table2[GameDate], "&lt;=" &amp; $A148, Table2[AwayTeam], N$1)+SUMIFS(Table2[NewPointsHome],Table2[GameDate], "&lt;=" &amp; $A148, Table2[HomeTeam], N$1)</f>
        <v>37</v>
      </c>
      <c r="O148" s="145">
        <f>SUMIFS(Table2[NewPointsAway],Table2[GameDate], "&lt;=" &amp; $A148, Table2[AwayTeam], O$1)+SUMIFS(Table2[NewPointsHome],Table2[GameDate], "&lt;=" &amp; $A148, Table2[HomeTeam], O$1)</f>
        <v>45</v>
      </c>
      <c r="P148" s="145">
        <f>SUMIFS(Table2[NewPointsAway],Table2[GameDate], "&lt;=" &amp; $A148, Table2[AwayTeam], P$1)+SUMIFS(Table2[NewPointsHome],Table2[GameDate], "&lt;=" &amp; $A148, Table2[HomeTeam], P$1)</f>
        <v>38</v>
      </c>
      <c r="Q148" s="145">
        <f>SUMIFS(Table2[NewPointsAway],Table2[GameDate], "&lt;=" &amp; $A148, Table2[AwayTeam], Q$1)+SUMIFS(Table2[NewPointsHome],Table2[GameDate], "&lt;=" &amp; $A148, Table2[HomeTeam], Q$1)</f>
        <v>37</v>
      </c>
      <c r="R148" s="145">
        <f>SUMIFS(Table2[NewPointsAway],Table2[GameDate], "&lt;=" &amp; $A148, Table2[AwayTeam], R$1)+SUMIFS(Table2[NewPointsHome],Table2[GameDate], "&lt;=" &amp; $A148, Table2[HomeTeam], R$1)</f>
        <v>30</v>
      </c>
      <c r="S148" s="145">
        <f>SUMIFS(Table2[NewPointsAway],Table2[GameDate], "&lt;=" &amp; $A148, Table2[AwayTeam], S$1)+SUMIFS(Table2[NewPointsHome],Table2[GameDate], "&lt;=" &amp; $A148, Table2[HomeTeam], S$1)</f>
        <v>41</v>
      </c>
      <c r="T148" s="145">
        <f>SUMIFS(Table2[NewPointsAway],Table2[GameDate], "&lt;=" &amp; $A148, Table2[AwayTeam], T$1)+SUMIFS(Table2[NewPointsHome],Table2[GameDate], "&lt;=" &amp; $A148, Table2[HomeTeam], T$1)</f>
        <v>36</v>
      </c>
      <c r="U148" s="145">
        <f>SUMIFS(Table2[NewPointsAway],Table2[GameDate], "&lt;=" &amp; $A148, Table2[AwayTeam], U$1)+SUMIFS(Table2[NewPointsHome],Table2[GameDate], "&lt;=" &amp; $A148, Table2[HomeTeam], U$1)</f>
        <v>34</v>
      </c>
      <c r="V148" s="145">
        <f>SUMIFS(Table2[NewPointsAway],Table2[GameDate], "&lt;=" &amp; $A148, Table2[AwayTeam], V$1)+SUMIFS(Table2[NewPointsHome],Table2[GameDate], "&lt;=" &amp; $A148, Table2[HomeTeam], V$1)</f>
        <v>39</v>
      </c>
      <c r="W148" s="145">
        <f>SUMIFS(Table2[NewPointsAway],Table2[GameDate], "&lt;=" &amp; $A148, Table2[AwayTeam], W$1)+SUMIFS(Table2[NewPointsHome],Table2[GameDate], "&lt;=" &amp; $A148, Table2[HomeTeam], W$1)</f>
        <v>37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37</v>
      </c>
      <c r="Z148" s="145">
        <f>SUMIFS(Table2[NewPointsAway],Table2[GameDate], "&lt;=" &amp; $A148, Table2[AwayTeam], Z$1)+SUMIFS(Table2[NewPointsHome],Table2[GameDate], "&lt;=" &amp; $A148, Table2[HomeTeam], Z$1)</f>
        <v>32</v>
      </c>
      <c r="AA148" s="145">
        <f>SUMIFS(Table2[NewPointsAway],Table2[GameDate], "&lt;=" &amp; $A148, Table2[AwayTeam], AA$1)+SUMIFS(Table2[NewPointsHome],Table2[GameDate], "&lt;=" &amp; $A148, Table2[HomeTeam], AA$1)</f>
        <v>39</v>
      </c>
      <c r="AB148" s="145">
        <f>SUMIFS(Table2[NewPointsAway],Table2[GameDate], "&lt;=" &amp; $A148, Table2[AwayTeam], AB$1)+SUMIFS(Table2[NewPointsHome],Table2[GameDate], "&lt;=" &amp; $A148, Table2[HomeTeam], AB$1)</f>
        <v>35</v>
      </c>
      <c r="AC148" s="145">
        <f>SUMIFS(Table2[NewPointsAway],Table2[GameDate], "&lt;=" &amp; $A148, Table2[AwayTeam], AC$1)+SUMIFS(Table2[NewPointsHome],Table2[GameDate], "&lt;=" &amp; $A148, Table2[HomeTeam], AC$1)</f>
        <v>35</v>
      </c>
      <c r="AD148" s="145">
        <f>SUMIFS(Table2[NewPointsAway],Table2[GameDate], "&lt;=" &amp; $A148, Table2[AwayTeam], AD$1)+SUMIFS(Table2[NewPointsHome],Table2[GameDate], "&lt;=" &amp; $A148, Table2[HomeTeam], AD$1)</f>
        <v>29</v>
      </c>
      <c r="AE148" s="145">
        <f>SUMIFS(Table2[NewPointsAway],Table2[GameDate], "&lt;=" &amp; $A148, Table2[AwayTeam], AE$1)+SUMIFS(Table2[NewPointsHome],Table2[GameDate], "&lt;=" &amp; $A148, Table2[HomeTeam], AE$1)</f>
        <v>41</v>
      </c>
      <c r="AF148" s="145">
        <f>SUMIFS(Table2[NewPointsAway],Table2[GameDate], "&lt;=" &amp; $A148, Table2[AwayTeam], AF$1)+SUMIFS(Table2[NewPointsHome],Table2[GameDate], "&lt;=" &amp; $A148, Table2[HomeTeam], AF$1)</f>
        <v>32</v>
      </c>
      <c r="AG148" s="145">
        <f>SUMIFS(Table2[NewPointsAway],Table2[GameDate], "&lt;=" &amp; $A148, Table2[AwayTeam], AG$1)+SUMIFS(Table2[NewPointsHome],Table2[GameDate], "&lt;=" &amp; $A148, Table2[HomeTeam], AG$1)</f>
        <v>40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42</v>
      </c>
      <c r="C149" s="145">
        <f>SUMIFS(Table2[NewPointsAway],Table2[GameDate], "&lt;=" &amp; $A149, Table2[AwayTeam], C$1)+SUMIFS(Table2[NewPointsHome],Table2[GameDate], "&lt;=" &amp; $A149, Table2[HomeTeam], C$1)</f>
        <v>40</v>
      </c>
      <c r="D149" s="145">
        <f>SUMIFS(Table2[NewPointsAway],Table2[GameDate], "&lt;=" &amp; $A149, Table2[AwayTeam], D$1)+SUMIFS(Table2[NewPointsHome],Table2[GameDate], "&lt;=" &amp; $A149, Table2[HomeTeam], D$1)</f>
        <v>32</v>
      </c>
      <c r="E149" s="145">
        <f>SUMIFS(Table2[NewPointsAway],Table2[GameDate], "&lt;=" &amp; $A149, Table2[AwayTeam], E$1)+SUMIFS(Table2[NewPointsHome],Table2[GameDate], "&lt;=" &amp; $A149, Table2[HomeTeam], E$1)</f>
        <v>44</v>
      </c>
      <c r="F149" s="145">
        <f>SUMIFS(Table2[NewPointsAway],Table2[GameDate], "&lt;=" &amp; $A149, Table2[AwayTeam], F$1)+SUMIFS(Table2[NewPointsHome],Table2[GameDate], "&lt;=" &amp; $A149, Table2[HomeTeam], F$1)</f>
        <v>34</v>
      </c>
      <c r="G149" s="145">
        <f>SUMIFS(Table2[NewPointsAway],Table2[GameDate], "&lt;=" &amp; $A149, Table2[AwayTeam], G$1)+SUMIFS(Table2[NewPointsHome],Table2[GameDate], "&lt;=" &amp; $A149, Table2[HomeTeam], G$1)</f>
        <v>30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55</v>
      </c>
      <c r="J149" s="145">
        <f>SUMIFS(Table2[NewPointsAway],Table2[GameDate], "&lt;=" &amp; $A149, Table2[AwayTeam], J$1)+SUMIFS(Table2[NewPointsHome],Table2[GameDate], "&lt;=" &amp; $A149, Table2[HomeTeam], J$1)</f>
        <v>49</v>
      </c>
      <c r="K149" s="145">
        <f>SUMIFS(Table2[NewPointsAway],Table2[GameDate], "&lt;=" &amp; $A149, Table2[AwayTeam], K$1)+SUMIFS(Table2[NewPointsHome],Table2[GameDate], "&lt;=" &amp; $A149, Table2[HomeTeam], K$1)</f>
        <v>41</v>
      </c>
      <c r="L149" s="145">
        <f>SUMIFS(Table2[NewPointsAway],Table2[GameDate], "&lt;=" &amp; $A149, Table2[AwayTeam], L$1)+SUMIFS(Table2[NewPointsHome],Table2[GameDate], "&lt;=" &amp; $A149, Table2[HomeTeam], L$1)</f>
        <v>38</v>
      </c>
      <c r="M149" s="145">
        <f>SUMIFS(Table2[NewPointsAway],Table2[GameDate], "&lt;=" &amp; $A149, Table2[AwayTeam], M$1)+SUMIFS(Table2[NewPointsHome],Table2[GameDate], "&lt;=" &amp; $A149, Table2[HomeTeam], M$1)</f>
        <v>36</v>
      </c>
      <c r="N149" s="145">
        <f>SUMIFS(Table2[NewPointsAway],Table2[GameDate], "&lt;=" &amp; $A149, Table2[AwayTeam], N$1)+SUMIFS(Table2[NewPointsHome],Table2[GameDate], "&lt;=" &amp; $A149, Table2[HomeTeam], N$1)</f>
        <v>37</v>
      </c>
      <c r="O149" s="145">
        <f>SUMIFS(Table2[NewPointsAway],Table2[GameDate], "&lt;=" &amp; $A149, Table2[AwayTeam], O$1)+SUMIFS(Table2[NewPointsHome],Table2[GameDate], "&lt;=" &amp; $A149, Table2[HomeTeam], O$1)</f>
        <v>45</v>
      </c>
      <c r="P149" s="145">
        <f>SUMIFS(Table2[NewPointsAway],Table2[GameDate], "&lt;=" &amp; $A149, Table2[AwayTeam], P$1)+SUMIFS(Table2[NewPointsHome],Table2[GameDate], "&lt;=" &amp; $A149, Table2[HomeTeam], P$1)</f>
        <v>38</v>
      </c>
      <c r="Q149" s="145">
        <f>SUMIFS(Table2[NewPointsAway],Table2[GameDate], "&lt;=" &amp; $A149, Table2[AwayTeam], Q$1)+SUMIFS(Table2[NewPointsHome],Table2[GameDate], "&lt;=" &amp; $A149, Table2[HomeTeam], Q$1)</f>
        <v>37</v>
      </c>
      <c r="R149" s="145">
        <f>SUMIFS(Table2[NewPointsAway],Table2[GameDate], "&lt;=" &amp; $A149, Table2[AwayTeam], R$1)+SUMIFS(Table2[NewPointsHome],Table2[GameDate], "&lt;=" &amp; $A149, Table2[HomeTeam], R$1)</f>
        <v>30</v>
      </c>
      <c r="S149" s="145">
        <f>SUMIFS(Table2[NewPointsAway],Table2[GameDate], "&lt;=" &amp; $A149, Table2[AwayTeam], S$1)+SUMIFS(Table2[NewPointsHome],Table2[GameDate], "&lt;=" &amp; $A149, Table2[HomeTeam], S$1)</f>
        <v>41</v>
      </c>
      <c r="T149" s="145">
        <f>SUMIFS(Table2[NewPointsAway],Table2[GameDate], "&lt;=" &amp; $A149, Table2[AwayTeam], T$1)+SUMIFS(Table2[NewPointsHome],Table2[GameDate], "&lt;=" &amp; $A149, Table2[HomeTeam], T$1)</f>
        <v>36</v>
      </c>
      <c r="U149" s="145">
        <f>SUMIFS(Table2[NewPointsAway],Table2[GameDate], "&lt;=" &amp; $A149, Table2[AwayTeam], U$1)+SUMIFS(Table2[NewPointsHome],Table2[GameDate], "&lt;=" &amp; $A149, Table2[HomeTeam], U$1)</f>
        <v>34</v>
      </c>
      <c r="V149" s="145">
        <f>SUMIFS(Table2[NewPointsAway],Table2[GameDate], "&lt;=" &amp; $A149, Table2[AwayTeam], V$1)+SUMIFS(Table2[NewPointsHome],Table2[GameDate], "&lt;=" &amp; $A149, Table2[HomeTeam], V$1)</f>
        <v>39</v>
      </c>
      <c r="W149" s="145">
        <f>SUMIFS(Table2[NewPointsAway],Table2[GameDate], "&lt;=" &amp; $A149, Table2[AwayTeam], W$1)+SUMIFS(Table2[NewPointsHome],Table2[GameDate], "&lt;=" &amp; $A149, Table2[HomeTeam], W$1)</f>
        <v>37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37</v>
      </c>
      <c r="Z149" s="145">
        <f>SUMIFS(Table2[NewPointsAway],Table2[GameDate], "&lt;=" &amp; $A149, Table2[AwayTeam], Z$1)+SUMIFS(Table2[NewPointsHome],Table2[GameDate], "&lt;=" &amp; $A149, Table2[HomeTeam], Z$1)</f>
        <v>32</v>
      </c>
      <c r="AA149" s="145">
        <f>SUMIFS(Table2[NewPointsAway],Table2[GameDate], "&lt;=" &amp; $A149, Table2[AwayTeam], AA$1)+SUMIFS(Table2[NewPointsHome],Table2[GameDate], "&lt;=" &amp; $A149, Table2[HomeTeam], AA$1)</f>
        <v>39</v>
      </c>
      <c r="AB149" s="145">
        <f>SUMIFS(Table2[NewPointsAway],Table2[GameDate], "&lt;=" &amp; $A149, Table2[AwayTeam], AB$1)+SUMIFS(Table2[NewPointsHome],Table2[GameDate], "&lt;=" &amp; $A149, Table2[HomeTeam], AB$1)</f>
        <v>35</v>
      </c>
      <c r="AC149" s="145">
        <f>SUMIFS(Table2[NewPointsAway],Table2[GameDate], "&lt;=" &amp; $A149, Table2[AwayTeam], AC$1)+SUMIFS(Table2[NewPointsHome],Table2[GameDate], "&lt;=" &amp; $A149, Table2[HomeTeam], AC$1)</f>
        <v>35</v>
      </c>
      <c r="AD149" s="145">
        <f>SUMIFS(Table2[NewPointsAway],Table2[GameDate], "&lt;=" &amp; $A149, Table2[AwayTeam], AD$1)+SUMIFS(Table2[NewPointsHome],Table2[GameDate], "&lt;=" &amp; $A149, Table2[HomeTeam], AD$1)</f>
        <v>29</v>
      </c>
      <c r="AE149" s="145">
        <f>SUMIFS(Table2[NewPointsAway],Table2[GameDate], "&lt;=" &amp; $A149, Table2[AwayTeam], AE$1)+SUMIFS(Table2[NewPointsHome],Table2[GameDate], "&lt;=" &amp; $A149, Table2[HomeTeam], AE$1)</f>
        <v>41</v>
      </c>
      <c r="AF149" s="145">
        <f>SUMIFS(Table2[NewPointsAway],Table2[GameDate], "&lt;=" &amp; $A149, Table2[AwayTeam], AF$1)+SUMIFS(Table2[NewPointsHome],Table2[GameDate], "&lt;=" &amp; $A149, Table2[HomeTeam], AF$1)</f>
        <v>32</v>
      </c>
      <c r="AG149" s="145">
        <f>SUMIFS(Table2[NewPointsAway],Table2[GameDate], "&lt;=" &amp; $A149, Table2[AwayTeam], AG$1)+SUMIFS(Table2[NewPointsHome],Table2[GameDate], "&lt;=" &amp; $A149, Table2[HomeTeam], AG$1)</f>
        <v>40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42</v>
      </c>
      <c r="C150" s="145">
        <f>SUMIFS(Table2[NewPointsAway],Table2[GameDate], "&lt;=" &amp; $A150, Table2[AwayTeam], C$1)+SUMIFS(Table2[NewPointsHome],Table2[GameDate], "&lt;=" &amp; $A150, Table2[HomeTeam], C$1)</f>
        <v>40</v>
      </c>
      <c r="D150" s="145">
        <f>SUMIFS(Table2[NewPointsAway],Table2[GameDate], "&lt;=" &amp; $A150, Table2[AwayTeam], D$1)+SUMIFS(Table2[NewPointsHome],Table2[GameDate], "&lt;=" &amp; $A150, Table2[HomeTeam], D$1)</f>
        <v>32</v>
      </c>
      <c r="E150" s="145">
        <f>SUMIFS(Table2[NewPointsAway],Table2[GameDate], "&lt;=" &amp; $A150, Table2[AwayTeam], E$1)+SUMIFS(Table2[NewPointsHome],Table2[GameDate], "&lt;=" &amp; $A150, Table2[HomeTeam], E$1)</f>
        <v>44</v>
      </c>
      <c r="F150" s="145">
        <f>SUMIFS(Table2[NewPointsAway],Table2[GameDate], "&lt;=" &amp; $A150, Table2[AwayTeam], F$1)+SUMIFS(Table2[NewPointsHome],Table2[GameDate], "&lt;=" &amp; $A150, Table2[HomeTeam], F$1)</f>
        <v>34</v>
      </c>
      <c r="G150" s="145">
        <f>SUMIFS(Table2[NewPointsAway],Table2[GameDate], "&lt;=" &amp; $A150, Table2[AwayTeam], G$1)+SUMIFS(Table2[NewPointsHome],Table2[GameDate], "&lt;=" &amp; $A150, Table2[HomeTeam], G$1)</f>
        <v>30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55</v>
      </c>
      <c r="J150" s="145">
        <f>SUMIFS(Table2[NewPointsAway],Table2[GameDate], "&lt;=" &amp; $A150, Table2[AwayTeam], J$1)+SUMIFS(Table2[NewPointsHome],Table2[GameDate], "&lt;=" &amp; $A150, Table2[HomeTeam], J$1)</f>
        <v>49</v>
      </c>
      <c r="K150" s="145">
        <f>SUMIFS(Table2[NewPointsAway],Table2[GameDate], "&lt;=" &amp; $A150, Table2[AwayTeam], K$1)+SUMIFS(Table2[NewPointsHome],Table2[GameDate], "&lt;=" &amp; $A150, Table2[HomeTeam], K$1)</f>
        <v>41</v>
      </c>
      <c r="L150" s="145">
        <f>SUMIFS(Table2[NewPointsAway],Table2[GameDate], "&lt;=" &amp; $A150, Table2[AwayTeam], L$1)+SUMIFS(Table2[NewPointsHome],Table2[GameDate], "&lt;=" &amp; $A150, Table2[HomeTeam], L$1)</f>
        <v>38</v>
      </c>
      <c r="M150" s="145">
        <f>SUMIFS(Table2[NewPointsAway],Table2[GameDate], "&lt;=" &amp; $A150, Table2[AwayTeam], M$1)+SUMIFS(Table2[NewPointsHome],Table2[GameDate], "&lt;=" &amp; $A150, Table2[HomeTeam], M$1)</f>
        <v>36</v>
      </c>
      <c r="N150" s="145">
        <f>SUMIFS(Table2[NewPointsAway],Table2[GameDate], "&lt;=" &amp; $A150, Table2[AwayTeam], N$1)+SUMIFS(Table2[NewPointsHome],Table2[GameDate], "&lt;=" &amp; $A150, Table2[HomeTeam], N$1)</f>
        <v>37</v>
      </c>
      <c r="O150" s="145">
        <f>SUMIFS(Table2[NewPointsAway],Table2[GameDate], "&lt;=" &amp; $A150, Table2[AwayTeam], O$1)+SUMIFS(Table2[NewPointsHome],Table2[GameDate], "&lt;=" &amp; $A150, Table2[HomeTeam], O$1)</f>
        <v>45</v>
      </c>
      <c r="P150" s="145">
        <f>SUMIFS(Table2[NewPointsAway],Table2[GameDate], "&lt;=" &amp; $A150, Table2[AwayTeam], P$1)+SUMIFS(Table2[NewPointsHome],Table2[GameDate], "&lt;=" &amp; $A150, Table2[HomeTeam], P$1)</f>
        <v>38</v>
      </c>
      <c r="Q150" s="145">
        <f>SUMIFS(Table2[NewPointsAway],Table2[GameDate], "&lt;=" &amp; $A150, Table2[AwayTeam], Q$1)+SUMIFS(Table2[NewPointsHome],Table2[GameDate], "&lt;=" &amp; $A150, Table2[HomeTeam], Q$1)</f>
        <v>37</v>
      </c>
      <c r="R150" s="145">
        <f>SUMIFS(Table2[NewPointsAway],Table2[GameDate], "&lt;=" &amp; $A150, Table2[AwayTeam], R$1)+SUMIFS(Table2[NewPointsHome],Table2[GameDate], "&lt;=" &amp; $A150, Table2[HomeTeam], R$1)</f>
        <v>30</v>
      </c>
      <c r="S150" s="145">
        <f>SUMIFS(Table2[NewPointsAway],Table2[GameDate], "&lt;=" &amp; $A150, Table2[AwayTeam], S$1)+SUMIFS(Table2[NewPointsHome],Table2[GameDate], "&lt;=" &amp; $A150, Table2[HomeTeam], S$1)</f>
        <v>41</v>
      </c>
      <c r="T150" s="145">
        <f>SUMIFS(Table2[NewPointsAway],Table2[GameDate], "&lt;=" &amp; $A150, Table2[AwayTeam], T$1)+SUMIFS(Table2[NewPointsHome],Table2[GameDate], "&lt;=" &amp; $A150, Table2[HomeTeam], T$1)</f>
        <v>36</v>
      </c>
      <c r="U150" s="145">
        <f>SUMIFS(Table2[NewPointsAway],Table2[GameDate], "&lt;=" &amp; $A150, Table2[AwayTeam], U$1)+SUMIFS(Table2[NewPointsHome],Table2[GameDate], "&lt;=" &amp; $A150, Table2[HomeTeam], U$1)</f>
        <v>34</v>
      </c>
      <c r="V150" s="145">
        <f>SUMIFS(Table2[NewPointsAway],Table2[GameDate], "&lt;=" &amp; $A150, Table2[AwayTeam], V$1)+SUMIFS(Table2[NewPointsHome],Table2[GameDate], "&lt;=" &amp; $A150, Table2[HomeTeam], V$1)</f>
        <v>39</v>
      </c>
      <c r="W150" s="145">
        <f>SUMIFS(Table2[NewPointsAway],Table2[GameDate], "&lt;=" &amp; $A150, Table2[AwayTeam], W$1)+SUMIFS(Table2[NewPointsHome],Table2[GameDate], "&lt;=" &amp; $A150, Table2[HomeTeam], W$1)</f>
        <v>37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37</v>
      </c>
      <c r="Z150" s="145">
        <f>SUMIFS(Table2[NewPointsAway],Table2[GameDate], "&lt;=" &amp; $A150, Table2[AwayTeam], Z$1)+SUMIFS(Table2[NewPointsHome],Table2[GameDate], "&lt;=" &amp; $A150, Table2[HomeTeam], Z$1)</f>
        <v>32</v>
      </c>
      <c r="AA150" s="145">
        <f>SUMIFS(Table2[NewPointsAway],Table2[GameDate], "&lt;=" &amp; $A150, Table2[AwayTeam], AA$1)+SUMIFS(Table2[NewPointsHome],Table2[GameDate], "&lt;=" &amp; $A150, Table2[HomeTeam], AA$1)</f>
        <v>39</v>
      </c>
      <c r="AB150" s="145">
        <f>SUMIFS(Table2[NewPointsAway],Table2[GameDate], "&lt;=" &amp; $A150, Table2[AwayTeam], AB$1)+SUMIFS(Table2[NewPointsHome],Table2[GameDate], "&lt;=" &amp; $A150, Table2[HomeTeam], AB$1)</f>
        <v>35</v>
      </c>
      <c r="AC150" s="145">
        <f>SUMIFS(Table2[NewPointsAway],Table2[GameDate], "&lt;=" &amp; $A150, Table2[AwayTeam], AC$1)+SUMIFS(Table2[NewPointsHome],Table2[GameDate], "&lt;=" &amp; $A150, Table2[HomeTeam], AC$1)</f>
        <v>35</v>
      </c>
      <c r="AD150" s="145">
        <f>SUMIFS(Table2[NewPointsAway],Table2[GameDate], "&lt;=" &amp; $A150, Table2[AwayTeam], AD$1)+SUMIFS(Table2[NewPointsHome],Table2[GameDate], "&lt;=" &amp; $A150, Table2[HomeTeam], AD$1)</f>
        <v>29</v>
      </c>
      <c r="AE150" s="145">
        <f>SUMIFS(Table2[NewPointsAway],Table2[GameDate], "&lt;=" &amp; $A150, Table2[AwayTeam], AE$1)+SUMIFS(Table2[NewPointsHome],Table2[GameDate], "&lt;=" &amp; $A150, Table2[HomeTeam], AE$1)</f>
        <v>41</v>
      </c>
      <c r="AF150" s="145">
        <f>SUMIFS(Table2[NewPointsAway],Table2[GameDate], "&lt;=" &amp; $A150, Table2[AwayTeam], AF$1)+SUMIFS(Table2[NewPointsHome],Table2[GameDate], "&lt;=" &amp; $A150, Table2[HomeTeam], AF$1)</f>
        <v>32</v>
      </c>
      <c r="AG150" s="145">
        <f>SUMIFS(Table2[NewPointsAway],Table2[GameDate], "&lt;=" &amp; $A150, Table2[AwayTeam], AG$1)+SUMIFS(Table2[NewPointsHome],Table2[GameDate], "&lt;=" &amp; $A150, Table2[HomeTeam], AG$1)</f>
        <v>40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42</v>
      </c>
      <c r="C151" s="145">
        <f>SUMIFS(Table2[NewPointsAway],Table2[GameDate], "&lt;=" &amp; $A151, Table2[AwayTeam], C$1)+SUMIFS(Table2[NewPointsHome],Table2[GameDate], "&lt;=" &amp; $A151, Table2[HomeTeam], C$1)</f>
        <v>40</v>
      </c>
      <c r="D151" s="145">
        <f>SUMIFS(Table2[NewPointsAway],Table2[GameDate], "&lt;=" &amp; $A151, Table2[AwayTeam], D$1)+SUMIFS(Table2[NewPointsHome],Table2[GameDate], "&lt;=" &amp; $A151, Table2[HomeTeam], D$1)</f>
        <v>32</v>
      </c>
      <c r="E151" s="145">
        <f>SUMIFS(Table2[NewPointsAway],Table2[GameDate], "&lt;=" &amp; $A151, Table2[AwayTeam], E$1)+SUMIFS(Table2[NewPointsHome],Table2[GameDate], "&lt;=" &amp; $A151, Table2[HomeTeam], E$1)</f>
        <v>44</v>
      </c>
      <c r="F151" s="145">
        <f>SUMIFS(Table2[NewPointsAway],Table2[GameDate], "&lt;=" &amp; $A151, Table2[AwayTeam], F$1)+SUMIFS(Table2[NewPointsHome],Table2[GameDate], "&lt;=" &amp; $A151, Table2[HomeTeam], F$1)</f>
        <v>34</v>
      </c>
      <c r="G151" s="145">
        <f>SUMIFS(Table2[NewPointsAway],Table2[GameDate], "&lt;=" &amp; $A151, Table2[AwayTeam], G$1)+SUMIFS(Table2[NewPointsHome],Table2[GameDate], "&lt;=" &amp; $A151, Table2[HomeTeam], G$1)</f>
        <v>30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55</v>
      </c>
      <c r="J151" s="145">
        <f>SUMIFS(Table2[NewPointsAway],Table2[GameDate], "&lt;=" &amp; $A151, Table2[AwayTeam], J$1)+SUMIFS(Table2[NewPointsHome],Table2[GameDate], "&lt;=" &amp; $A151, Table2[HomeTeam], J$1)</f>
        <v>49</v>
      </c>
      <c r="K151" s="145">
        <f>SUMIFS(Table2[NewPointsAway],Table2[GameDate], "&lt;=" &amp; $A151, Table2[AwayTeam], K$1)+SUMIFS(Table2[NewPointsHome],Table2[GameDate], "&lt;=" &amp; $A151, Table2[HomeTeam], K$1)</f>
        <v>41</v>
      </c>
      <c r="L151" s="145">
        <f>SUMIFS(Table2[NewPointsAway],Table2[GameDate], "&lt;=" &amp; $A151, Table2[AwayTeam], L$1)+SUMIFS(Table2[NewPointsHome],Table2[GameDate], "&lt;=" &amp; $A151, Table2[HomeTeam], L$1)</f>
        <v>38</v>
      </c>
      <c r="M151" s="145">
        <f>SUMIFS(Table2[NewPointsAway],Table2[GameDate], "&lt;=" &amp; $A151, Table2[AwayTeam], M$1)+SUMIFS(Table2[NewPointsHome],Table2[GameDate], "&lt;=" &amp; $A151, Table2[HomeTeam], M$1)</f>
        <v>36</v>
      </c>
      <c r="N151" s="145">
        <f>SUMIFS(Table2[NewPointsAway],Table2[GameDate], "&lt;=" &amp; $A151, Table2[AwayTeam], N$1)+SUMIFS(Table2[NewPointsHome],Table2[GameDate], "&lt;=" &amp; $A151, Table2[HomeTeam], N$1)</f>
        <v>37</v>
      </c>
      <c r="O151" s="145">
        <f>SUMIFS(Table2[NewPointsAway],Table2[GameDate], "&lt;=" &amp; $A151, Table2[AwayTeam], O$1)+SUMIFS(Table2[NewPointsHome],Table2[GameDate], "&lt;=" &amp; $A151, Table2[HomeTeam], O$1)</f>
        <v>45</v>
      </c>
      <c r="P151" s="145">
        <f>SUMIFS(Table2[NewPointsAway],Table2[GameDate], "&lt;=" &amp; $A151, Table2[AwayTeam], P$1)+SUMIFS(Table2[NewPointsHome],Table2[GameDate], "&lt;=" &amp; $A151, Table2[HomeTeam], P$1)</f>
        <v>38</v>
      </c>
      <c r="Q151" s="145">
        <f>SUMIFS(Table2[NewPointsAway],Table2[GameDate], "&lt;=" &amp; $A151, Table2[AwayTeam], Q$1)+SUMIFS(Table2[NewPointsHome],Table2[GameDate], "&lt;=" &amp; $A151, Table2[HomeTeam], Q$1)</f>
        <v>37</v>
      </c>
      <c r="R151" s="145">
        <f>SUMIFS(Table2[NewPointsAway],Table2[GameDate], "&lt;=" &amp; $A151, Table2[AwayTeam], R$1)+SUMIFS(Table2[NewPointsHome],Table2[GameDate], "&lt;=" &amp; $A151, Table2[HomeTeam], R$1)</f>
        <v>30</v>
      </c>
      <c r="S151" s="145">
        <f>SUMIFS(Table2[NewPointsAway],Table2[GameDate], "&lt;=" &amp; $A151, Table2[AwayTeam], S$1)+SUMIFS(Table2[NewPointsHome],Table2[GameDate], "&lt;=" &amp; $A151, Table2[HomeTeam], S$1)</f>
        <v>41</v>
      </c>
      <c r="T151" s="145">
        <f>SUMIFS(Table2[NewPointsAway],Table2[GameDate], "&lt;=" &amp; $A151, Table2[AwayTeam], T$1)+SUMIFS(Table2[NewPointsHome],Table2[GameDate], "&lt;=" &amp; $A151, Table2[HomeTeam], T$1)</f>
        <v>36</v>
      </c>
      <c r="U151" s="145">
        <f>SUMIFS(Table2[NewPointsAway],Table2[GameDate], "&lt;=" &amp; $A151, Table2[AwayTeam], U$1)+SUMIFS(Table2[NewPointsHome],Table2[GameDate], "&lt;=" &amp; $A151, Table2[HomeTeam], U$1)</f>
        <v>34</v>
      </c>
      <c r="V151" s="145">
        <f>SUMIFS(Table2[NewPointsAway],Table2[GameDate], "&lt;=" &amp; $A151, Table2[AwayTeam], V$1)+SUMIFS(Table2[NewPointsHome],Table2[GameDate], "&lt;=" &amp; $A151, Table2[HomeTeam], V$1)</f>
        <v>39</v>
      </c>
      <c r="W151" s="145">
        <f>SUMIFS(Table2[NewPointsAway],Table2[GameDate], "&lt;=" &amp; $A151, Table2[AwayTeam], W$1)+SUMIFS(Table2[NewPointsHome],Table2[GameDate], "&lt;=" &amp; $A151, Table2[HomeTeam], W$1)</f>
        <v>37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37</v>
      </c>
      <c r="Z151" s="145">
        <f>SUMIFS(Table2[NewPointsAway],Table2[GameDate], "&lt;=" &amp; $A151, Table2[AwayTeam], Z$1)+SUMIFS(Table2[NewPointsHome],Table2[GameDate], "&lt;=" &amp; $A151, Table2[HomeTeam], Z$1)</f>
        <v>32</v>
      </c>
      <c r="AA151" s="145">
        <f>SUMIFS(Table2[NewPointsAway],Table2[GameDate], "&lt;=" &amp; $A151, Table2[AwayTeam], AA$1)+SUMIFS(Table2[NewPointsHome],Table2[GameDate], "&lt;=" &amp; $A151, Table2[HomeTeam], AA$1)</f>
        <v>39</v>
      </c>
      <c r="AB151" s="145">
        <f>SUMIFS(Table2[NewPointsAway],Table2[GameDate], "&lt;=" &amp; $A151, Table2[AwayTeam], AB$1)+SUMIFS(Table2[NewPointsHome],Table2[GameDate], "&lt;=" &amp; $A151, Table2[HomeTeam], AB$1)</f>
        <v>35</v>
      </c>
      <c r="AC151" s="145">
        <f>SUMIFS(Table2[NewPointsAway],Table2[GameDate], "&lt;=" &amp; $A151, Table2[AwayTeam], AC$1)+SUMIFS(Table2[NewPointsHome],Table2[GameDate], "&lt;=" &amp; $A151, Table2[HomeTeam], AC$1)</f>
        <v>35</v>
      </c>
      <c r="AD151" s="145">
        <f>SUMIFS(Table2[NewPointsAway],Table2[GameDate], "&lt;=" &amp; $A151, Table2[AwayTeam], AD$1)+SUMIFS(Table2[NewPointsHome],Table2[GameDate], "&lt;=" &amp; $A151, Table2[HomeTeam], AD$1)</f>
        <v>29</v>
      </c>
      <c r="AE151" s="145">
        <f>SUMIFS(Table2[NewPointsAway],Table2[GameDate], "&lt;=" &amp; $A151, Table2[AwayTeam], AE$1)+SUMIFS(Table2[NewPointsHome],Table2[GameDate], "&lt;=" &amp; $A151, Table2[HomeTeam], AE$1)</f>
        <v>41</v>
      </c>
      <c r="AF151" s="145">
        <f>SUMIFS(Table2[NewPointsAway],Table2[GameDate], "&lt;=" &amp; $A151, Table2[AwayTeam], AF$1)+SUMIFS(Table2[NewPointsHome],Table2[GameDate], "&lt;=" &amp; $A151, Table2[HomeTeam], AF$1)</f>
        <v>32</v>
      </c>
      <c r="AG151" s="145">
        <f>SUMIFS(Table2[NewPointsAway],Table2[GameDate], "&lt;=" &amp; $A151, Table2[AwayTeam], AG$1)+SUMIFS(Table2[NewPointsHome],Table2[GameDate], "&lt;=" &amp; $A151, Table2[HomeTeam], AG$1)</f>
        <v>40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42</v>
      </c>
      <c r="C152" s="145">
        <f>SUMIFS(Table2[NewPointsAway],Table2[GameDate], "&lt;=" &amp; $A152, Table2[AwayTeam], C$1)+SUMIFS(Table2[NewPointsHome],Table2[GameDate], "&lt;=" &amp; $A152, Table2[HomeTeam], C$1)</f>
        <v>40</v>
      </c>
      <c r="D152" s="145">
        <f>SUMIFS(Table2[NewPointsAway],Table2[GameDate], "&lt;=" &amp; $A152, Table2[AwayTeam], D$1)+SUMIFS(Table2[NewPointsHome],Table2[GameDate], "&lt;=" &amp; $A152, Table2[HomeTeam], D$1)</f>
        <v>32</v>
      </c>
      <c r="E152" s="145">
        <f>SUMIFS(Table2[NewPointsAway],Table2[GameDate], "&lt;=" &amp; $A152, Table2[AwayTeam], E$1)+SUMIFS(Table2[NewPointsHome],Table2[GameDate], "&lt;=" &amp; $A152, Table2[HomeTeam], E$1)</f>
        <v>44</v>
      </c>
      <c r="F152" s="145">
        <f>SUMIFS(Table2[NewPointsAway],Table2[GameDate], "&lt;=" &amp; $A152, Table2[AwayTeam], F$1)+SUMIFS(Table2[NewPointsHome],Table2[GameDate], "&lt;=" &amp; $A152, Table2[HomeTeam], F$1)</f>
        <v>34</v>
      </c>
      <c r="G152" s="145">
        <f>SUMIFS(Table2[NewPointsAway],Table2[GameDate], "&lt;=" &amp; $A152, Table2[AwayTeam], G$1)+SUMIFS(Table2[NewPointsHome],Table2[GameDate], "&lt;=" &amp; $A152, Table2[HomeTeam], G$1)</f>
        <v>30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55</v>
      </c>
      <c r="J152" s="145">
        <f>SUMIFS(Table2[NewPointsAway],Table2[GameDate], "&lt;=" &amp; $A152, Table2[AwayTeam], J$1)+SUMIFS(Table2[NewPointsHome],Table2[GameDate], "&lt;=" &amp; $A152, Table2[HomeTeam], J$1)</f>
        <v>49</v>
      </c>
      <c r="K152" s="145">
        <f>SUMIFS(Table2[NewPointsAway],Table2[GameDate], "&lt;=" &amp; $A152, Table2[AwayTeam], K$1)+SUMIFS(Table2[NewPointsHome],Table2[GameDate], "&lt;=" &amp; $A152, Table2[HomeTeam], K$1)</f>
        <v>41</v>
      </c>
      <c r="L152" s="145">
        <f>SUMIFS(Table2[NewPointsAway],Table2[GameDate], "&lt;=" &amp; $A152, Table2[AwayTeam], L$1)+SUMIFS(Table2[NewPointsHome],Table2[GameDate], "&lt;=" &amp; $A152, Table2[HomeTeam], L$1)</f>
        <v>38</v>
      </c>
      <c r="M152" s="145">
        <f>SUMIFS(Table2[NewPointsAway],Table2[GameDate], "&lt;=" &amp; $A152, Table2[AwayTeam], M$1)+SUMIFS(Table2[NewPointsHome],Table2[GameDate], "&lt;=" &amp; $A152, Table2[HomeTeam], M$1)</f>
        <v>36</v>
      </c>
      <c r="N152" s="145">
        <f>SUMIFS(Table2[NewPointsAway],Table2[GameDate], "&lt;=" &amp; $A152, Table2[AwayTeam], N$1)+SUMIFS(Table2[NewPointsHome],Table2[GameDate], "&lt;=" &amp; $A152, Table2[HomeTeam], N$1)</f>
        <v>37</v>
      </c>
      <c r="O152" s="145">
        <f>SUMIFS(Table2[NewPointsAway],Table2[GameDate], "&lt;=" &amp; $A152, Table2[AwayTeam], O$1)+SUMIFS(Table2[NewPointsHome],Table2[GameDate], "&lt;=" &amp; $A152, Table2[HomeTeam], O$1)</f>
        <v>45</v>
      </c>
      <c r="P152" s="145">
        <f>SUMIFS(Table2[NewPointsAway],Table2[GameDate], "&lt;=" &amp; $A152, Table2[AwayTeam], P$1)+SUMIFS(Table2[NewPointsHome],Table2[GameDate], "&lt;=" &amp; $A152, Table2[HomeTeam], P$1)</f>
        <v>38</v>
      </c>
      <c r="Q152" s="145">
        <f>SUMIFS(Table2[NewPointsAway],Table2[GameDate], "&lt;=" &amp; $A152, Table2[AwayTeam], Q$1)+SUMIFS(Table2[NewPointsHome],Table2[GameDate], "&lt;=" &amp; $A152, Table2[HomeTeam], Q$1)</f>
        <v>37</v>
      </c>
      <c r="R152" s="145">
        <f>SUMIFS(Table2[NewPointsAway],Table2[GameDate], "&lt;=" &amp; $A152, Table2[AwayTeam], R$1)+SUMIFS(Table2[NewPointsHome],Table2[GameDate], "&lt;=" &amp; $A152, Table2[HomeTeam], R$1)</f>
        <v>30</v>
      </c>
      <c r="S152" s="145">
        <f>SUMIFS(Table2[NewPointsAway],Table2[GameDate], "&lt;=" &amp; $A152, Table2[AwayTeam], S$1)+SUMIFS(Table2[NewPointsHome],Table2[GameDate], "&lt;=" &amp; $A152, Table2[HomeTeam], S$1)</f>
        <v>41</v>
      </c>
      <c r="T152" s="145">
        <f>SUMIFS(Table2[NewPointsAway],Table2[GameDate], "&lt;=" &amp; $A152, Table2[AwayTeam], T$1)+SUMIFS(Table2[NewPointsHome],Table2[GameDate], "&lt;=" &amp; $A152, Table2[HomeTeam], T$1)</f>
        <v>36</v>
      </c>
      <c r="U152" s="145">
        <f>SUMIFS(Table2[NewPointsAway],Table2[GameDate], "&lt;=" &amp; $A152, Table2[AwayTeam], U$1)+SUMIFS(Table2[NewPointsHome],Table2[GameDate], "&lt;=" &amp; $A152, Table2[HomeTeam], U$1)</f>
        <v>34</v>
      </c>
      <c r="V152" s="145">
        <f>SUMIFS(Table2[NewPointsAway],Table2[GameDate], "&lt;=" &amp; $A152, Table2[AwayTeam], V$1)+SUMIFS(Table2[NewPointsHome],Table2[GameDate], "&lt;=" &amp; $A152, Table2[HomeTeam], V$1)</f>
        <v>39</v>
      </c>
      <c r="W152" s="145">
        <f>SUMIFS(Table2[NewPointsAway],Table2[GameDate], "&lt;=" &amp; $A152, Table2[AwayTeam], W$1)+SUMIFS(Table2[NewPointsHome],Table2[GameDate], "&lt;=" &amp; $A152, Table2[HomeTeam], W$1)</f>
        <v>37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37</v>
      </c>
      <c r="Z152" s="145">
        <f>SUMIFS(Table2[NewPointsAway],Table2[GameDate], "&lt;=" &amp; $A152, Table2[AwayTeam], Z$1)+SUMIFS(Table2[NewPointsHome],Table2[GameDate], "&lt;=" &amp; $A152, Table2[HomeTeam], Z$1)</f>
        <v>32</v>
      </c>
      <c r="AA152" s="145">
        <f>SUMIFS(Table2[NewPointsAway],Table2[GameDate], "&lt;=" &amp; $A152, Table2[AwayTeam], AA$1)+SUMIFS(Table2[NewPointsHome],Table2[GameDate], "&lt;=" &amp; $A152, Table2[HomeTeam], AA$1)</f>
        <v>39</v>
      </c>
      <c r="AB152" s="145">
        <f>SUMIFS(Table2[NewPointsAway],Table2[GameDate], "&lt;=" &amp; $A152, Table2[AwayTeam], AB$1)+SUMIFS(Table2[NewPointsHome],Table2[GameDate], "&lt;=" &amp; $A152, Table2[HomeTeam], AB$1)</f>
        <v>35</v>
      </c>
      <c r="AC152" s="145">
        <f>SUMIFS(Table2[NewPointsAway],Table2[GameDate], "&lt;=" &amp; $A152, Table2[AwayTeam], AC$1)+SUMIFS(Table2[NewPointsHome],Table2[GameDate], "&lt;=" &amp; $A152, Table2[HomeTeam], AC$1)</f>
        <v>35</v>
      </c>
      <c r="AD152" s="145">
        <f>SUMIFS(Table2[NewPointsAway],Table2[GameDate], "&lt;=" &amp; $A152, Table2[AwayTeam], AD$1)+SUMIFS(Table2[NewPointsHome],Table2[GameDate], "&lt;=" &amp; $A152, Table2[HomeTeam], AD$1)</f>
        <v>29</v>
      </c>
      <c r="AE152" s="145">
        <f>SUMIFS(Table2[NewPointsAway],Table2[GameDate], "&lt;=" &amp; $A152, Table2[AwayTeam], AE$1)+SUMIFS(Table2[NewPointsHome],Table2[GameDate], "&lt;=" &amp; $A152, Table2[HomeTeam], AE$1)</f>
        <v>41</v>
      </c>
      <c r="AF152" s="145">
        <f>SUMIFS(Table2[NewPointsAway],Table2[GameDate], "&lt;=" &amp; $A152, Table2[AwayTeam], AF$1)+SUMIFS(Table2[NewPointsHome],Table2[GameDate], "&lt;=" &amp; $A152, Table2[HomeTeam], AF$1)</f>
        <v>32</v>
      </c>
      <c r="AG152" s="145">
        <f>SUMIFS(Table2[NewPointsAway],Table2[GameDate], "&lt;=" &amp; $A152, Table2[AwayTeam], AG$1)+SUMIFS(Table2[NewPointsHome],Table2[GameDate], "&lt;=" &amp; $A152, Table2[HomeTeam], AG$1)</f>
        <v>40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42</v>
      </c>
      <c r="C153" s="145">
        <f>SUMIFS(Table2[NewPointsAway],Table2[GameDate], "&lt;=" &amp; $A153, Table2[AwayTeam], C$1)+SUMIFS(Table2[NewPointsHome],Table2[GameDate], "&lt;=" &amp; $A153, Table2[HomeTeam], C$1)</f>
        <v>40</v>
      </c>
      <c r="D153" s="145">
        <f>SUMIFS(Table2[NewPointsAway],Table2[GameDate], "&lt;=" &amp; $A153, Table2[AwayTeam], D$1)+SUMIFS(Table2[NewPointsHome],Table2[GameDate], "&lt;=" &amp; $A153, Table2[HomeTeam], D$1)</f>
        <v>32</v>
      </c>
      <c r="E153" s="145">
        <f>SUMIFS(Table2[NewPointsAway],Table2[GameDate], "&lt;=" &amp; $A153, Table2[AwayTeam], E$1)+SUMIFS(Table2[NewPointsHome],Table2[GameDate], "&lt;=" &amp; $A153, Table2[HomeTeam], E$1)</f>
        <v>44</v>
      </c>
      <c r="F153" s="145">
        <f>SUMIFS(Table2[NewPointsAway],Table2[GameDate], "&lt;=" &amp; $A153, Table2[AwayTeam], F$1)+SUMIFS(Table2[NewPointsHome],Table2[GameDate], "&lt;=" &amp; $A153, Table2[HomeTeam], F$1)</f>
        <v>34</v>
      </c>
      <c r="G153" s="145">
        <f>SUMIFS(Table2[NewPointsAway],Table2[GameDate], "&lt;=" &amp; $A153, Table2[AwayTeam], G$1)+SUMIFS(Table2[NewPointsHome],Table2[GameDate], "&lt;=" &amp; $A153, Table2[HomeTeam], G$1)</f>
        <v>30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55</v>
      </c>
      <c r="J153" s="145">
        <f>SUMIFS(Table2[NewPointsAway],Table2[GameDate], "&lt;=" &amp; $A153, Table2[AwayTeam], J$1)+SUMIFS(Table2[NewPointsHome],Table2[GameDate], "&lt;=" &amp; $A153, Table2[HomeTeam], J$1)</f>
        <v>49</v>
      </c>
      <c r="K153" s="145">
        <f>SUMIFS(Table2[NewPointsAway],Table2[GameDate], "&lt;=" &amp; $A153, Table2[AwayTeam], K$1)+SUMIFS(Table2[NewPointsHome],Table2[GameDate], "&lt;=" &amp; $A153, Table2[HomeTeam], K$1)</f>
        <v>41</v>
      </c>
      <c r="L153" s="145">
        <f>SUMIFS(Table2[NewPointsAway],Table2[GameDate], "&lt;=" &amp; $A153, Table2[AwayTeam], L$1)+SUMIFS(Table2[NewPointsHome],Table2[GameDate], "&lt;=" &amp; $A153, Table2[HomeTeam], L$1)</f>
        <v>38</v>
      </c>
      <c r="M153" s="145">
        <f>SUMIFS(Table2[NewPointsAway],Table2[GameDate], "&lt;=" &amp; $A153, Table2[AwayTeam], M$1)+SUMIFS(Table2[NewPointsHome],Table2[GameDate], "&lt;=" &amp; $A153, Table2[HomeTeam], M$1)</f>
        <v>36</v>
      </c>
      <c r="N153" s="145">
        <f>SUMIFS(Table2[NewPointsAway],Table2[GameDate], "&lt;=" &amp; $A153, Table2[AwayTeam], N$1)+SUMIFS(Table2[NewPointsHome],Table2[GameDate], "&lt;=" &amp; $A153, Table2[HomeTeam], N$1)</f>
        <v>37</v>
      </c>
      <c r="O153" s="145">
        <f>SUMIFS(Table2[NewPointsAway],Table2[GameDate], "&lt;=" &amp; $A153, Table2[AwayTeam], O$1)+SUMIFS(Table2[NewPointsHome],Table2[GameDate], "&lt;=" &amp; $A153, Table2[HomeTeam], O$1)</f>
        <v>45</v>
      </c>
      <c r="P153" s="145">
        <f>SUMIFS(Table2[NewPointsAway],Table2[GameDate], "&lt;=" &amp; $A153, Table2[AwayTeam], P$1)+SUMIFS(Table2[NewPointsHome],Table2[GameDate], "&lt;=" &amp; $A153, Table2[HomeTeam], P$1)</f>
        <v>38</v>
      </c>
      <c r="Q153" s="145">
        <f>SUMIFS(Table2[NewPointsAway],Table2[GameDate], "&lt;=" &amp; $A153, Table2[AwayTeam], Q$1)+SUMIFS(Table2[NewPointsHome],Table2[GameDate], "&lt;=" &amp; $A153, Table2[HomeTeam], Q$1)</f>
        <v>37</v>
      </c>
      <c r="R153" s="145">
        <f>SUMIFS(Table2[NewPointsAway],Table2[GameDate], "&lt;=" &amp; $A153, Table2[AwayTeam], R$1)+SUMIFS(Table2[NewPointsHome],Table2[GameDate], "&lt;=" &amp; $A153, Table2[HomeTeam], R$1)</f>
        <v>30</v>
      </c>
      <c r="S153" s="145">
        <f>SUMIFS(Table2[NewPointsAway],Table2[GameDate], "&lt;=" &amp; $A153, Table2[AwayTeam], S$1)+SUMIFS(Table2[NewPointsHome],Table2[GameDate], "&lt;=" &amp; $A153, Table2[HomeTeam], S$1)</f>
        <v>41</v>
      </c>
      <c r="T153" s="145">
        <f>SUMIFS(Table2[NewPointsAway],Table2[GameDate], "&lt;=" &amp; $A153, Table2[AwayTeam], T$1)+SUMIFS(Table2[NewPointsHome],Table2[GameDate], "&lt;=" &amp; $A153, Table2[HomeTeam], T$1)</f>
        <v>36</v>
      </c>
      <c r="U153" s="145">
        <f>SUMIFS(Table2[NewPointsAway],Table2[GameDate], "&lt;=" &amp; $A153, Table2[AwayTeam], U$1)+SUMIFS(Table2[NewPointsHome],Table2[GameDate], "&lt;=" &amp; $A153, Table2[HomeTeam], U$1)</f>
        <v>34</v>
      </c>
      <c r="V153" s="145">
        <f>SUMIFS(Table2[NewPointsAway],Table2[GameDate], "&lt;=" &amp; $A153, Table2[AwayTeam], V$1)+SUMIFS(Table2[NewPointsHome],Table2[GameDate], "&lt;=" &amp; $A153, Table2[HomeTeam], V$1)</f>
        <v>39</v>
      </c>
      <c r="W153" s="145">
        <f>SUMIFS(Table2[NewPointsAway],Table2[GameDate], "&lt;=" &amp; $A153, Table2[AwayTeam], W$1)+SUMIFS(Table2[NewPointsHome],Table2[GameDate], "&lt;=" &amp; $A153, Table2[HomeTeam], W$1)</f>
        <v>37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37</v>
      </c>
      <c r="Z153" s="145">
        <f>SUMIFS(Table2[NewPointsAway],Table2[GameDate], "&lt;=" &amp; $A153, Table2[AwayTeam], Z$1)+SUMIFS(Table2[NewPointsHome],Table2[GameDate], "&lt;=" &amp; $A153, Table2[HomeTeam], Z$1)</f>
        <v>32</v>
      </c>
      <c r="AA153" s="145">
        <f>SUMIFS(Table2[NewPointsAway],Table2[GameDate], "&lt;=" &amp; $A153, Table2[AwayTeam], AA$1)+SUMIFS(Table2[NewPointsHome],Table2[GameDate], "&lt;=" &amp; $A153, Table2[HomeTeam], AA$1)</f>
        <v>39</v>
      </c>
      <c r="AB153" s="145">
        <f>SUMIFS(Table2[NewPointsAway],Table2[GameDate], "&lt;=" &amp; $A153, Table2[AwayTeam], AB$1)+SUMIFS(Table2[NewPointsHome],Table2[GameDate], "&lt;=" &amp; $A153, Table2[HomeTeam], AB$1)</f>
        <v>35</v>
      </c>
      <c r="AC153" s="145">
        <f>SUMIFS(Table2[NewPointsAway],Table2[GameDate], "&lt;=" &amp; $A153, Table2[AwayTeam], AC$1)+SUMIFS(Table2[NewPointsHome],Table2[GameDate], "&lt;=" &amp; $A153, Table2[HomeTeam], AC$1)</f>
        <v>35</v>
      </c>
      <c r="AD153" s="145">
        <f>SUMIFS(Table2[NewPointsAway],Table2[GameDate], "&lt;=" &amp; $A153, Table2[AwayTeam], AD$1)+SUMIFS(Table2[NewPointsHome],Table2[GameDate], "&lt;=" &amp; $A153, Table2[HomeTeam], AD$1)</f>
        <v>29</v>
      </c>
      <c r="AE153" s="145">
        <f>SUMIFS(Table2[NewPointsAway],Table2[GameDate], "&lt;=" &amp; $A153, Table2[AwayTeam], AE$1)+SUMIFS(Table2[NewPointsHome],Table2[GameDate], "&lt;=" &amp; $A153, Table2[HomeTeam], AE$1)</f>
        <v>41</v>
      </c>
      <c r="AF153" s="145">
        <f>SUMIFS(Table2[NewPointsAway],Table2[GameDate], "&lt;=" &amp; $A153, Table2[AwayTeam], AF$1)+SUMIFS(Table2[NewPointsHome],Table2[GameDate], "&lt;=" &amp; $A153, Table2[HomeTeam], AF$1)</f>
        <v>32</v>
      </c>
      <c r="AG153" s="145">
        <f>SUMIFS(Table2[NewPointsAway],Table2[GameDate], "&lt;=" &amp; $A153, Table2[AwayTeam], AG$1)+SUMIFS(Table2[NewPointsHome],Table2[GameDate], "&lt;=" &amp; $A153, Table2[HomeTeam], AG$1)</f>
        <v>40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42</v>
      </c>
      <c r="C154" s="145">
        <f>SUMIFS(Table2[NewPointsAway],Table2[GameDate], "&lt;=" &amp; $A154, Table2[AwayTeam], C$1)+SUMIFS(Table2[NewPointsHome],Table2[GameDate], "&lt;=" &amp; $A154, Table2[HomeTeam], C$1)</f>
        <v>40</v>
      </c>
      <c r="D154" s="145">
        <f>SUMIFS(Table2[NewPointsAway],Table2[GameDate], "&lt;=" &amp; $A154, Table2[AwayTeam], D$1)+SUMIFS(Table2[NewPointsHome],Table2[GameDate], "&lt;=" &amp; $A154, Table2[HomeTeam], D$1)</f>
        <v>32</v>
      </c>
      <c r="E154" s="145">
        <f>SUMIFS(Table2[NewPointsAway],Table2[GameDate], "&lt;=" &amp; $A154, Table2[AwayTeam], E$1)+SUMIFS(Table2[NewPointsHome],Table2[GameDate], "&lt;=" &amp; $A154, Table2[HomeTeam], E$1)</f>
        <v>44</v>
      </c>
      <c r="F154" s="145">
        <f>SUMIFS(Table2[NewPointsAway],Table2[GameDate], "&lt;=" &amp; $A154, Table2[AwayTeam], F$1)+SUMIFS(Table2[NewPointsHome],Table2[GameDate], "&lt;=" &amp; $A154, Table2[HomeTeam], F$1)</f>
        <v>34</v>
      </c>
      <c r="G154" s="145">
        <f>SUMIFS(Table2[NewPointsAway],Table2[GameDate], "&lt;=" &amp; $A154, Table2[AwayTeam], G$1)+SUMIFS(Table2[NewPointsHome],Table2[GameDate], "&lt;=" &amp; $A154, Table2[HomeTeam], G$1)</f>
        <v>30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55</v>
      </c>
      <c r="J154" s="145">
        <f>SUMIFS(Table2[NewPointsAway],Table2[GameDate], "&lt;=" &amp; $A154, Table2[AwayTeam], J$1)+SUMIFS(Table2[NewPointsHome],Table2[GameDate], "&lt;=" &amp; $A154, Table2[HomeTeam], J$1)</f>
        <v>49</v>
      </c>
      <c r="K154" s="145">
        <f>SUMIFS(Table2[NewPointsAway],Table2[GameDate], "&lt;=" &amp; $A154, Table2[AwayTeam], K$1)+SUMIFS(Table2[NewPointsHome],Table2[GameDate], "&lt;=" &amp; $A154, Table2[HomeTeam], K$1)</f>
        <v>41</v>
      </c>
      <c r="L154" s="145">
        <f>SUMIFS(Table2[NewPointsAway],Table2[GameDate], "&lt;=" &amp; $A154, Table2[AwayTeam], L$1)+SUMIFS(Table2[NewPointsHome],Table2[GameDate], "&lt;=" &amp; $A154, Table2[HomeTeam], L$1)</f>
        <v>38</v>
      </c>
      <c r="M154" s="145">
        <f>SUMIFS(Table2[NewPointsAway],Table2[GameDate], "&lt;=" &amp; $A154, Table2[AwayTeam], M$1)+SUMIFS(Table2[NewPointsHome],Table2[GameDate], "&lt;=" &amp; $A154, Table2[HomeTeam], M$1)</f>
        <v>36</v>
      </c>
      <c r="N154" s="145">
        <f>SUMIFS(Table2[NewPointsAway],Table2[GameDate], "&lt;=" &amp; $A154, Table2[AwayTeam], N$1)+SUMIFS(Table2[NewPointsHome],Table2[GameDate], "&lt;=" &amp; $A154, Table2[HomeTeam], N$1)</f>
        <v>37</v>
      </c>
      <c r="O154" s="145">
        <f>SUMIFS(Table2[NewPointsAway],Table2[GameDate], "&lt;=" &amp; $A154, Table2[AwayTeam], O$1)+SUMIFS(Table2[NewPointsHome],Table2[GameDate], "&lt;=" &amp; $A154, Table2[HomeTeam], O$1)</f>
        <v>45</v>
      </c>
      <c r="P154" s="145">
        <f>SUMIFS(Table2[NewPointsAway],Table2[GameDate], "&lt;=" &amp; $A154, Table2[AwayTeam], P$1)+SUMIFS(Table2[NewPointsHome],Table2[GameDate], "&lt;=" &amp; $A154, Table2[HomeTeam], P$1)</f>
        <v>38</v>
      </c>
      <c r="Q154" s="145">
        <f>SUMIFS(Table2[NewPointsAway],Table2[GameDate], "&lt;=" &amp; $A154, Table2[AwayTeam], Q$1)+SUMIFS(Table2[NewPointsHome],Table2[GameDate], "&lt;=" &amp; $A154, Table2[HomeTeam], Q$1)</f>
        <v>37</v>
      </c>
      <c r="R154" s="145">
        <f>SUMIFS(Table2[NewPointsAway],Table2[GameDate], "&lt;=" &amp; $A154, Table2[AwayTeam], R$1)+SUMIFS(Table2[NewPointsHome],Table2[GameDate], "&lt;=" &amp; $A154, Table2[HomeTeam], R$1)</f>
        <v>30</v>
      </c>
      <c r="S154" s="145">
        <f>SUMIFS(Table2[NewPointsAway],Table2[GameDate], "&lt;=" &amp; $A154, Table2[AwayTeam], S$1)+SUMIFS(Table2[NewPointsHome],Table2[GameDate], "&lt;=" &amp; $A154, Table2[HomeTeam], S$1)</f>
        <v>41</v>
      </c>
      <c r="T154" s="145">
        <f>SUMIFS(Table2[NewPointsAway],Table2[GameDate], "&lt;=" &amp; $A154, Table2[AwayTeam], T$1)+SUMIFS(Table2[NewPointsHome],Table2[GameDate], "&lt;=" &amp; $A154, Table2[HomeTeam], T$1)</f>
        <v>36</v>
      </c>
      <c r="U154" s="145">
        <f>SUMIFS(Table2[NewPointsAway],Table2[GameDate], "&lt;=" &amp; $A154, Table2[AwayTeam], U$1)+SUMIFS(Table2[NewPointsHome],Table2[GameDate], "&lt;=" &amp; $A154, Table2[HomeTeam], U$1)</f>
        <v>34</v>
      </c>
      <c r="V154" s="145">
        <f>SUMIFS(Table2[NewPointsAway],Table2[GameDate], "&lt;=" &amp; $A154, Table2[AwayTeam], V$1)+SUMIFS(Table2[NewPointsHome],Table2[GameDate], "&lt;=" &amp; $A154, Table2[HomeTeam], V$1)</f>
        <v>39</v>
      </c>
      <c r="W154" s="145">
        <f>SUMIFS(Table2[NewPointsAway],Table2[GameDate], "&lt;=" &amp; $A154, Table2[AwayTeam], W$1)+SUMIFS(Table2[NewPointsHome],Table2[GameDate], "&lt;=" &amp; $A154, Table2[HomeTeam], W$1)</f>
        <v>37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37</v>
      </c>
      <c r="Z154" s="145">
        <f>SUMIFS(Table2[NewPointsAway],Table2[GameDate], "&lt;=" &amp; $A154, Table2[AwayTeam], Z$1)+SUMIFS(Table2[NewPointsHome],Table2[GameDate], "&lt;=" &amp; $A154, Table2[HomeTeam], Z$1)</f>
        <v>32</v>
      </c>
      <c r="AA154" s="145">
        <f>SUMIFS(Table2[NewPointsAway],Table2[GameDate], "&lt;=" &amp; $A154, Table2[AwayTeam], AA$1)+SUMIFS(Table2[NewPointsHome],Table2[GameDate], "&lt;=" &amp; $A154, Table2[HomeTeam], AA$1)</f>
        <v>39</v>
      </c>
      <c r="AB154" s="145">
        <f>SUMIFS(Table2[NewPointsAway],Table2[GameDate], "&lt;=" &amp; $A154, Table2[AwayTeam], AB$1)+SUMIFS(Table2[NewPointsHome],Table2[GameDate], "&lt;=" &amp; $A154, Table2[HomeTeam], AB$1)</f>
        <v>35</v>
      </c>
      <c r="AC154" s="145">
        <f>SUMIFS(Table2[NewPointsAway],Table2[GameDate], "&lt;=" &amp; $A154, Table2[AwayTeam], AC$1)+SUMIFS(Table2[NewPointsHome],Table2[GameDate], "&lt;=" &amp; $A154, Table2[HomeTeam], AC$1)</f>
        <v>35</v>
      </c>
      <c r="AD154" s="145">
        <f>SUMIFS(Table2[NewPointsAway],Table2[GameDate], "&lt;=" &amp; $A154, Table2[AwayTeam], AD$1)+SUMIFS(Table2[NewPointsHome],Table2[GameDate], "&lt;=" &amp; $A154, Table2[HomeTeam], AD$1)</f>
        <v>29</v>
      </c>
      <c r="AE154" s="145">
        <f>SUMIFS(Table2[NewPointsAway],Table2[GameDate], "&lt;=" &amp; $A154, Table2[AwayTeam], AE$1)+SUMIFS(Table2[NewPointsHome],Table2[GameDate], "&lt;=" &amp; $A154, Table2[HomeTeam], AE$1)</f>
        <v>41</v>
      </c>
      <c r="AF154" s="145">
        <f>SUMIFS(Table2[NewPointsAway],Table2[GameDate], "&lt;=" &amp; $A154, Table2[AwayTeam], AF$1)+SUMIFS(Table2[NewPointsHome],Table2[GameDate], "&lt;=" &amp; $A154, Table2[HomeTeam], AF$1)</f>
        <v>32</v>
      </c>
      <c r="AG154" s="145">
        <f>SUMIFS(Table2[NewPointsAway],Table2[GameDate], "&lt;=" &amp; $A154, Table2[AwayTeam], AG$1)+SUMIFS(Table2[NewPointsHome],Table2[GameDate], "&lt;=" &amp; $A154, Table2[HomeTeam], AG$1)</f>
        <v>40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42</v>
      </c>
      <c r="C155" s="145">
        <f>SUMIFS(Table2[NewPointsAway],Table2[GameDate], "&lt;=" &amp; $A155, Table2[AwayTeam], C$1)+SUMIFS(Table2[NewPointsHome],Table2[GameDate], "&lt;=" &amp; $A155, Table2[HomeTeam], C$1)</f>
        <v>40</v>
      </c>
      <c r="D155" s="145">
        <f>SUMIFS(Table2[NewPointsAway],Table2[GameDate], "&lt;=" &amp; $A155, Table2[AwayTeam], D$1)+SUMIFS(Table2[NewPointsHome],Table2[GameDate], "&lt;=" &amp; $A155, Table2[HomeTeam], D$1)</f>
        <v>32</v>
      </c>
      <c r="E155" s="145">
        <f>SUMIFS(Table2[NewPointsAway],Table2[GameDate], "&lt;=" &amp; $A155, Table2[AwayTeam], E$1)+SUMIFS(Table2[NewPointsHome],Table2[GameDate], "&lt;=" &amp; $A155, Table2[HomeTeam], E$1)</f>
        <v>44</v>
      </c>
      <c r="F155" s="145">
        <f>SUMIFS(Table2[NewPointsAway],Table2[GameDate], "&lt;=" &amp; $A155, Table2[AwayTeam], F$1)+SUMIFS(Table2[NewPointsHome],Table2[GameDate], "&lt;=" &amp; $A155, Table2[HomeTeam], F$1)</f>
        <v>34</v>
      </c>
      <c r="G155" s="145">
        <f>SUMIFS(Table2[NewPointsAway],Table2[GameDate], "&lt;=" &amp; $A155, Table2[AwayTeam], G$1)+SUMIFS(Table2[NewPointsHome],Table2[GameDate], "&lt;=" &amp; $A155, Table2[HomeTeam], G$1)</f>
        <v>30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55</v>
      </c>
      <c r="J155" s="145">
        <f>SUMIFS(Table2[NewPointsAway],Table2[GameDate], "&lt;=" &amp; $A155, Table2[AwayTeam], J$1)+SUMIFS(Table2[NewPointsHome],Table2[GameDate], "&lt;=" &amp; $A155, Table2[HomeTeam], J$1)</f>
        <v>49</v>
      </c>
      <c r="K155" s="145">
        <f>SUMIFS(Table2[NewPointsAway],Table2[GameDate], "&lt;=" &amp; $A155, Table2[AwayTeam], K$1)+SUMIFS(Table2[NewPointsHome],Table2[GameDate], "&lt;=" &amp; $A155, Table2[HomeTeam], K$1)</f>
        <v>41</v>
      </c>
      <c r="L155" s="145">
        <f>SUMIFS(Table2[NewPointsAway],Table2[GameDate], "&lt;=" &amp; $A155, Table2[AwayTeam], L$1)+SUMIFS(Table2[NewPointsHome],Table2[GameDate], "&lt;=" &amp; $A155, Table2[HomeTeam], L$1)</f>
        <v>38</v>
      </c>
      <c r="M155" s="145">
        <f>SUMIFS(Table2[NewPointsAway],Table2[GameDate], "&lt;=" &amp; $A155, Table2[AwayTeam], M$1)+SUMIFS(Table2[NewPointsHome],Table2[GameDate], "&lt;=" &amp; $A155, Table2[HomeTeam], M$1)</f>
        <v>36</v>
      </c>
      <c r="N155" s="145">
        <f>SUMIFS(Table2[NewPointsAway],Table2[GameDate], "&lt;=" &amp; $A155, Table2[AwayTeam], N$1)+SUMIFS(Table2[NewPointsHome],Table2[GameDate], "&lt;=" &amp; $A155, Table2[HomeTeam], N$1)</f>
        <v>37</v>
      </c>
      <c r="O155" s="145">
        <f>SUMIFS(Table2[NewPointsAway],Table2[GameDate], "&lt;=" &amp; $A155, Table2[AwayTeam], O$1)+SUMIFS(Table2[NewPointsHome],Table2[GameDate], "&lt;=" &amp; $A155, Table2[HomeTeam], O$1)</f>
        <v>45</v>
      </c>
      <c r="P155" s="145">
        <f>SUMIFS(Table2[NewPointsAway],Table2[GameDate], "&lt;=" &amp; $A155, Table2[AwayTeam], P$1)+SUMIFS(Table2[NewPointsHome],Table2[GameDate], "&lt;=" &amp; $A155, Table2[HomeTeam], P$1)</f>
        <v>38</v>
      </c>
      <c r="Q155" s="145">
        <f>SUMIFS(Table2[NewPointsAway],Table2[GameDate], "&lt;=" &amp; $A155, Table2[AwayTeam], Q$1)+SUMIFS(Table2[NewPointsHome],Table2[GameDate], "&lt;=" &amp; $A155, Table2[HomeTeam], Q$1)</f>
        <v>37</v>
      </c>
      <c r="R155" s="145">
        <f>SUMIFS(Table2[NewPointsAway],Table2[GameDate], "&lt;=" &amp; $A155, Table2[AwayTeam], R$1)+SUMIFS(Table2[NewPointsHome],Table2[GameDate], "&lt;=" &amp; $A155, Table2[HomeTeam], R$1)</f>
        <v>30</v>
      </c>
      <c r="S155" s="145">
        <f>SUMIFS(Table2[NewPointsAway],Table2[GameDate], "&lt;=" &amp; $A155, Table2[AwayTeam], S$1)+SUMIFS(Table2[NewPointsHome],Table2[GameDate], "&lt;=" &amp; $A155, Table2[HomeTeam], S$1)</f>
        <v>41</v>
      </c>
      <c r="T155" s="145">
        <f>SUMIFS(Table2[NewPointsAway],Table2[GameDate], "&lt;=" &amp; $A155, Table2[AwayTeam], T$1)+SUMIFS(Table2[NewPointsHome],Table2[GameDate], "&lt;=" &amp; $A155, Table2[HomeTeam], T$1)</f>
        <v>36</v>
      </c>
      <c r="U155" s="145">
        <f>SUMIFS(Table2[NewPointsAway],Table2[GameDate], "&lt;=" &amp; $A155, Table2[AwayTeam], U$1)+SUMIFS(Table2[NewPointsHome],Table2[GameDate], "&lt;=" &amp; $A155, Table2[HomeTeam], U$1)</f>
        <v>34</v>
      </c>
      <c r="V155" s="145">
        <f>SUMIFS(Table2[NewPointsAway],Table2[GameDate], "&lt;=" &amp; $A155, Table2[AwayTeam], V$1)+SUMIFS(Table2[NewPointsHome],Table2[GameDate], "&lt;=" &amp; $A155, Table2[HomeTeam], V$1)</f>
        <v>39</v>
      </c>
      <c r="W155" s="145">
        <f>SUMIFS(Table2[NewPointsAway],Table2[GameDate], "&lt;=" &amp; $A155, Table2[AwayTeam], W$1)+SUMIFS(Table2[NewPointsHome],Table2[GameDate], "&lt;=" &amp; $A155, Table2[HomeTeam], W$1)</f>
        <v>37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37</v>
      </c>
      <c r="Z155" s="145">
        <f>SUMIFS(Table2[NewPointsAway],Table2[GameDate], "&lt;=" &amp; $A155, Table2[AwayTeam], Z$1)+SUMIFS(Table2[NewPointsHome],Table2[GameDate], "&lt;=" &amp; $A155, Table2[HomeTeam], Z$1)</f>
        <v>32</v>
      </c>
      <c r="AA155" s="145">
        <f>SUMIFS(Table2[NewPointsAway],Table2[GameDate], "&lt;=" &amp; $A155, Table2[AwayTeam], AA$1)+SUMIFS(Table2[NewPointsHome],Table2[GameDate], "&lt;=" &amp; $A155, Table2[HomeTeam], AA$1)</f>
        <v>39</v>
      </c>
      <c r="AB155" s="145">
        <f>SUMIFS(Table2[NewPointsAway],Table2[GameDate], "&lt;=" &amp; $A155, Table2[AwayTeam], AB$1)+SUMIFS(Table2[NewPointsHome],Table2[GameDate], "&lt;=" &amp; $A155, Table2[HomeTeam], AB$1)</f>
        <v>35</v>
      </c>
      <c r="AC155" s="145">
        <f>SUMIFS(Table2[NewPointsAway],Table2[GameDate], "&lt;=" &amp; $A155, Table2[AwayTeam], AC$1)+SUMIFS(Table2[NewPointsHome],Table2[GameDate], "&lt;=" &amp; $A155, Table2[HomeTeam], AC$1)</f>
        <v>35</v>
      </c>
      <c r="AD155" s="145">
        <f>SUMIFS(Table2[NewPointsAway],Table2[GameDate], "&lt;=" &amp; $A155, Table2[AwayTeam], AD$1)+SUMIFS(Table2[NewPointsHome],Table2[GameDate], "&lt;=" &amp; $A155, Table2[HomeTeam], AD$1)</f>
        <v>29</v>
      </c>
      <c r="AE155" s="145">
        <f>SUMIFS(Table2[NewPointsAway],Table2[GameDate], "&lt;=" &amp; $A155, Table2[AwayTeam], AE$1)+SUMIFS(Table2[NewPointsHome],Table2[GameDate], "&lt;=" &amp; $A155, Table2[HomeTeam], AE$1)</f>
        <v>41</v>
      </c>
      <c r="AF155" s="145">
        <f>SUMIFS(Table2[NewPointsAway],Table2[GameDate], "&lt;=" &amp; $A155, Table2[AwayTeam], AF$1)+SUMIFS(Table2[NewPointsHome],Table2[GameDate], "&lt;=" &amp; $A155, Table2[HomeTeam], AF$1)</f>
        <v>32</v>
      </c>
      <c r="AG155" s="145">
        <f>SUMIFS(Table2[NewPointsAway],Table2[GameDate], "&lt;=" &amp; $A155, Table2[AwayTeam], AG$1)+SUMIFS(Table2[NewPointsHome],Table2[GameDate], "&lt;=" &amp; $A155, Table2[HomeTeam], AG$1)</f>
        <v>40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42</v>
      </c>
      <c r="C156" s="145">
        <f>SUMIFS(Table2[NewPointsAway],Table2[GameDate], "&lt;=" &amp; $A156, Table2[AwayTeam], C$1)+SUMIFS(Table2[NewPointsHome],Table2[GameDate], "&lt;=" &amp; $A156, Table2[HomeTeam], C$1)</f>
        <v>40</v>
      </c>
      <c r="D156" s="145">
        <f>SUMIFS(Table2[NewPointsAway],Table2[GameDate], "&lt;=" &amp; $A156, Table2[AwayTeam], D$1)+SUMIFS(Table2[NewPointsHome],Table2[GameDate], "&lt;=" &amp; $A156, Table2[HomeTeam], D$1)</f>
        <v>32</v>
      </c>
      <c r="E156" s="145">
        <f>SUMIFS(Table2[NewPointsAway],Table2[GameDate], "&lt;=" &amp; $A156, Table2[AwayTeam], E$1)+SUMIFS(Table2[NewPointsHome],Table2[GameDate], "&lt;=" &amp; $A156, Table2[HomeTeam], E$1)</f>
        <v>44</v>
      </c>
      <c r="F156" s="145">
        <f>SUMIFS(Table2[NewPointsAway],Table2[GameDate], "&lt;=" &amp; $A156, Table2[AwayTeam], F$1)+SUMIFS(Table2[NewPointsHome],Table2[GameDate], "&lt;=" &amp; $A156, Table2[HomeTeam], F$1)</f>
        <v>34</v>
      </c>
      <c r="G156" s="145">
        <f>SUMIFS(Table2[NewPointsAway],Table2[GameDate], "&lt;=" &amp; $A156, Table2[AwayTeam], G$1)+SUMIFS(Table2[NewPointsHome],Table2[GameDate], "&lt;=" &amp; $A156, Table2[HomeTeam], G$1)</f>
        <v>30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55</v>
      </c>
      <c r="J156" s="145">
        <f>SUMIFS(Table2[NewPointsAway],Table2[GameDate], "&lt;=" &amp; $A156, Table2[AwayTeam], J$1)+SUMIFS(Table2[NewPointsHome],Table2[GameDate], "&lt;=" &amp; $A156, Table2[HomeTeam], J$1)</f>
        <v>49</v>
      </c>
      <c r="K156" s="145">
        <f>SUMIFS(Table2[NewPointsAway],Table2[GameDate], "&lt;=" &amp; $A156, Table2[AwayTeam], K$1)+SUMIFS(Table2[NewPointsHome],Table2[GameDate], "&lt;=" &amp; $A156, Table2[HomeTeam], K$1)</f>
        <v>41</v>
      </c>
      <c r="L156" s="145">
        <f>SUMIFS(Table2[NewPointsAway],Table2[GameDate], "&lt;=" &amp; $A156, Table2[AwayTeam], L$1)+SUMIFS(Table2[NewPointsHome],Table2[GameDate], "&lt;=" &amp; $A156, Table2[HomeTeam], L$1)</f>
        <v>38</v>
      </c>
      <c r="M156" s="145">
        <f>SUMIFS(Table2[NewPointsAway],Table2[GameDate], "&lt;=" &amp; $A156, Table2[AwayTeam], M$1)+SUMIFS(Table2[NewPointsHome],Table2[GameDate], "&lt;=" &amp; $A156, Table2[HomeTeam], M$1)</f>
        <v>36</v>
      </c>
      <c r="N156" s="145">
        <f>SUMIFS(Table2[NewPointsAway],Table2[GameDate], "&lt;=" &amp; $A156, Table2[AwayTeam], N$1)+SUMIFS(Table2[NewPointsHome],Table2[GameDate], "&lt;=" &amp; $A156, Table2[HomeTeam], N$1)</f>
        <v>37</v>
      </c>
      <c r="O156" s="145">
        <f>SUMIFS(Table2[NewPointsAway],Table2[GameDate], "&lt;=" &amp; $A156, Table2[AwayTeam], O$1)+SUMIFS(Table2[NewPointsHome],Table2[GameDate], "&lt;=" &amp; $A156, Table2[HomeTeam], O$1)</f>
        <v>45</v>
      </c>
      <c r="P156" s="145">
        <f>SUMIFS(Table2[NewPointsAway],Table2[GameDate], "&lt;=" &amp; $A156, Table2[AwayTeam], P$1)+SUMIFS(Table2[NewPointsHome],Table2[GameDate], "&lt;=" &amp; $A156, Table2[HomeTeam], P$1)</f>
        <v>38</v>
      </c>
      <c r="Q156" s="145">
        <f>SUMIFS(Table2[NewPointsAway],Table2[GameDate], "&lt;=" &amp; $A156, Table2[AwayTeam], Q$1)+SUMIFS(Table2[NewPointsHome],Table2[GameDate], "&lt;=" &amp; $A156, Table2[HomeTeam], Q$1)</f>
        <v>37</v>
      </c>
      <c r="R156" s="145">
        <f>SUMIFS(Table2[NewPointsAway],Table2[GameDate], "&lt;=" &amp; $A156, Table2[AwayTeam], R$1)+SUMIFS(Table2[NewPointsHome],Table2[GameDate], "&lt;=" &amp; $A156, Table2[HomeTeam], R$1)</f>
        <v>30</v>
      </c>
      <c r="S156" s="145">
        <f>SUMIFS(Table2[NewPointsAway],Table2[GameDate], "&lt;=" &amp; $A156, Table2[AwayTeam], S$1)+SUMIFS(Table2[NewPointsHome],Table2[GameDate], "&lt;=" &amp; $A156, Table2[HomeTeam], S$1)</f>
        <v>41</v>
      </c>
      <c r="T156" s="145">
        <f>SUMIFS(Table2[NewPointsAway],Table2[GameDate], "&lt;=" &amp; $A156, Table2[AwayTeam], T$1)+SUMIFS(Table2[NewPointsHome],Table2[GameDate], "&lt;=" &amp; $A156, Table2[HomeTeam], T$1)</f>
        <v>36</v>
      </c>
      <c r="U156" s="145">
        <f>SUMIFS(Table2[NewPointsAway],Table2[GameDate], "&lt;=" &amp; $A156, Table2[AwayTeam], U$1)+SUMIFS(Table2[NewPointsHome],Table2[GameDate], "&lt;=" &amp; $A156, Table2[HomeTeam], U$1)</f>
        <v>34</v>
      </c>
      <c r="V156" s="145">
        <f>SUMIFS(Table2[NewPointsAway],Table2[GameDate], "&lt;=" &amp; $A156, Table2[AwayTeam], V$1)+SUMIFS(Table2[NewPointsHome],Table2[GameDate], "&lt;=" &amp; $A156, Table2[HomeTeam], V$1)</f>
        <v>39</v>
      </c>
      <c r="W156" s="145">
        <f>SUMIFS(Table2[NewPointsAway],Table2[GameDate], "&lt;=" &amp; $A156, Table2[AwayTeam], W$1)+SUMIFS(Table2[NewPointsHome],Table2[GameDate], "&lt;=" &amp; $A156, Table2[HomeTeam], W$1)</f>
        <v>37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37</v>
      </c>
      <c r="Z156" s="145">
        <f>SUMIFS(Table2[NewPointsAway],Table2[GameDate], "&lt;=" &amp; $A156, Table2[AwayTeam], Z$1)+SUMIFS(Table2[NewPointsHome],Table2[GameDate], "&lt;=" &amp; $A156, Table2[HomeTeam], Z$1)</f>
        <v>32</v>
      </c>
      <c r="AA156" s="145">
        <f>SUMIFS(Table2[NewPointsAway],Table2[GameDate], "&lt;=" &amp; $A156, Table2[AwayTeam], AA$1)+SUMIFS(Table2[NewPointsHome],Table2[GameDate], "&lt;=" &amp; $A156, Table2[HomeTeam], AA$1)</f>
        <v>39</v>
      </c>
      <c r="AB156" s="145">
        <f>SUMIFS(Table2[NewPointsAway],Table2[GameDate], "&lt;=" &amp; $A156, Table2[AwayTeam], AB$1)+SUMIFS(Table2[NewPointsHome],Table2[GameDate], "&lt;=" &amp; $A156, Table2[HomeTeam], AB$1)</f>
        <v>35</v>
      </c>
      <c r="AC156" s="145">
        <f>SUMIFS(Table2[NewPointsAway],Table2[GameDate], "&lt;=" &amp; $A156, Table2[AwayTeam], AC$1)+SUMIFS(Table2[NewPointsHome],Table2[GameDate], "&lt;=" &amp; $A156, Table2[HomeTeam], AC$1)</f>
        <v>35</v>
      </c>
      <c r="AD156" s="145">
        <f>SUMIFS(Table2[NewPointsAway],Table2[GameDate], "&lt;=" &amp; $A156, Table2[AwayTeam], AD$1)+SUMIFS(Table2[NewPointsHome],Table2[GameDate], "&lt;=" &amp; $A156, Table2[HomeTeam], AD$1)</f>
        <v>29</v>
      </c>
      <c r="AE156" s="145">
        <f>SUMIFS(Table2[NewPointsAway],Table2[GameDate], "&lt;=" &amp; $A156, Table2[AwayTeam], AE$1)+SUMIFS(Table2[NewPointsHome],Table2[GameDate], "&lt;=" &amp; $A156, Table2[HomeTeam], AE$1)</f>
        <v>41</v>
      </c>
      <c r="AF156" s="145">
        <f>SUMIFS(Table2[NewPointsAway],Table2[GameDate], "&lt;=" &amp; $A156, Table2[AwayTeam], AF$1)+SUMIFS(Table2[NewPointsHome],Table2[GameDate], "&lt;=" &amp; $A156, Table2[HomeTeam], AF$1)</f>
        <v>32</v>
      </c>
      <c r="AG156" s="145">
        <f>SUMIFS(Table2[NewPointsAway],Table2[GameDate], "&lt;=" &amp; $A156, Table2[AwayTeam], AG$1)+SUMIFS(Table2[NewPointsHome],Table2[GameDate], "&lt;=" &amp; $A156, Table2[HomeTeam], AG$1)</f>
        <v>40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42</v>
      </c>
      <c r="C157" s="145">
        <f>SUMIFS(Table2[NewPointsAway],Table2[GameDate], "&lt;=" &amp; $A157, Table2[AwayTeam], C$1)+SUMIFS(Table2[NewPointsHome],Table2[GameDate], "&lt;=" &amp; $A157, Table2[HomeTeam], C$1)</f>
        <v>40</v>
      </c>
      <c r="D157" s="145">
        <f>SUMIFS(Table2[NewPointsAway],Table2[GameDate], "&lt;=" &amp; $A157, Table2[AwayTeam], D$1)+SUMIFS(Table2[NewPointsHome],Table2[GameDate], "&lt;=" &amp; $A157, Table2[HomeTeam], D$1)</f>
        <v>32</v>
      </c>
      <c r="E157" s="145">
        <f>SUMIFS(Table2[NewPointsAway],Table2[GameDate], "&lt;=" &amp; $A157, Table2[AwayTeam], E$1)+SUMIFS(Table2[NewPointsHome],Table2[GameDate], "&lt;=" &amp; $A157, Table2[HomeTeam], E$1)</f>
        <v>44</v>
      </c>
      <c r="F157" s="145">
        <f>SUMIFS(Table2[NewPointsAway],Table2[GameDate], "&lt;=" &amp; $A157, Table2[AwayTeam], F$1)+SUMIFS(Table2[NewPointsHome],Table2[GameDate], "&lt;=" &amp; $A157, Table2[HomeTeam], F$1)</f>
        <v>34</v>
      </c>
      <c r="G157" s="145">
        <f>SUMIFS(Table2[NewPointsAway],Table2[GameDate], "&lt;=" &amp; $A157, Table2[AwayTeam], G$1)+SUMIFS(Table2[NewPointsHome],Table2[GameDate], "&lt;=" &amp; $A157, Table2[HomeTeam], G$1)</f>
        <v>30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55</v>
      </c>
      <c r="J157" s="145">
        <f>SUMIFS(Table2[NewPointsAway],Table2[GameDate], "&lt;=" &amp; $A157, Table2[AwayTeam], J$1)+SUMIFS(Table2[NewPointsHome],Table2[GameDate], "&lt;=" &amp; $A157, Table2[HomeTeam], J$1)</f>
        <v>49</v>
      </c>
      <c r="K157" s="145">
        <f>SUMIFS(Table2[NewPointsAway],Table2[GameDate], "&lt;=" &amp; $A157, Table2[AwayTeam], K$1)+SUMIFS(Table2[NewPointsHome],Table2[GameDate], "&lt;=" &amp; $A157, Table2[HomeTeam], K$1)</f>
        <v>41</v>
      </c>
      <c r="L157" s="145">
        <f>SUMIFS(Table2[NewPointsAway],Table2[GameDate], "&lt;=" &amp; $A157, Table2[AwayTeam], L$1)+SUMIFS(Table2[NewPointsHome],Table2[GameDate], "&lt;=" &amp; $A157, Table2[HomeTeam], L$1)</f>
        <v>38</v>
      </c>
      <c r="M157" s="145">
        <f>SUMIFS(Table2[NewPointsAway],Table2[GameDate], "&lt;=" &amp; $A157, Table2[AwayTeam], M$1)+SUMIFS(Table2[NewPointsHome],Table2[GameDate], "&lt;=" &amp; $A157, Table2[HomeTeam], M$1)</f>
        <v>36</v>
      </c>
      <c r="N157" s="145">
        <f>SUMIFS(Table2[NewPointsAway],Table2[GameDate], "&lt;=" &amp; $A157, Table2[AwayTeam], N$1)+SUMIFS(Table2[NewPointsHome],Table2[GameDate], "&lt;=" &amp; $A157, Table2[HomeTeam], N$1)</f>
        <v>37</v>
      </c>
      <c r="O157" s="145">
        <f>SUMIFS(Table2[NewPointsAway],Table2[GameDate], "&lt;=" &amp; $A157, Table2[AwayTeam], O$1)+SUMIFS(Table2[NewPointsHome],Table2[GameDate], "&lt;=" &amp; $A157, Table2[HomeTeam], O$1)</f>
        <v>45</v>
      </c>
      <c r="P157" s="145">
        <f>SUMIFS(Table2[NewPointsAway],Table2[GameDate], "&lt;=" &amp; $A157, Table2[AwayTeam], P$1)+SUMIFS(Table2[NewPointsHome],Table2[GameDate], "&lt;=" &amp; $A157, Table2[HomeTeam], P$1)</f>
        <v>38</v>
      </c>
      <c r="Q157" s="145">
        <f>SUMIFS(Table2[NewPointsAway],Table2[GameDate], "&lt;=" &amp; $A157, Table2[AwayTeam], Q$1)+SUMIFS(Table2[NewPointsHome],Table2[GameDate], "&lt;=" &amp; $A157, Table2[HomeTeam], Q$1)</f>
        <v>37</v>
      </c>
      <c r="R157" s="145">
        <f>SUMIFS(Table2[NewPointsAway],Table2[GameDate], "&lt;=" &amp; $A157, Table2[AwayTeam], R$1)+SUMIFS(Table2[NewPointsHome],Table2[GameDate], "&lt;=" &amp; $A157, Table2[HomeTeam], R$1)</f>
        <v>30</v>
      </c>
      <c r="S157" s="145">
        <f>SUMIFS(Table2[NewPointsAway],Table2[GameDate], "&lt;=" &amp; $A157, Table2[AwayTeam], S$1)+SUMIFS(Table2[NewPointsHome],Table2[GameDate], "&lt;=" &amp; $A157, Table2[HomeTeam], S$1)</f>
        <v>41</v>
      </c>
      <c r="T157" s="145">
        <f>SUMIFS(Table2[NewPointsAway],Table2[GameDate], "&lt;=" &amp; $A157, Table2[AwayTeam], T$1)+SUMIFS(Table2[NewPointsHome],Table2[GameDate], "&lt;=" &amp; $A157, Table2[HomeTeam], T$1)</f>
        <v>36</v>
      </c>
      <c r="U157" s="145">
        <f>SUMIFS(Table2[NewPointsAway],Table2[GameDate], "&lt;=" &amp; $A157, Table2[AwayTeam], U$1)+SUMIFS(Table2[NewPointsHome],Table2[GameDate], "&lt;=" &amp; $A157, Table2[HomeTeam], U$1)</f>
        <v>34</v>
      </c>
      <c r="V157" s="145">
        <f>SUMIFS(Table2[NewPointsAway],Table2[GameDate], "&lt;=" &amp; $A157, Table2[AwayTeam], V$1)+SUMIFS(Table2[NewPointsHome],Table2[GameDate], "&lt;=" &amp; $A157, Table2[HomeTeam], V$1)</f>
        <v>39</v>
      </c>
      <c r="W157" s="145">
        <f>SUMIFS(Table2[NewPointsAway],Table2[GameDate], "&lt;=" &amp; $A157, Table2[AwayTeam], W$1)+SUMIFS(Table2[NewPointsHome],Table2[GameDate], "&lt;=" &amp; $A157, Table2[HomeTeam], W$1)</f>
        <v>37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37</v>
      </c>
      <c r="Z157" s="145">
        <f>SUMIFS(Table2[NewPointsAway],Table2[GameDate], "&lt;=" &amp; $A157, Table2[AwayTeam], Z$1)+SUMIFS(Table2[NewPointsHome],Table2[GameDate], "&lt;=" &amp; $A157, Table2[HomeTeam], Z$1)</f>
        <v>32</v>
      </c>
      <c r="AA157" s="145">
        <f>SUMIFS(Table2[NewPointsAway],Table2[GameDate], "&lt;=" &amp; $A157, Table2[AwayTeam], AA$1)+SUMIFS(Table2[NewPointsHome],Table2[GameDate], "&lt;=" &amp; $A157, Table2[HomeTeam], AA$1)</f>
        <v>39</v>
      </c>
      <c r="AB157" s="145">
        <f>SUMIFS(Table2[NewPointsAway],Table2[GameDate], "&lt;=" &amp; $A157, Table2[AwayTeam], AB$1)+SUMIFS(Table2[NewPointsHome],Table2[GameDate], "&lt;=" &amp; $A157, Table2[HomeTeam], AB$1)</f>
        <v>35</v>
      </c>
      <c r="AC157" s="145">
        <f>SUMIFS(Table2[NewPointsAway],Table2[GameDate], "&lt;=" &amp; $A157, Table2[AwayTeam], AC$1)+SUMIFS(Table2[NewPointsHome],Table2[GameDate], "&lt;=" &amp; $A157, Table2[HomeTeam], AC$1)</f>
        <v>35</v>
      </c>
      <c r="AD157" s="145">
        <f>SUMIFS(Table2[NewPointsAway],Table2[GameDate], "&lt;=" &amp; $A157, Table2[AwayTeam], AD$1)+SUMIFS(Table2[NewPointsHome],Table2[GameDate], "&lt;=" &amp; $A157, Table2[HomeTeam], AD$1)</f>
        <v>29</v>
      </c>
      <c r="AE157" s="145">
        <f>SUMIFS(Table2[NewPointsAway],Table2[GameDate], "&lt;=" &amp; $A157, Table2[AwayTeam], AE$1)+SUMIFS(Table2[NewPointsHome],Table2[GameDate], "&lt;=" &amp; $A157, Table2[HomeTeam], AE$1)</f>
        <v>41</v>
      </c>
      <c r="AF157" s="145">
        <f>SUMIFS(Table2[NewPointsAway],Table2[GameDate], "&lt;=" &amp; $A157, Table2[AwayTeam], AF$1)+SUMIFS(Table2[NewPointsHome],Table2[GameDate], "&lt;=" &amp; $A157, Table2[HomeTeam], AF$1)</f>
        <v>32</v>
      </c>
      <c r="AG157" s="145">
        <f>SUMIFS(Table2[NewPointsAway],Table2[GameDate], "&lt;=" &amp; $A157, Table2[AwayTeam], AG$1)+SUMIFS(Table2[NewPointsHome],Table2[GameDate], "&lt;=" &amp; $A157, Table2[HomeTeam], AG$1)</f>
        <v>40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42</v>
      </c>
      <c r="C158" s="145">
        <f>SUMIFS(Table2[NewPointsAway],Table2[GameDate], "&lt;=" &amp; $A158, Table2[AwayTeam], C$1)+SUMIFS(Table2[NewPointsHome],Table2[GameDate], "&lt;=" &amp; $A158, Table2[HomeTeam], C$1)</f>
        <v>40</v>
      </c>
      <c r="D158" s="145">
        <f>SUMIFS(Table2[NewPointsAway],Table2[GameDate], "&lt;=" &amp; $A158, Table2[AwayTeam], D$1)+SUMIFS(Table2[NewPointsHome],Table2[GameDate], "&lt;=" &amp; $A158, Table2[HomeTeam], D$1)</f>
        <v>32</v>
      </c>
      <c r="E158" s="145">
        <f>SUMIFS(Table2[NewPointsAway],Table2[GameDate], "&lt;=" &amp; $A158, Table2[AwayTeam], E$1)+SUMIFS(Table2[NewPointsHome],Table2[GameDate], "&lt;=" &amp; $A158, Table2[HomeTeam], E$1)</f>
        <v>44</v>
      </c>
      <c r="F158" s="145">
        <f>SUMIFS(Table2[NewPointsAway],Table2[GameDate], "&lt;=" &amp; $A158, Table2[AwayTeam], F$1)+SUMIFS(Table2[NewPointsHome],Table2[GameDate], "&lt;=" &amp; $A158, Table2[HomeTeam], F$1)</f>
        <v>34</v>
      </c>
      <c r="G158" s="145">
        <f>SUMIFS(Table2[NewPointsAway],Table2[GameDate], "&lt;=" &amp; $A158, Table2[AwayTeam], G$1)+SUMIFS(Table2[NewPointsHome],Table2[GameDate], "&lt;=" &amp; $A158, Table2[HomeTeam], G$1)</f>
        <v>30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55</v>
      </c>
      <c r="J158" s="145">
        <f>SUMIFS(Table2[NewPointsAway],Table2[GameDate], "&lt;=" &amp; $A158, Table2[AwayTeam], J$1)+SUMIFS(Table2[NewPointsHome],Table2[GameDate], "&lt;=" &amp; $A158, Table2[HomeTeam], J$1)</f>
        <v>49</v>
      </c>
      <c r="K158" s="145">
        <f>SUMIFS(Table2[NewPointsAway],Table2[GameDate], "&lt;=" &amp; $A158, Table2[AwayTeam], K$1)+SUMIFS(Table2[NewPointsHome],Table2[GameDate], "&lt;=" &amp; $A158, Table2[HomeTeam], K$1)</f>
        <v>41</v>
      </c>
      <c r="L158" s="145">
        <f>SUMIFS(Table2[NewPointsAway],Table2[GameDate], "&lt;=" &amp; $A158, Table2[AwayTeam], L$1)+SUMIFS(Table2[NewPointsHome],Table2[GameDate], "&lt;=" &amp; $A158, Table2[HomeTeam], L$1)</f>
        <v>38</v>
      </c>
      <c r="M158" s="145">
        <f>SUMIFS(Table2[NewPointsAway],Table2[GameDate], "&lt;=" &amp; $A158, Table2[AwayTeam], M$1)+SUMIFS(Table2[NewPointsHome],Table2[GameDate], "&lt;=" &amp; $A158, Table2[HomeTeam], M$1)</f>
        <v>36</v>
      </c>
      <c r="N158" s="145">
        <f>SUMIFS(Table2[NewPointsAway],Table2[GameDate], "&lt;=" &amp; $A158, Table2[AwayTeam], N$1)+SUMIFS(Table2[NewPointsHome],Table2[GameDate], "&lt;=" &amp; $A158, Table2[HomeTeam], N$1)</f>
        <v>37</v>
      </c>
      <c r="O158" s="145">
        <f>SUMIFS(Table2[NewPointsAway],Table2[GameDate], "&lt;=" &amp; $A158, Table2[AwayTeam], O$1)+SUMIFS(Table2[NewPointsHome],Table2[GameDate], "&lt;=" &amp; $A158, Table2[HomeTeam], O$1)</f>
        <v>45</v>
      </c>
      <c r="P158" s="145">
        <f>SUMIFS(Table2[NewPointsAway],Table2[GameDate], "&lt;=" &amp; $A158, Table2[AwayTeam], P$1)+SUMIFS(Table2[NewPointsHome],Table2[GameDate], "&lt;=" &amp; $A158, Table2[HomeTeam], P$1)</f>
        <v>38</v>
      </c>
      <c r="Q158" s="145">
        <f>SUMIFS(Table2[NewPointsAway],Table2[GameDate], "&lt;=" &amp; $A158, Table2[AwayTeam], Q$1)+SUMIFS(Table2[NewPointsHome],Table2[GameDate], "&lt;=" &amp; $A158, Table2[HomeTeam], Q$1)</f>
        <v>37</v>
      </c>
      <c r="R158" s="145">
        <f>SUMIFS(Table2[NewPointsAway],Table2[GameDate], "&lt;=" &amp; $A158, Table2[AwayTeam], R$1)+SUMIFS(Table2[NewPointsHome],Table2[GameDate], "&lt;=" &amp; $A158, Table2[HomeTeam], R$1)</f>
        <v>30</v>
      </c>
      <c r="S158" s="145">
        <f>SUMIFS(Table2[NewPointsAway],Table2[GameDate], "&lt;=" &amp; $A158, Table2[AwayTeam], S$1)+SUMIFS(Table2[NewPointsHome],Table2[GameDate], "&lt;=" &amp; $A158, Table2[HomeTeam], S$1)</f>
        <v>41</v>
      </c>
      <c r="T158" s="145">
        <f>SUMIFS(Table2[NewPointsAway],Table2[GameDate], "&lt;=" &amp; $A158, Table2[AwayTeam], T$1)+SUMIFS(Table2[NewPointsHome],Table2[GameDate], "&lt;=" &amp; $A158, Table2[HomeTeam], T$1)</f>
        <v>36</v>
      </c>
      <c r="U158" s="145">
        <f>SUMIFS(Table2[NewPointsAway],Table2[GameDate], "&lt;=" &amp; $A158, Table2[AwayTeam], U$1)+SUMIFS(Table2[NewPointsHome],Table2[GameDate], "&lt;=" &amp; $A158, Table2[HomeTeam], U$1)</f>
        <v>34</v>
      </c>
      <c r="V158" s="145">
        <f>SUMIFS(Table2[NewPointsAway],Table2[GameDate], "&lt;=" &amp; $A158, Table2[AwayTeam], V$1)+SUMIFS(Table2[NewPointsHome],Table2[GameDate], "&lt;=" &amp; $A158, Table2[HomeTeam], V$1)</f>
        <v>39</v>
      </c>
      <c r="W158" s="145">
        <f>SUMIFS(Table2[NewPointsAway],Table2[GameDate], "&lt;=" &amp; $A158, Table2[AwayTeam], W$1)+SUMIFS(Table2[NewPointsHome],Table2[GameDate], "&lt;=" &amp; $A158, Table2[HomeTeam], W$1)</f>
        <v>37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37</v>
      </c>
      <c r="Z158" s="145">
        <f>SUMIFS(Table2[NewPointsAway],Table2[GameDate], "&lt;=" &amp; $A158, Table2[AwayTeam], Z$1)+SUMIFS(Table2[NewPointsHome],Table2[GameDate], "&lt;=" &amp; $A158, Table2[HomeTeam], Z$1)</f>
        <v>32</v>
      </c>
      <c r="AA158" s="145">
        <f>SUMIFS(Table2[NewPointsAway],Table2[GameDate], "&lt;=" &amp; $A158, Table2[AwayTeam], AA$1)+SUMIFS(Table2[NewPointsHome],Table2[GameDate], "&lt;=" &amp; $A158, Table2[HomeTeam], AA$1)</f>
        <v>39</v>
      </c>
      <c r="AB158" s="145">
        <f>SUMIFS(Table2[NewPointsAway],Table2[GameDate], "&lt;=" &amp; $A158, Table2[AwayTeam], AB$1)+SUMIFS(Table2[NewPointsHome],Table2[GameDate], "&lt;=" &amp; $A158, Table2[HomeTeam], AB$1)</f>
        <v>35</v>
      </c>
      <c r="AC158" s="145">
        <f>SUMIFS(Table2[NewPointsAway],Table2[GameDate], "&lt;=" &amp; $A158, Table2[AwayTeam], AC$1)+SUMIFS(Table2[NewPointsHome],Table2[GameDate], "&lt;=" &amp; $A158, Table2[HomeTeam], AC$1)</f>
        <v>35</v>
      </c>
      <c r="AD158" s="145">
        <f>SUMIFS(Table2[NewPointsAway],Table2[GameDate], "&lt;=" &amp; $A158, Table2[AwayTeam], AD$1)+SUMIFS(Table2[NewPointsHome],Table2[GameDate], "&lt;=" &amp; $A158, Table2[HomeTeam], AD$1)</f>
        <v>29</v>
      </c>
      <c r="AE158" s="145">
        <f>SUMIFS(Table2[NewPointsAway],Table2[GameDate], "&lt;=" &amp; $A158, Table2[AwayTeam], AE$1)+SUMIFS(Table2[NewPointsHome],Table2[GameDate], "&lt;=" &amp; $A158, Table2[HomeTeam], AE$1)</f>
        <v>41</v>
      </c>
      <c r="AF158" s="145">
        <f>SUMIFS(Table2[NewPointsAway],Table2[GameDate], "&lt;=" &amp; $A158, Table2[AwayTeam], AF$1)+SUMIFS(Table2[NewPointsHome],Table2[GameDate], "&lt;=" &amp; $A158, Table2[HomeTeam], AF$1)</f>
        <v>32</v>
      </c>
      <c r="AG158" s="145">
        <f>SUMIFS(Table2[NewPointsAway],Table2[GameDate], "&lt;=" &amp; $A158, Table2[AwayTeam], AG$1)+SUMIFS(Table2[NewPointsHome],Table2[GameDate], "&lt;=" &amp; $A158, Table2[HomeTeam], AG$1)</f>
        <v>40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42</v>
      </c>
      <c r="C159" s="145">
        <f>SUMIFS(Table2[NewPointsAway],Table2[GameDate], "&lt;=" &amp; $A159, Table2[AwayTeam], C$1)+SUMIFS(Table2[NewPointsHome],Table2[GameDate], "&lt;=" &amp; $A159, Table2[HomeTeam], C$1)</f>
        <v>40</v>
      </c>
      <c r="D159" s="145">
        <f>SUMIFS(Table2[NewPointsAway],Table2[GameDate], "&lt;=" &amp; $A159, Table2[AwayTeam], D$1)+SUMIFS(Table2[NewPointsHome],Table2[GameDate], "&lt;=" &amp; $A159, Table2[HomeTeam], D$1)</f>
        <v>32</v>
      </c>
      <c r="E159" s="145">
        <f>SUMIFS(Table2[NewPointsAway],Table2[GameDate], "&lt;=" &amp; $A159, Table2[AwayTeam], E$1)+SUMIFS(Table2[NewPointsHome],Table2[GameDate], "&lt;=" &amp; $A159, Table2[HomeTeam], E$1)</f>
        <v>44</v>
      </c>
      <c r="F159" s="145">
        <f>SUMIFS(Table2[NewPointsAway],Table2[GameDate], "&lt;=" &amp; $A159, Table2[AwayTeam], F$1)+SUMIFS(Table2[NewPointsHome],Table2[GameDate], "&lt;=" &amp; $A159, Table2[HomeTeam], F$1)</f>
        <v>34</v>
      </c>
      <c r="G159" s="145">
        <f>SUMIFS(Table2[NewPointsAway],Table2[GameDate], "&lt;=" &amp; $A159, Table2[AwayTeam], G$1)+SUMIFS(Table2[NewPointsHome],Table2[GameDate], "&lt;=" &amp; $A159, Table2[HomeTeam], G$1)</f>
        <v>30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55</v>
      </c>
      <c r="J159" s="145">
        <f>SUMIFS(Table2[NewPointsAway],Table2[GameDate], "&lt;=" &amp; $A159, Table2[AwayTeam], J$1)+SUMIFS(Table2[NewPointsHome],Table2[GameDate], "&lt;=" &amp; $A159, Table2[HomeTeam], J$1)</f>
        <v>49</v>
      </c>
      <c r="K159" s="145">
        <f>SUMIFS(Table2[NewPointsAway],Table2[GameDate], "&lt;=" &amp; $A159, Table2[AwayTeam], K$1)+SUMIFS(Table2[NewPointsHome],Table2[GameDate], "&lt;=" &amp; $A159, Table2[HomeTeam], K$1)</f>
        <v>41</v>
      </c>
      <c r="L159" s="145">
        <f>SUMIFS(Table2[NewPointsAway],Table2[GameDate], "&lt;=" &amp; $A159, Table2[AwayTeam], L$1)+SUMIFS(Table2[NewPointsHome],Table2[GameDate], "&lt;=" &amp; $A159, Table2[HomeTeam], L$1)</f>
        <v>38</v>
      </c>
      <c r="M159" s="145">
        <f>SUMIFS(Table2[NewPointsAway],Table2[GameDate], "&lt;=" &amp; $A159, Table2[AwayTeam], M$1)+SUMIFS(Table2[NewPointsHome],Table2[GameDate], "&lt;=" &amp; $A159, Table2[HomeTeam], M$1)</f>
        <v>36</v>
      </c>
      <c r="N159" s="145">
        <f>SUMIFS(Table2[NewPointsAway],Table2[GameDate], "&lt;=" &amp; $A159, Table2[AwayTeam], N$1)+SUMIFS(Table2[NewPointsHome],Table2[GameDate], "&lt;=" &amp; $A159, Table2[HomeTeam], N$1)</f>
        <v>37</v>
      </c>
      <c r="O159" s="145">
        <f>SUMIFS(Table2[NewPointsAway],Table2[GameDate], "&lt;=" &amp; $A159, Table2[AwayTeam], O$1)+SUMIFS(Table2[NewPointsHome],Table2[GameDate], "&lt;=" &amp; $A159, Table2[HomeTeam], O$1)</f>
        <v>45</v>
      </c>
      <c r="P159" s="145">
        <f>SUMIFS(Table2[NewPointsAway],Table2[GameDate], "&lt;=" &amp; $A159, Table2[AwayTeam], P$1)+SUMIFS(Table2[NewPointsHome],Table2[GameDate], "&lt;=" &amp; $A159, Table2[HomeTeam], P$1)</f>
        <v>38</v>
      </c>
      <c r="Q159" s="145">
        <f>SUMIFS(Table2[NewPointsAway],Table2[GameDate], "&lt;=" &amp; $A159, Table2[AwayTeam], Q$1)+SUMIFS(Table2[NewPointsHome],Table2[GameDate], "&lt;=" &amp; $A159, Table2[HomeTeam], Q$1)</f>
        <v>37</v>
      </c>
      <c r="R159" s="145">
        <f>SUMIFS(Table2[NewPointsAway],Table2[GameDate], "&lt;=" &amp; $A159, Table2[AwayTeam], R$1)+SUMIFS(Table2[NewPointsHome],Table2[GameDate], "&lt;=" &amp; $A159, Table2[HomeTeam], R$1)</f>
        <v>30</v>
      </c>
      <c r="S159" s="145">
        <f>SUMIFS(Table2[NewPointsAway],Table2[GameDate], "&lt;=" &amp; $A159, Table2[AwayTeam], S$1)+SUMIFS(Table2[NewPointsHome],Table2[GameDate], "&lt;=" &amp; $A159, Table2[HomeTeam], S$1)</f>
        <v>41</v>
      </c>
      <c r="T159" s="145">
        <f>SUMIFS(Table2[NewPointsAway],Table2[GameDate], "&lt;=" &amp; $A159, Table2[AwayTeam], T$1)+SUMIFS(Table2[NewPointsHome],Table2[GameDate], "&lt;=" &amp; $A159, Table2[HomeTeam], T$1)</f>
        <v>36</v>
      </c>
      <c r="U159" s="145">
        <f>SUMIFS(Table2[NewPointsAway],Table2[GameDate], "&lt;=" &amp; $A159, Table2[AwayTeam], U$1)+SUMIFS(Table2[NewPointsHome],Table2[GameDate], "&lt;=" &amp; $A159, Table2[HomeTeam], U$1)</f>
        <v>34</v>
      </c>
      <c r="V159" s="145">
        <f>SUMIFS(Table2[NewPointsAway],Table2[GameDate], "&lt;=" &amp; $A159, Table2[AwayTeam], V$1)+SUMIFS(Table2[NewPointsHome],Table2[GameDate], "&lt;=" &amp; $A159, Table2[HomeTeam], V$1)</f>
        <v>39</v>
      </c>
      <c r="W159" s="145">
        <f>SUMIFS(Table2[NewPointsAway],Table2[GameDate], "&lt;=" &amp; $A159, Table2[AwayTeam], W$1)+SUMIFS(Table2[NewPointsHome],Table2[GameDate], "&lt;=" &amp; $A159, Table2[HomeTeam], W$1)</f>
        <v>37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37</v>
      </c>
      <c r="Z159" s="145">
        <f>SUMIFS(Table2[NewPointsAway],Table2[GameDate], "&lt;=" &amp; $A159, Table2[AwayTeam], Z$1)+SUMIFS(Table2[NewPointsHome],Table2[GameDate], "&lt;=" &amp; $A159, Table2[HomeTeam], Z$1)</f>
        <v>32</v>
      </c>
      <c r="AA159" s="145">
        <f>SUMIFS(Table2[NewPointsAway],Table2[GameDate], "&lt;=" &amp; $A159, Table2[AwayTeam], AA$1)+SUMIFS(Table2[NewPointsHome],Table2[GameDate], "&lt;=" &amp; $A159, Table2[HomeTeam], AA$1)</f>
        <v>39</v>
      </c>
      <c r="AB159" s="145">
        <f>SUMIFS(Table2[NewPointsAway],Table2[GameDate], "&lt;=" &amp; $A159, Table2[AwayTeam], AB$1)+SUMIFS(Table2[NewPointsHome],Table2[GameDate], "&lt;=" &amp; $A159, Table2[HomeTeam], AB$1)</f>
        <v>35</v>
      </c>
      <c r="AC159" s="145">
        <f>SUMIFS(Table2[NewPointsAway],Table2[GameDate], "&lt;=" &amp; $A159, Table2[AwayTeam], AC$1)+SUMIFS(Table2[NewPointsHome],Table2[GameDate], "&lt;=" &amp; $A159, Table2[HomeTeam], AC$1)</f>
        <v>35</v>
      </c>
      <c r="AD159" s="145">
        <f>SUMIFS(Table2[NewPointsAway],Table2[GameDate], "&lt;=" &amp; $A159, Table2[AwayTeam], AD$1)+SUMIFS(Table2[NewPointsHome],Table2[GameDate], "&lt;=" &amp; $A159, Table2[HomeTeam], AD$1)</f>
        <v>29</v>
      </c>
      <c r="AE159" s="145">
        <f>SUMIFS(Table2[NewPointsAway],Table2[GameDate], "&lt;=" &amp; $A159, Table2[AwayTeam], AE$1)+SUMIFS(Table2[NewPointsHome],Table2[GameDate], "&lt;=" &amp; $A159, Table2[HomeTeam], AE$1)</f>
        <v>41</v>
      </c>
      <c r="AF159" s="145">
        <f>SUMIFS(Table2[NewPointsAway],Table2[GameDate], "&lt;=" &amp; $A159, Table2[AwayTeam], AF$1)+SUMIFS(Table2[NewPointsHome],Table2[GameDate], "&lt;=" &amp; $A159, Table2[HomeTeam], AF$1)</f>
        <v>32</v>
      </c>
      <c r="AG159" s="145">
        <f>SUMIFS(Table2[NewPointsAway],Table2[GameDate], "&lt;=" &amp; $A159, Table2[AwayTeam], AG$1)+SUMIFS(Table2[NewPointsHome],Table2[GameDate], "&lt;=" &amp; $A159, Table2[HomeTeam], AG$1)</f>
        <v>40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42</v>
      </c>
      <c r="C160" s="145">
        <f>SUMIFS(Table2[NewPointsAway],Table2[GameDate], "&lt;=" &amp; $A160, Table2[AwayTeam], C$1)+SUMIFS(Table2[NewPointsHome],Table2[GameDate], "&lt;=" &amp; $A160, Table2[HomeTeam], C$1)</f>
        <v>40</v>
      </c>
      <c r="D160" s="145">
        <f>SUMIFS(Table2[NewPointsAway],Table2[GameDate], "&lt;=" &amp; $A160, Table2[AwayTeam], D$1)+SUMIFS(Table2[NewPointsHome],Table2[GameDate], "&lt;=" &amp; $A160, Table2[HomeTeam], D$1)</f>
        <v>32</v>
      </c>
      <c r="E160" s="145">
        <f>SUMIFS(Table2[NewPointsAway],Table2[GameDate], "&lt;=" &amp; $A160, Table2[AwayTeam], E$1)+SUMIFS(Table2[NewPointsHome],Table2[GameDate], "&lt;=" &amp; $A160, Table2[HomeTeam], E$1)</f>
        <v>44</v>
      </c>
      <c r="F160" s="145">
        <f>SUMIFS(Table2[NewPointsAway],Table2[GameDate], "&lt;=" &amp; $A160, Table2[AwayTeam], F$1)+SUMIFS(Table2[NewPointsHome],Table2[GameDate], "&lt;=" &amp; $A160, Table2[HomeTeam], F$1)</f>
        <v>34</v>
      </c>
      <c r="G160" s="145">
        <f>SUMIFS(Table2[NewPointsAway],Table2[GameDate], "&lt;=" &amp; $A160, Table2[AwayTeam], G$1)+SUMIFS(Table2[NewPointsHome],Table2[GameDate], "&lt;=" &amp; $A160, Table2[HomeTeam], G$1)</f>
        <v>30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55</v>
      </c>
      <c r="J160" s="145">
        <f>SUMIFS(Table2[NewPointsAway],Table2[GameDate], "&lt;=" &amp; $A160, Table2[AwayTeam], J$1)+SUMIFS(Table2[NewPointsHome],Table2[GameDate], "&lt;=" &amp; $A160, Table2[HomeTeam], J$1)</f>
        <v>49</v>
      </c>
      <c r="K160" s="145">
        <f>SUMIFS(Table2[NewPointsAway],Table2[GameDate], "&lt;=" &amp; $A160, Table2[AwayTeam], K$1)+SUMIFS(Table2[NewPointsHome],Table2[GameDate], "&lt;=" &amp; $A160, Table2[HomeTeam], K$1)</f>
        <v>41</v>
      </c>
      <c r="L160" s="145">
        <f>SUMIFS(Table2[NewPointsAway],Table2[GameDate], "&lt;=" &amp; $A160, Table2[AwayTeam], L$1)+SUMIFS(Table2[NewPointsHome],Table2[GameDate], "&lt;=" &amp; $A160, Table2[HomeTeam], L$1)</f>
        <v>38</v>
      </c>
      <c r="M160" s="145">
        <f>SUMIFS(Table2[NewPointsAway],Table2[GameDate], "&lt;=" &amp; $A160, Table2[AwayTeam], M$1)+SUMIFS(Table2[NewPointsHome],Table2[GameDate], "&lt;=" &amp; $A160, Table2[HomeTeam], M$1)</f>
        <v>36</v>
      </c>
      <c r="N160" s="145">
        <f>SUMIFS(Table2[NewPointsAway],Table2[GameDate], "&lt;=" &amp; $A160, Table2[AwayTeam], N$1)+SUMIFS(Table2[NewPointsHome],Table2[GameDate], "&lt;=" &amp; $A160, Table2[HomeTeam], N$1)</f>
        <v>37</v>
      </c>
      <c r="O160" s="145">
        <f>SUMIFS(Table2[NewPointsAway],Table2[GameDate], "&lt;=" &amp; $A160, Table2[AwayTeam], O$1)+SUMIFS(Table2[NewPointsHome],Table2[GameDate], "&lt;=" &amp; $A160, Table2[HomeTeam], O$1)</f>
        <v>45</v>
      </c>
      <c r="P160" s="145">
        <f>SUMIFS(Table2[NewPointsAway],Table2[GameDate], "&lt;=" &amp; $A160, Table2[AwayTeam], P$1)+SUMIFS(Table2[NewPointsHome],Table2[GameDate], "&lt;=" &amp; $A160, Table2[HomeTeam], P$1)</f>
        <v>38</v>
      </c>
      <c r="Q160" s="145">
        <f>SUMIFS(Table2[NewPointsAway],Table2[GameDate], "&lt;=" &amp; $A160, Table2[AwayTeam], Q$1)+SUMIFS(Table2[NewPointsHome],Table2[GameDate], "&lt;=" &amp; $A160, Table2[HomeTeam], Q$1)</f>
        <v>37</v>
      </c>
      <c r="R160" s="145">
        <f>SUMIFS(Table2[NewPointsAway],Table2[GameDate], "&lt;=" &amp; $A160, Table2[AwayTeam], R$1)+SUMIFS(Table2[NewPointsHome],Table2[GameDate], "&lt;=" &amp; $A160, Table2[HomeTeam], R$1)</f>
        <v>30</v>
      </c>
      <c r="S160" s="145">
        <f>SUMIFS(Table2[NewPointsAway],Table2[GameDate], "&lt;=" &amp; $A160, Table2[AwayTeam], S$1)+SUMIFS(Table2[NewPointsHome],Table2[GameDate], "&lt;=" &amp; $A160, Table2[HomeTeam], S$1)</f>
        <v>41</v>
      </c>
      <c r="T160" s="145">
        <f>SUMIFS(Table2[NewPointsAway],Table2[GameDate], "&lt;=" &amp; $A160, Table2[AwayTeam], T$1)+SUMIFS(Table2[NewPointsHome],Table2[GameDate], "&lt;=" &amp; $A160, Table2[HomeTeam], T$1)</f>
        <v>36</v>
      </c>
      <c r="U160" s="145">
        <f>SUMIFS(Table2[NewPointsAway],Table2[GameDate], "&lt;=" &amp; $A160, Table2[AwayTeam], U$1)+SUMIFS(Table2[NewPointsHome],Table2[GameDate], "&lt;=" &amp; $A160, Table2[HomeTeam], U$1)</f>
        <v>34</v>
      </c>
      <c r="V160" s="145">
        <f>SUMIFS(Table2[NewPointsAway],Table2[GameDate], "&lt;=" &amp; $A160, Table2[AwayTeam], V$1)+SUMIFS(Table2[NewPointsHome],Table2[GameDate], "&lt;=" &amp; $A160, Table2[HomeTeam], V$1)</f>
        <v>39</v>
      </c>
      <c r="W160" s="145">
        <f>SUMIFS(Table2[NewPointsAway],Table2[GameDate], "&lt;=" &amp; $A160, Table2[AwayTeam], W$1)+SUMIFS(Table2[NewPointsHome],Table2[GameDate], "&lt;=" &amp; $A160, Table2[HomeTeam], W$1)</f>
        <v>37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37</v>
      </c>
      <c r="Z160" s="145">
        <f>SUMIFS(Table2[NewPointsAway],Table2[GameDate], "&lt;=" &amp; $A160, Table2[AwayTeam], Z$1)+SUMIFS(Table2[NewPointsHome],Table2[GameDate], "&lt;=" &amp; $A160, Table2[HomeTeam], Z$1)</f>
        <v>32</v>
      </c>
      <c r="AA160" s="145">
        <f>SUMIFS(Table2[NewPointsAway],Table2[GameDate], "&lt;=" &amp; $A160, Table2[AwayTeam], AA$1)+SUMIFS(Table2[NewPointsHome],Table2[GameDate], "&lt;=" &amp; $A160, Table2[HomeTeam], AA$1)</f>
        <v>39</v>
      </c>
      <c r="AB160" s="145">
        <f>SUMIFS(Table2[NewPointsAway],Table2[GameDate], "&lt;=" &amp; $A160, Table2[AwayTeam], AB$1)+SUMIFS(Table2[NewPointsHome],Table2[GameDate], "&lt;=" &amp; $A160, Table2[HomeTeam], AB$1)</f>
        <v>35</v>
      </c>
      <c r="AC160" s="145">
        <f>SUMIFS(Table2[NewPointsAway],Table2[GameDate], "&lt;=" &amp; $A160, Table2[AwayTeam], AC$1)+SUMIFS(Table2[NewPointsHome],Table2[GameDate], "&lt;=" &amp; $A160, Table2[HomeTeam], AC$1)</f>
        <v>35</v>
      </c>
      <c r="AD160" s="145">
        <f>SUMIFS(Table2[NewPointsAway],Table2[GameDate], "&lt;=" &amp; $A160, Table2[AwayTeam], AD$1)+SUMIFS(Table2[NewPointsHome],Table2[GameDate], "&lt;=" &amp; $A160, Table2[HomeTeam], AD$1)</f>
        <v>29</v>
      </c>
      <c r="AE160" s="145">
        <f>SUMIFS(Table2[NewPointsAway],Table2[GameDate], "&lt;=" &amp; $A160, Table2[AwayTeam], AE$1)+SUMIFS(Table2[NewPointsHome],Table2[GameDate], "&lt;=" &amp; $A160, Table2[HomeTeam], AE$1)</f>
        <v>41</v>
      </c>
      <c r="AF160" s="145">
        <f>SUMIFS(Table2[NewPointsAway],Table2[GameDate], "&lt;=" &amp; $A160, Table2[AwayTeam], AF$1)+SUMIFS(Table2[NewPointsHome],Table2[GameDate], "&lt;=" &amp; $A160, Table2[HomeTeam], AF$1)</f>
        <v>32</v>
      </c>
      <c r="AG160" s="145">
        <f>SUMIFS(Table2[NewPointsAway],Table2[GameDate], "&lt;=" &amp; $A160, Table2[AwayTeam], AG$1)+SUMIFS(Table2[NewPointsHome],Table2[GameDate], "&lt;=" &amp; $A160, Table2[HomeTeam], AG$1)</f>
        <v>40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42</v>
      </c>
      <c r="C161" s="145">
        <f>SUMIFS(Table2[NewPointsAway],Table2[GameDate], "&lt;=" &amp; $A161, Table2[AwayTeam], C$1)+SUMIFS(Table2[NewPointsHome],Table2[GameDate], "&lt;=" &amp; $A161, Table2[HomeTeam], C$1)</f>
        <v>40</v>
      </c>
      <c r="D161" s="145">
        <f>SUMIFS(Table2[NewPointsAway],Table2[GameDate], "&lt;=" &amp; $A161, Table2[AwayTeam], D$1)+SUMIFS(Table2[NewPointsHome],Table2[GameDate], "&lt;=" &amp; $A161, Table2[HomeTeam], D$1)</f>
        <v>32</v>
      </c>
      <c r="E161" s="145">
        <f>SUMIFS(Table2[NewPointsAway],Table2[GameDate], "&lt;=" &amp; $A161, Table2[AwayTeam], E$1)+SUMIFS(Table2[NewPointsHome],Table2[GameDate], "&lt;=" &amp; $A161, Table2[HomeTeam], E$1)</f>
        <v>44</v>
      </c>
      <c r="F161" s="145">
        <f>SUMIFS(Table2[NewPointsAway],Table2[GameDate], "&lt;=" &amp; $A161, Table2[AwayTeam], F$1)+SUMIFS(Table2[NewPointsHome],Table2[GameDate], "&lt;=" &amp; $A161, Table2[HomeTeam], F$1)</f>
        <v>34</v>
      </c>
      <c r="G161" s="145">
        <f>SUMIFS(Table2[NewPointsAway],Table2[GameDate], "&lt;=" &amp; $A161, Table2[AwayTeam], G$1)+SUMIFS(Table2[NewPointsHome],Table2[GameDate], "&lt;=" &amp; $A161, Table2[HomeTeam], G$1)</f>
        <v>30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55</v>
      </c>
      <c r="J161" s="145">
        <f>SUMIFS(Table2[NewPointsAway],Table2[GameDate], "&lt;=" &amp; $A161, Table2[AwayTeam], J$1)+SUMIFS(Table2[NewPointsHome],Table2[GameDate], "&lt;=" &amp; $A161, Table2[HomeTeam], J$1)</f>
        <v>49</v>
      </c>
      <c r="K161" s="145">
        <f>SUMIFS(Table2[NewPointsAway],Table2[GameDate], "&lt;=" &amp; $A161, Table2[AwayTeam], K$1)+SUMIFS(Table2[NewPointsHome],Table2[GameDate], "&lt;=" &amp; $A161, Table2[HomeTeam], K$1)</f>
        <v>41</v>
      </c>
      <c r="L161" s="145">
        <f>SUMIFS(Table2[NewPointsAway],Table2[GameDate], "&lt;=" &amp; $A161, Table2[AwayTeam], L$1)+SUMIFS(Table2[NewPointsHome],Table2[GameDate], "&lt;=" &amp; $A161, Table2[HomeTeam], L$1)</f>
        <v>38</v>
      </c>
      <c r="M161" s="145">
        <f>SUMIFS(Table2[NewPointsAway],Table2[GameDate], "&lt;=" &amp; $A161, Table2[AwayTeam], M$1)+SUMIFS(Table2[NewPointsHome],Table2[GameDate], "&lt;=" &amp; $A161, Table2[HomeTeam], M$1)</f>
        <v>36</v>
      </c>
      <c r="N161" s="145">
        <f>SUMIFS(Table2[NewPointsAway],Table2[GameDate], "&lt;=" &amp; $A161, Table2[AwayTeam], N$1)+SUMIFS(Table2[NewPointsHome],Table2[GameDate], "&lt;=" &amp; $A161, Table2[HomeTeam], N$1)</f>
        <v>37</v>
      </c>
      <c r="O161" s="145">
        <f>SUMIFS(Table2[NewPointsAway],Table2[GameDate], "&lt;=" &amp; $A161, Table2[AwayTeam], O$1)+SUMIFS(Table2[NewPointsHome],Table2[GameDate], "&lt;=" &amp; $A161, Table2[HomeTeam], O$1)</f>
        <v>45</v>
      </c>
      <c r="P161" s="145">
        <f>SUMIFS(Table2[NewPointsAway],Table2[GameDate], "&lt;=" &amp; $A161, Table2[AwayTeam], P$1)+SUMIFS(Table2[NewPointsHome],Table2[GameDate], "&lt;=" &amp; $A161, Table2[HomeTeam], P$1)</f>
        <v>38</v>
      </c>
      <c r="Q161" s="145">
        <f>SUMIFS(Table2[NewPointsAway],Table2[GameDate], "&lt;=" &amp; $A161, Table2[AwayTeam], Q$1)+SUMIFS(Table2[NewPointsHome],Table2[GameDate], "&lt;=" &amp; $A161, Table2[HomeTeam], Q$1)</f>
        <v>37</v>
      </c>
      <c r="R161" s="145">
        <f>SUMIFS(Table2[NewPointsAway],Table2[GameDate], "&lt;=" &amp; $A161, Table2[AwayTeam], R$1)+SUMIFS(Table2[NewPointsHome],Table2[GameDate], "&lt;=" &amp; $A161, Table2[HomeTeam], R$1)</f>
        <v>30</v>
      </c>
      <c r="S161" s="145">
        <f>SUMIFS(Table2[NewPointsAway],Table2[GameDate], "&lt;=" &amp; $A161, Table2[AwayTeam], S$1)+SUMIFS(Table2[NewPointsHome],Table2[GameDate], "&lt;=" &amp; $A161, Table2[HomeTeam], S$1)</f>
        <v>41</v>
      </c>
      <c r="T161" s="145">
        <f>SUMIFS(Table2[NewPointsAway],Table2[GameDate], "&lt;=" &amp; $A161, Table2[AwayTeam], T$1)+SUMIFS(Table2[NewPointsHome],Table2[GameDate], "&lt;=" &amp; $A161, Table2[HomeTeam], T$1)</f>
        <v>36</v>
      </c>
      <c r="U161" s="145">
        <f>SUMIFS(Table2[NewPointsAway],Table2[GameDate], "&lt;=" &amp; $A161, Table2[AwayTeam], U$1)+SUMIFS(Table2[NewPointsHome],Table2[GameDate], "&lt;=" &amp; $A161, Table2[HomeTeam], U$1)</f>
        <v>34</v>
      </c>
      <c r="V161" s="145">
        <f>SUMIFS(Table2[NewPointsAway],Table2[GameDate], "&lt;=" &amp; $A161, Table2[AwayTeam], V$1)+SUMIFS(Table2[NewPointsHome],Table2[GameDate], "&lt;=" &amp; $A161, Table2[HomeTeam], V$1)</f>
        <v>39</v>
      </c>
      <c r="W161" s="145">
        <f>SUMIFS(Table2[NewPointsAway],Table2[GameDate], "&lt;=" &amp; $A161, Table2[AwayTeam], W$1)+SUMIFS(Table2[NewPointsHome],Table2[GameDate], "&lt;=" &amp; $A161, Table2[HomeTeam], W$1)</f>
        <v>37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37</v>
      </c>
      <c r="Z161" s="145">
        <f>SUMIFS(Table2[NewPointsAway],Table2[GameDate], "&lt;=" &amp; $A161, Table2[AwayTeam], Z$1)+SUMIFS(Table2[NewPointsHome],Table2[GameDate], "&lt;=" &amp; $A161, Table2[HomeTeam], Z$1)</f>
        <v>32</v>
      </c>
      <c r="AA161" s="145">
        <f>SUMIFS(Table2[NewPointsAway],Table2[GameDate], "&lt;=" &amp; $A161, Table2[AwayTeam], AA$1)+SUMIFS(Table2[NewPointsHome],Table2[GameDate], "&lt;=" &amp; $A161, Table2[HomeTeam], AA$1)</f>
        <v>39</v>
      </c>
      <c r="AB161" s="145">
        <f>SUMIFS(Table2[NewPointsAway],Table2[GameDate], "&lt;=" &amp; $A161, Table2[AwayTeam], AB$1)+SUMIFS(Table2[NewPointsHome],Table2[GameDate], "&lt;=" &amp; $A161, Table2[HomeTeam], AB$1)</f>
        <v>35</v>
      </c>
      <c r="AC161" s="145">
        <f>SUMIFS(Table2[NewPointsAway],Table2[GameDate], "&lt;=" &amp; $A161, Table2[AwayTeam], AC$1)+SUMIFS(Table2[NewPointsHome],Table2[GameDate], "&lt;=" &amp; $A161, Table2[HomeTeam], AC$1)</f>
        <v>35</v>
      </c>
      <c r="AD161" s="145">
        <f>SUMIFS(Table2[NewPointsAway],Table2[GameDate], "&lt;=" &amp; $A161, Table2[AwayTeam], AD$1)+SUMIFS(Table2[NewPointsHome],Table2[GameDate], "&lt;=" &amp; $A161, Table2[HomeTeam], AD$1)</f>
        <v>29</v>
      </c>
      <c r="AE161" s="145">
        <f>SUMIFS(Table2[NewPointsAway],Table2[GameDate], "&lt;=" &amp; $A161, Table2[AwayTeam], AE$1)+SUMIFS(Table2[NewPointsHome],Table2[GameDate], "&lt;=" &amp; $A161, Table2[HomeTeam], AE$1)</f>
        <v>41</v>
      </c>
      <c r="AF161" s="145">
        <f>SUMIFS(Table2[NewPointsAway],Table2[GameDate], "&lt;=" &amp; $A161, Table2[AwayTeam], AF$1)+SUMIFS(Table2[NewPointsHome],Table2[GameDate], "&lt;=" &amp; $A161, Table2[HomeTeam], AF$1)</f>
        <v>32</v>
      </c>
      <c r="AG161" s="145">
        <f>SUMIFS(Table2[NewPointsAway],Table2[GameDate], "&lt;=" &amp; $A161, Table2[AwayTeam], AG$1)+SUMIFS(Table2[NewPointsHome],Table2[GameDate], "&lt;=" &amp; $A161, Table2[HomeTeam], AG$1)</f>
        <v>40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42</v>
      </c>
      <c r="C162" s="145">
        <f>SUMIFS(Table2[NewPointsAway],Table2[GameDate], "&lt;=" &amp; $A162, Table2[AwayTeam], C$1)+SUMIFS(Table2[NewPointsHome],Table2[GameDate], "&lt;=" &amp; $A162, Table2[HomeTeam], C$1)</f>
        <v>40</v>
      </c>
      <c r="D162" s="145">
        <f>SUMIFS(Table2[NewPointsAway],Table2[GameDate], "&lt;=" &amp; $A162, Table2[AwayTeam], D$1)+SUMIFS(Table2[NewPointsHome],Table2[GameDate], "&lt;=" &amp; $A162, Table2[HomeTeam], D$1)</f>
        <v>32</v>
      </c>
      <c r="E162" s="145">
        <f>SUMIFS(Table2[NewPointsAway],Table2[GameDate], "&lt;=" &amp; $A162, Table2[AwayTeam], E$1)+SUMIFS(Table2[NewPointsHome],Table2[GameDate], "&lt;=" &amp; $A162, Table2[HomeTeam], E$1)</f>
        <v>44</v>
      </c>
      <c r="F162" s="145">
        <f>SUMIFS(Table2[NewPointsAway],Table2[GameDate], "&lt;=" &amp; $A162, Table2[AwayTeam], F$1)+SUMIFS(Table2[NewPointsHome],Table2[GameDate], "&lt;=" &amp; $A162, Table2[HomeTeam], F$1)</f>
        <v>34</v>
      </c>
      <c r="G162" s="145">
        <f>SUMIFS(Table2[NewPointsAway],Table2[GameDate], "&lt;=" &amp; $A162, Table2[AwayTeam], G$1)+SUMIFS(Table2[NewPointsHome],Table2[GameDate], "&lt;=" &amp; $A162, Table2[HomeTeam], G$1)</f>
        <v>30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55</v>
      </c>
      <c r="J162" s="145">
        <f>SUMIFS(Table2[NewPointsAway],Table2[GameDate], "&lt;=" &amp; $A162, Table2[AwayTeam], J$1)+SUMIFS(Table2[NewPointsHome],Table2[GameDate], "&lt;=" &amp; $A162, Table2[HomeTeam], J$1)</f>
        <v>49</v>
      </c>
      <c r="K162" s="145">
        <f>SUMIFS(Table2[NewPointsAway],Table2[GameDate], "&lt;=" &amp; $A162, Table2[AwayTeam], K$1)+SUMIFS(Table2[NewPointsHome],Table2[GameDate], "&lt;=" &amp; $A162, Table2[HomeTeam], K$1)</f>
        <v>41</v>
      </c>
      <c r="L162" s="145">
        <f>SUMIFS(Table2[NewPointsAway],Table2[GameDate], "&lt;=" &amp; $A162, Table2[AwayTeam], L$1)+SUMIFS(Table2[NewPointsHome],Table2[GameDate], "&lt;=" &amp; $A162, Table2[HomeTeam], L$1)</f>
        <v>38</v>
      </c>
      <c r="M162" s="145">
        <f>SUMIFS(Table2[NewPointsAway],Table2[GameDate], "&lt;=" &amp; $A162, Table2[AwayTeam], M$1)+SUMIFS(Table2[NewPointsHome],Table2[GameDate], "&lt;=" &amp; $A162, Table2[HomeTeam], M$1)</f>
        <v>36</v>
      </c>
      <c r="N162" s="145">
        <f>SUMIFS(Table2[NewPointsAway],Table2[GameDate], "&lt;=" &amp; $A162, Table2[AwayTeam], N$1)+SUMIFS(Table2[NewPointsHome],Table2[GameDate], "&lt;=" &amp; $A162, Table2[HomeTeam], N$1)</f>
        <v>37</v>
      </c>
      <c r="O162" s="145">
        <f>SUMIFS(Table2[NewPointsAway],Table2[GameDate], "&lt;=" &amp; $A162, Table2[AwayTeam], O$1)+SUMIFS(Table2[NewPointsHome],Table2[GameDate], "&lt;=" &amp; $A162, Table2[HomeTeam], O$1)</f>
        <v>45</v>
      </c>
      <c r="P162" s="145">
        <f>SUMIFS(Table2[NewPointsAway],Table2[GameDate], "&lt;=" &amp; $A162, Table2[AwayTeam], P$1)+SUMIFS(Table2[NewPointsHome],Table2[GameDate], "&lt;=" &amp; $A162, Table2[HomeTeam], P$1)</f>
        <v>38</v>
      </c>
      <c r="Q162" s="145">
        <f>SUMIFS(Table2[NewPointsAway],Table2[GameDate], "&lt;=" &amp; $A162, Table2[AwayTeam], Q$1)+SUMIFS(Table2[NewPointsHome],Table2[GameDate], "&lt;=" &amp; $A162, Table2[HomeTeam], Q$1)</f>
        <v>37</v>
      </c>
      <c r="R162" s="145">
        <f>SUMIFS(Table2[NewPointsAway],Table2[GameDate], "&lt;=" &amp; $A162, Table2[AwayTeam], R$1)+SUMIFS(Table2[NewPointsHome],Table2[GameDate], "&lt;=" &amp; $A162, Table2[HomeTeam], R$1)</f>
        <v>30</v>
      </c>
      <c r="S162" s="145">
        <f>SUMIFS(Table2[NewPointsAway],Table2[GameDate], "&lt;=" &amp; $A162, Table2[AwayTeam], S$1)+SUMIFS(Table2[NewPointsHome],Table2[GameDate], "&lt;=" &amp; $A162, Table2[HomeTeam], S$1)</f>
        <v>41</v>
      </c>
      <c r="T162" s="145">
        <f>SUMIFS(Table2[NewPointsAway],Table2[GameDate], "&lt;=" &amp; $A162, Table2[AwayTeam], T$1)+SUMIFS(Table2[NewPointsHome],Table2[GameDate], "&lt;=" &amp; $A162, Table2[HomeTeam], T$1)</f>
        <v>36</v>
      </c>
      <c r="U162" s="145">
        <f>SUMIFS(Table2[NewPointsAway],Table2[GameDate], "&lt;=" &amp; $A162, Table2[AwayTeam], U$1)+SUMIFS(Table2[NewPointsHome],Table2[GameDate], "&lt;=" &amp; $A162, Table2[HomeTeam], U$1)</f>
        <v>34</v>
      </c>
      <c r="V162" s="145">
        <f>SUMIFS(Table2[NewPointsAway],Table2[GameDate], "&lt;=" &amp; $A162, Table2[AwayTeam], V$1)+SUMIFS(Table2[NewPointsHome],Table2[GameDate], "&lt;=" &amp; $A162, Table2[HomeTeam], V$1)</f>
        <v>39</v>
      </c>
      <c r="W162" s="145">
        <f>SUMIFS(Table2[NewPointsAway],Table2[GameDate], "&lt;=" &amp; $A162, Table2[AwayTeam], W$1)+SUMIFS(Table2[NewPointsHome],Table2[GameDate], "&lt;=" &amp; $A162, Table2[HomeTeam], W$1)</f>
        <v>37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37</v>
      </c>
      <c r="Z162" s="145">
        <f>SUMIFS(Table2[NewPointsAway],Table2[GameDate], "&lt;=" &amp; $A162, Table2[AwayTeam], Z$1)+SUMIFS(Table2[NewPointsHome],Table2[GameDate], "&lt;=" &amp; $A162, Table2[HomeTeam], Z$1)</f>
        <v>32</v>
      </c>
      <c r="AA162" s="145">
        <f>SUMIFS(Table2[NewPointsAway],Table2[GameDate], "&lt;=" &amp; $A162, Table2[AwayTeam], AA$1)+SUMIFS(Table2[NewPointsHome],Table2[GameDate], "&lt;=" &amp; $A162, Table2[HomeTeam], AA$1)</f>
        <v>39</v>
      </c>
      <c r="AB162" s="145">
        <f>SUMIFS(Table2[NewPointsAway],Table2[GameDate], "&lt;=" &amp; $A162, Table2[AwayTeam], AB$1)+SUMIFS(Table2[NewPointsHome],Table2[GameDate], "&lt;=" &amp; $A162, Table2[HomeTeam], AB$1)</f>
        <v>35</v>
      </c>
      <c r="AC162" s="145">
        <f>SUMIFS(Table2[NewPointsAway],Table2[GameDate], "&lt;=" &amp; $A162, Table2[AwayTeam], AC$1)+SUMIFS(Table2[NewPointsHome],Table2[GameDate], "&lt;=" &amp; $A162, Table2[HomeTeam], AC$1)</f>
        <v>35</v>
      </c>
      <c r="AD162" s="145">
        <f>SUMIFS(Table2[NewPointsAway],Table2[GameDate], "&lt;=" &amp; $A162, Table2[AwayTeam], AD$1)+SUMIFS(Table2[NewPointsHome],Table2[GameDate], "&lt;=" &amp; $A162, Table2[HomeTeam], AD$1)</f>
        <v>29</v>
      </c>
      <c r="AE162" s="145">
        <f>SUMIFS(Table2[NewPointsAway],Table2[GameDate], "&lt;=" &amp; $A162, Table2[AwayTeam], AE$1)+SUMIFS(Table2[NewPointsHome],Table2[GameDate], "&lt;=" &amp; $A162, Table2[HomeTeam], AE$1)</f>
        <v>41</v>
      </c>
      <c r="AF162" s="145">
        <f>SUMIFS(Table2[NewPointsAway],Table2[GameDate], "&lt;=" &amp; $A162, Table2[AwayTeam], AF$1)+SUMIFS(Table2[NewPointsHome],Table2[GameDate], "&lt;=" &amp; $A162, Table2[HomeTeam], AF$1)</f>
        <v>32</v>
      </c>
      <c r="AG162" s="145">
        <f>SUMIFS(Table2[NewPointsAway],Table2[GameDate], "&lt;=" &amp; $A162, Table2[AwayTeam], AG$1)+SUMIFS(Table2[NewPointsHome],Table2[GameDate], "&lt;=" &amp; $A162, Table2[HomeTeam], AG$1)</f>
        <v>40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42</v>
      </c>
      <c r="C163" s="145">
        <f>SUMIFS(Table2[NewPointsAway],Table2[GameDate], "&lt;=" &amp; $A163, Table2[AwayTeam], C$1)+SUMIFS(Table2[NewPointsHome],Table2[GameDate], "&lt;=" &amp; $A163, Table2[HomeTeam], C$1)</f>
        <v>40</v>
      </c>
      <c r="D163" s="145">
        <f>SUMIFS(Table2[NewPointsAway],Table2[GameDate], "&lt;=" &amp; $A163, Table2[AwayTeam], D$1)+SUMIFS(Table2[NewPointsHome],Table2[GameDate], "&lt;=" &amp; $A163, Table2[HomeTeam], D$1)</f>
        <v>32</v>
      </c>
      <c r="E163" s="145">
        <f>SUMIFS(Table2[NewPointsAway],Table2[GameDate], "&lt;=" &amp; $A163, Table2[AwayTeam], E$1)+SUMIFS(Table2[NewPointsHome],Table2[GameDate], "&lt;=" &amp; $A163, Table2[HomeTeam], E$1)</f>
        <v>44</v>
      </c>
      <c r="F163" s="145">
        <f>SUMIFS(Table2[NewPointsAway],Table2[GameDate], "&lt;=" &amp; $A163, Table2[AwayTeam], F$1)+SUMIFS(Table2[NewPointsHome],Table2[GameDate], "&lt;=" &amp; $A163, Table2[HomeTeam], F$1)</f>
        <v>34</v>
      </c>
      <c r="G163" s="145">
        <f>SUMIFS(Table2[NewPointsAway],Table2[GameDate], "&lt;=" &amp; $A163, Table2[AwayTeam], G$1)+SUMIFS(Table2[NewPointsHome],Table2[GameDate], "&lt;=" &amp; $A163, Table2[HomeTeam], G$1)</f>
        <v>30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55</v>
      </c>
      <c r="J163" s="145">
        <f>SUMIFS(Table2[NewPointsAway],Table2[GameDate], "&lt;=" &amp; $A163, Table2[AwayTeam], J$1)+SUMIFS(Table2[NewPointsHome],Table2[GameDate], "&lt;=" &amp; $A163, Table2[HomeTeam], J$1)</f>
        <v>49</v>
      </c>
      <c r="K163" s="145">
        <f>SUMIFS(Table2[NewPointsAway],Table2[GameDate], "&lt;=" &amp; $A163, Table2[AwayTeam], K$1)+SUMIFS(Table2[NewPointsHome],Table2[GameDate], "&lt;=" &amp; $A163, Table2[HomeTeam], K$1)</f>
        <v>41</v>
      </c>
      <c r="L163" s="145">
        <f>SUMIFS(Table2[NewPointsAway],Table2[GameDate], "&lt;=" &amp; $A163, Table2[AwayTeam], L$1)+SUMIFS(Table2[NewPointsHome],Table2[GameDate], "&lt;=" &amp; $A163, Table2[HomeTeam], L$1)</f>
        <v>38</v>
      </c>
      <c r="M163" s="145">
        <f>SUMIFS(Table2[NewPointsAway],Table2[GameDate], "&lt;=" &amp; $A163, Table2[AwayTeam], M$1)+SUMIFS(Table2[NewPointsHome],Table2[GameDate], "&lt;=" &amp; $A163, Table2[HomeTeam], M$1)</f>
        <v>36</v>
      </c>
      <c r="N163" s="145">
        <f>SUMIFS(Table2[NewPointsAway],Table2[GameDate], "&lt;=" &amp; $A163, Table2[AwayTeam], N$1)+SUMIFS(Table2[NewPointsHome],Table2[GameDate], "&lt;=" &amp; $A163, Table2[HomeTeam], N$1)</f>
        <v>37</v>
      </c>
      <c r="O163" s="145">
        <f>SUMIFS(Table2[NewPointsAway],Table2[GameDate], "&lt;=" &amp; $A163, Table2[AwayTeam], O$1)+SUMIFS(Table2[NewPointsHome],Table2[GameDate], "&lt;=" &amp; $A163, Table2[HomeTeam], O$1)</f>
        <v>45</v>
      </c>
      <c r="P163" s="145">
        <f>SUMIFS(Table2[NewPointsAway],Table2[GameDate], "&lt;=" &amp; $A163, Table2[AwayTeam], P$1)+SUMIFS(Table2[NewPointsHome],Table2[GameDate], "&lt;=" &amp; $A163, Table2[HomeTeam], P$1)</f>
        <v>38</v>
      </c>
      <c r="Q163" s="145">
        <f>SUMIFS(Table2[NewPointsAway],Table2[GameDate], "&lt;=" &amp; $A163, Table2[AwayTeam], Q$1)+SUMIFS(Table2[NewPointsHome],Table2[GameDate], "&lt;=" &amp; $A163, Table2[HomeTeam], Q$1)</f>
        <v>37</v>
      </c>
      <c r="R163" s="145">
        <f>SUMIFS(Table2[NewPointsAway],Table2[GameDate], "&lt;=" &amp; $A163, Table2[AwayTeam], R$1)+SUMIFS(Table2[NewPointsHome],Table2[GameDate], "&lt;=" &amp; $A163, Table2[HomeTeam], R$1)</f>
        <v>30</v>
      </c>
      <c r="S163" s="145">
        <f>SUMIFS(Table2[NewPointsAway],Table2[GameDate], "&lt;=" &amp; $A163, Table2[AwayTeam], S$1)+SUMIFS(Table2[NewPointsHome],Table2[GameDate], "&lt;=" &amp; $A163, Table2[HomeTeam], S$1)</f>
        <v>41</v>
      </c>
      <c r="T163" s="145">
        <f>SUMIFS(Table2[NewPointsAway],Table2[GameDate], "&lt;=" &amp; $A163, Table2[AwayTeam], T$1)+SUMIFS(Table2[NewPointsHome],Table2[GameDate], "&lt;=" &amp; $A163, Table2[HomeTeam], T$1)</f>
        <v>36</v>
      </c>
      <c r="U163" s="145">
        <f>SUMIFS(Table2[NewPointsAway],Table2[GameDate], "&lt;=" &amp; $A163, Table2[AwayTeam], U$1)+SUMIFS(Table2[NewPointsHome],Table2[GameDate], "&lt;=" &amp; $A163, Table2[HomeTeam], U$1)</f>
        <v>34</v>
      </c>
      <c r="V163" s="145">
        <f>SUMIFS(Table2[NewPointsAway],Table2[GameDate], "&lt;=" &amp; $A163, Table2[AwayTeam], V$1)+SUMIFS(Table2[NewPointsHome],Table2[GameDate], "&lt;=" &amp; $A163, Table2[HomeTeam], V$1)</f>
        <v>39</v>
      </c>
      <c r="W163" s="145">
        <f>SUMIFS(Table2[NewPointsAway],Table2[GameDate], "&lt;=" &amp; $A163, Table2[AwayTeam], W$1)+SUMIFS(Table2[NewPointsHome],Table2[GameDate], "&lt;=" &amp; $A163, Table2[HomeTeam], W$1)</f>
        <v>37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37</v>
      </c>
      <c r="Z163" s="145">
        <f>SUMIFS(Table2[NewPointsAway],Table2[GameDate], "&lt;=" &amp; $A163, Table2[AwayTeam], Z$1)+SUMIFS(Table2[NewPointsHome],Table2[GameDate], "&lt;=" &amp; $A163, Table2[HomeTeam], Z$1)</f>
        <v>32</v>
      </c>
      <c r="AA163" s="145">
        <f>SUMIFS(Table2[NewPointsAway],Table2[GameDate], "&lt;=" &amp; $A163, Table2[AwayTeam], AA$1)+SUMIFS(Table2[NewPointsHome],Table2[GameDate], "&lt;=" &amp; $A163, Table2[HomeTeam], AA$1)</f>
        <v>39</v>
      </c>
      <c r="AB163" s="145">
        <f>SUMIFS(Table2[NewPointsAway],Table2[GameDate], "&lt;=" &amp; $A163, Table2[AwayTeam], AB$1)+SUMIFS(Table2[NewPointsHome],Table2[GameDate], "&lt;=" &amp; $A163, Table2[HomeTeam], AB$1)</f>
        <v>35</v>
      </c>
      <c r="AC163" s="145">
        <f>SUMIFS(Table2[NewPointsAway],Table2[GameDate], "&lt;=" &amp; $A163, Table2[AwayTeam], AC$1)+SUMIFS(Table2[NewPointsHome],Table2[GameDate], "&lt;=" &amp; $A163, Table2[HomeTeam], AC$1)</f>
        <v>35</v>
      </c>
      <c r="AD163" s="145">
        <f>SUMIFS(Table2[NewPointsAway],Table2[GameDate], "&lt;=" &amp; $A163, Table2[AwayTeam], AD$1)+SUMIFS(Table2[NewPointsHome],Table2[GameDate], "&lt;=" &amp; $A163, Table2[HomeTeam], AD$1)</f>
        <v>29</v>
      </c>
      <c r="AE163" s="145">
        <f>SUMIFS(Table2[NewPointsAway],Table2[GameDate], "&lt;=" &amp; $A163, Table2[AwayTeam], AE$1)+SUMIFS(Table2[NewPointsHome],Table2[GameDate], "&lt;=" &amp; $A163, Table2[HomeTeam], AE$1)</f>
        <v>41</v>
      </c>
      <c r="AF163" s="145">
        <f>SUMIFS(Table2[NewPointsAway],Table2[GameDate], "&lt;=" &amp; $A163, Table2[AwayTeam], AF$1)+SUMIFS(Table2[NewPointsHome],Table2[GameDate], "&lt;=" &amp; $A163, Table2[HomeTeam], AF$1)</f>
        <v>32</v>
      </c>
      <c r="AG163" s="145">
        <f>SUMIFS(Table2[NewPointsAway],Table2[GameDate], "&lt;=" &amp; $A163, Table2[AwayTeam], AG$1)+SUMIFS(Table2[NewPointsHome],Table2[GameDate], "&lt;=" &amp; $A163, Table2[HomeTeam], AG$1)</f>
        <v>40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42</v>
      </c>
      <c r="C164" s="145">
        <f>SUMIFS(Table2[NewPointsAway],Table2[GameDate], "&lt;=" &amp; $A164, Table2[AwayTeam], C$1)+SUMIFS(Table2[NewPointsHome],Table2[GameDate], "&lt;=" &amp; $A164, Table2[HomeTeam], C$1)</f>
        <v>40</v>
      </c>
      <c r="D164" s="145">
        <f>SUMIFS(Table2[NewPointsAway],Table2[GameDate], "&lt;=" &amp; $A164, Table2[AwayTeam], D$1)+SUMIFS(Table2[NewPointsHome],Table2[GameDate], "&lt;=" &amp; $A164, Table2[HomeTeam], D$1)</f>
        <v>32</v>
      </c>
      <c r="E164" s="145">
        <f>SUMIFS(Table2[NewPointsAway],Table2[GameDate], "&lt;=" &amp; $A164, Table2[AwayTeam], E$1)+SUMIFS(Table2[NewPointsHome],Table2[GameDate], "&lt;=" &amp; $A164, Table2[HomeTeam], E$1)</f>
        <v>44</v>
      </c>
      <c r="F164" s="145">
        <f>SUMIFS(Table2[NewPointsAway],Table2[GameDate], "&lt;=" &amp; $A164, Table2[AwayTeam], F$1)+SUMIFS(Table2[NewPointsHome],Table2[GameDate], "&lt;=" &amp; $A164, Table2[HomeTeam], F$1)</f>
        <v>34</v>
      </c>
      <c r="G164" s="145">
        <f>SUMIFS(Table2[NewPointsAway],Table2[GameDate], "&lt;=" &amp; $A164, Table2[AwayTeam], G$1)+SUMIFS(Table2[NewPointsHome],Table2[GameDate], "&lt;=" &amp; $A164, Table2[HomeTeam], G$1)</f>
        <v>30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55</v>
      </c>
      <c r="J164" s="145">
        <f>SUMIFS(Table2[NewPointsAway],Table2[GameDate], "&lt;=" &amp; $A164, Table2[AwayTeam], J$1)+SUMIFS(Table2[NewPointsHome],Table2[GameDate], "&lt;=" &amp; $A164, Table2[HomeTeam], J$1)</f>
        <v>49</v>
      </c>
      <c r="K164" s="145">
        <f>SUMIFS(Table2[NewPointsAway],Table2[GameDate], "&lt;=" &amp; $A164, Table2[AwayTeam], K$1)+SUMIFS(Table2[NewPointsHome],Table2[GameDate], "&lt;=" &amp; $A164, Table2[HomeTeam], K$1)</f>
        <v>41</v>
      </c>
      <c r="L164" s="145">
        <f>SUMIFS(Table2[NewPointsAway],Table2[GameDate], "&lt;=" &amp; $A164, Table2[AwayTeam], L$1)+SUMIFS(Table2[NewPointsHome],Table2[GameDate], "&lt;=" &amp; $A164, Table2[HomeTeam], L$1)</f>
        <v>38</v>
      </c>
      <c r="M164" s="145">
        <f>SUMIFS(Table2[NewPointsAway],Table2[GameDate], "&lt;=" &amp; $A164, Table2[AwayTeam], M$1)+SUMIFS(Table2[NewPointsHome],Table2[GameDate], "&lt;=" &amp; $A164, Table2[HomeTeam], M$1)</f>
        <v>36</v>
      </c>
      <c r="N164" s="145">
        <f>SUMIFS(Table2[NewPointsAway],Table2[GameDate], "&lt;=" &amp; $A164, Table2[AwayTeam], N$1)+SUMIFS(Table2[NewPointsHome],Table2[GameDate], "&lt;=" &amp; $A164, Table2[HomeTeam], N$1)</f>
        <v>37</v>
      </c>
      <c r="O164" s="145">
        <f>SUMIFS(Table2[NewPointsAway],Table2[GameDate], "&lt;=" &amp; $A164, Table2[AwayTeam], O$1)+SUMIFS(Table2[NewPointsHome],Table2[GameDate], "&lt;=" &amp; $A164, Table2[HomeTeam], O$1)</f>
        <v>45</v>
      </c>
      <c r="P164" s="145">
        <f>SUMIFS(Table2[NewPointsAway],Table2[GameDate], "&lt;=" &amp; $A164, Table2[AwayTeam], P$1)+SUMIFS(Table2[NewPointsHome],Table2[GameDate], "&lt;=" &amp; $A164, Table2[HomeTeam], P$1)</f>
        <v>38</v>
      </c>
      <c r="Q164" s="145">
        <f>SUMIFS(Table2[NewPointsAway],Table2[GameDate], "&lt;=" &amp; $A164, Table2[AwayTeam], Q$1)+SUMIFS(Table2[NewPointsHome],Table2[GameDate], "&lt;=" &amp; $A164, Table2[HomeTeam], Q$1)</f>
        <v>37</v>
      </c>
      <c r="R164" s="145">
        <f>SUMIFS(Table2[NewPointsAway],Table2[GameDate], "&lt;=" &amp; $A164, Table2[AwayTeam], R$1)+SUMIFS(Table2[NewPointsHome],Table2[GameDate], "&lt;=" &amp; $A164, Table2[HomeTeam], R$1)</f>
        <v>30</v>
      </c>
      <c r="S164" s="145">
        <f>SUMIFS(Table2[NewPointsAway],Table2[GameDate], "&lt;=" &amp; $A164, Table2[AwayTeam], S$1)+SUMIFS(Table2[NewPointsHome],Table2[GameDate], "&lt;=" &amp; $A164, Table2[HomeTeam], S$1)</f>
        <v>41</v>
      </c>
      <c r="T164" s="145">
        <f>SUMIFS(Table2[NewPointsAway],Table2[GameDate], "&lt;=" &amp; $A164, Table2[AwayTeam], T$1)+SUMIFS(Table2[NewPointsHome],Table2[GameDate], "&lt;=" &amp; $A164, Table2[HomeTeam], T$1)</f>
        <v>36</v>
      </c>
      <c r="U164" s="145">
        <f>SUMIFS(Table2[NewPointsAway],Table2[GameDate], "&lt;=" &amp; $A164, Table2[AwayTeam], U$1)+SUMIFS(Table2[NewPointsHome],Table2[GameDate], "&lt;=" &amp; $A164, Table2[HomeTeam], U$1)</f>
        <v>34</v>
      </c>
      <c r="V164" s="145">
        <f>SUMIFS(Table2[NewPointsAway],Table2[GameDate], "&lt;=" &amp; $A164, Table2[AwayTeam], V$1)+SUMIFS(Table2[NewPointsHome],Table2[GameDate], "&lt;=" &amp; $A164, Table2[HomeTeam], V$1)</f>
        <v>39</v>
      </c>
      <c r="W164" s="145">
        <f>SUMIFS(Table2[NewPointsAway],Table2[GameDate], "&lt;=" &amp; $A164, Table2[AwayTeam], W$1)+SUMIFS(Table2[NewPointsHome],Table2[GameDate], "&lt;=" &amp; $A164, Table2[HomeTeam], W$1)</f>
        <v>37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37</v>
      </c>
      <c r="Z164" s="145">
        <f>SUMIFS(Table2[NewPointsAway],Table2[GameDate], "&lt;=" &amp; $A164, Table2[AwayTeam], Z$1)+SUMIFS(Table2[NewPointsHome],Table2[GameDate], "&lt;=" &amp; $A164, Table2[HomeTeam], Z$1)</f>
        <v>32</v>
      </c>
      <c r="AA164" s="145">
        <f>SUMIFS(Table2[NewPointsAway],Table2[GameDate], "&lt;=" &amp; $A164, Table2[AwayTeam], AA$1)+SUMIFS(Table2[NewPointsHome],Table2[GameDate], "&lt;=" &amp; $A164, Table2[HomeTeam], AA$1)</f>
        <v>39</v>
      </c>
      <c r="AB164" s="145">
        <f>SUMIFS(Table2[NewPointsAway],Table2[GameDate], "&lt;=" &amp; $A164, Table2[AwayTeam], AB$1)+SUMIFS(Table2[NewPointsHome],Table2[GameDate], "&lt;=" &amp; $A164, Table2[HomeTeam], AB$1)</f>
        <v>35</v>
      </c>
      <c r="AC164" s="145">
        <f>SUMIFS(Table2[NewPointsAway],Table2[GameDate], "&lt;=" &amp; $A164, Table2[AwayTeam], AC$1)+SUMIFS(Table2[NewPointsHome],Table2[GameDate], "&lt;=" &amp; $A164, Table2[HomeTeam], AC$1)</f>
        <v>35</v>
      </c>
      <c r="AD164" s="145">
        <f>SUMIFS(Table2[NewPointsAway],Table2[GameDate], "&lt;=" &amp; $A164, Table2[AwayTeam], AD$1)+SUMIFS(Table2[NewPointsHome],Table2[GameDate], "&lt;=" &amp; $A164, Table2[HomeTeam], AD$1)</f>
        <v>29</v>
      </c>
      <c r="AE164" s="145">
        <f>SUMIFS(Table2[NewPointsAway],Table2[GameDate], "&lt;=" &amp; $A164, Table2[AwayTeam], AE$1)+SUMIFS(Table2[NewPointsHome],Table2[GameDate], "&lt;=" &amp; $A164, Table2[HomeTeam], AE$1)</f>
        <v>41</v>
      </c>
      <c r="AF164" s="145">
        <f>SUMIFS(Table2[NewPointsAway],Table2[GameDate], "&lt;=" &amp; $A164, Table2[AwayTeam], AF$1)+SUMIFS(Table2[NewPointsHome],Table2[GameDate], "&lt;=" &amp; $A164, Table2[HomeTeam], AF$1)</f>
        <v>32</v>
      </c>
      <c r="AG164" s="145">
        <f>SUMIFS(Table2[NewPointsAway],Table2[GameDate], "&lt;=" &amp; $A164, Table2[AwayTeam], AG$1)+SUMIFS(Table2[NewPointsHome],Table2[GameDate], "&lt;=" &amp; $A164, Table2[HomeTeam], AG$1)</f>
        <v>40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42</v>
      </c>
      <c r="C165" s="145">
        <f>SUMIFS(Table2[NewPointsAway],Table2[GameDate], "&lt;=" &amp; $A165, Table2[AwayTeam], C$1)+SUMIFS(Table2[NewPointsHome],Table2[GameDate], "&lt;=" &amp; $A165, Table2[HomeTeam], C$1)</f>
        <v>40</v>
      </c>
      <c r="D165" s="145">
        <f>SUMIFS(Table2[NewPointsAway],Table2[GameDate], "&lt;=" &amp; $A165, Table2[AwayTeam], D$1)+SUMIFS(Table2[NewPointsHome],Table2[GameDate], "&lt;=" &amp; $A165, Table2[HomeTeam], D$1)</f>
        <v>32</v>
      </c>
      <c r="E165" s="145">
        <f>SUMIFS(Table2[NewPointsAway],Table2[GameDate], "&lt;=" &amp; $A165, Table2[AwayTeam], E$1)+SUMIFS(Table2[NewPointsHome],Table2[GameDate], "&lt;=" &amp; $A165, Table2[HomeTeam], E$1)</f>
        <v>44</v>
      </c>
      <c r="F165" s="145">
        <f>SUMIFS(Table2[NewPointsAway],Table2[GameDate], "&lt;=" &amp; $A165, Table2[AwayTeam], F$1)+SUMIFS(Table2[NewPointsHome],Table2[GameDate], "&lt;=" &amp; $A165, Table2[HomeTeam], F$1)</f>
        <v>34</v>
      </c>
      <c r="G165" s="145">
        <f>SUMIFS(Table2[NewPointsAway],Table2[GameDate], "&lt;=" &amp; $A165, Table2[AwayTeam], G$1)+SUMIFS(Table2[NewPointsHome],Table2[GameDate], "&lt;=" &amp; $A165, Table2[HomeTeam], G$1)</f>
        <v>30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55</v>
      </c>
      <c r="J165" s="145">
        <f>SUMIFS(Table2[NewPointsAway],Table2[GameDate], "&lt;=" &amp; $A165, Table2[AwayTeam], J$1)+SUMIFS(Table2[NewPointsHome],Table2[GameDate], "&lt;=" &amp; $A165, Table2[HomeTeam], J$1)</f>
        <v>49</v>
      </c>
      <c r="K165" s="145">
        <f>SUMIFS(Table2[NewPointsAway],Table2[GameDate], "&lt;=" &amp; $A165, Table2[AwayTeam], K$1)+SUMIFS(Table2[NewPointsHome],Table2[GameDate], "&lt;=" &amp; $A165, Table2[HomeTeam], K$1)</f>
        <v>41</v>
      </c>
      <c r="L165" s="145">
        <f>SUMIFS(Table2[NewPointsAway],Table2[GameDate], "&lt;=" &amp; $A165, Table2[AwayTeam], L$1)+SUMIFS(Table2[NewPointsHome],Table2[GameDate], "&lt;=" &amp; $A165, Table2[HomeTeam], L$1)</f>
        <v>38</v>
      </c>
      <c r="M165" s="145">
        <f>SUMIFS(Table2[NewPointsAway],Table2[GameDate], "&lt;=" &amp; $A165, Table2[AwayTeam], M$1)+SUMIFS(Table2[NewPointsHome],Table2[GameDate], "&lt;=" &amp; $A165, Table2[HomeTeam], M$1)</f>
        <v>36</v>
      </c>
      <c r="N165" s="145">
        <f>SUMIFS(Table2[NewPointsAway],Table2[GameDate], "&lt;=" &amp; $A165, Table2[AwayTeam], N$1)+SUMIFS(Table2[NewPointsHome],Table2[GameDate], "&lt;=" &amp; $A165, Table2[HomeTeam], N$1)</f>
        <v>37</v>
      </c>
      <c r="O165" s="145">
        <f>SUMIFS(Table2[NewPointsAway],Table2[GameDate], "&lt;=" &amp; $A165, Table2[AwayTeam], O$1)+SUMIFS(Table2[NewPointsHome],Table2[GameDate], "&lt;=" &amp; $A165, Table2[HomeTeam], O$1)</f>
        <v>45</v>
      </c>
      <c r="P165" s="145">
        <f>SUMIFS(Table2[NewPointsAway],Table2[GameDate], "&lt;=" &amp; $A165, Table2[AwayTeam], P$1)+SUMIFS(Table2[NewPointsHome],Table2[GameDate], "&lt;=" &amp; $A165, Table2[HomeTeam], P$1)</f>
        <v>38</v>
      </c>
      <c r="Q165" s="145">
        <f>SUMIFS(Table2[NewPointsAway],Table2[GameDate], "&lt;=" &amp; $A165, Table2[AwayTeam], Q$1)+SUMIFS(Table2[NewPointsHome],Table2[GameDate], "&lt;=" &amp; $A165, Table2[HomeTeam], Q$1)</f>
        <v>37</v>
      </c>
      <c r="R165" s="145">
        <f>SUMIFS(Table2[NewPointsAway],Table2[GameDate], "&lt;=" &amp; $A165, Table2[AwayTeam], R$1)+SUMIFS(Table2[NewPointsHome],Table2[GameDate], "&lt;=" &amp; $A165, Table2[HomeTeam], R$1)</f>
        <v>30</v>
      </c>
      <c r="S165" s="145">
        <f>SUMIFS(Table2[NewPointsAway],Table2[GameDate], "&lt;=" &amp; $A165, Table2[AwayTeam], S$1)+SUMIFS(Table2[NewPointsHome],Table2[GameDate], "&lt;=" &amp; $A165, Table2[HomeTeam], S$1)</f>
        <v>41</v>
      </c>
      <c r="T165" s="145">
        <f>SUMIFS(Table2[NewPointsAway],Table2[GameDate], "&lt;=" &amp; $A165, Table2[AwayTeam], T$1)+SUMIFS(Table2[NewPointsHome],Table2[GameDate], "&lt;=" &amp; $A165, Table2[HomeTeam], T$1)</f>
        <v>36</v>
      </c>
      <c r="U165" s="145">
        <f>SUMIFS(Table2[NewPointsAway],Table2[GameDate], "&lt;=" &amp; $A165, Table2[AwayTeam], U$1)+SUMIFS(Table2[NewPointsHome],Table2[GameDate], "&lt;=" &amp; $A165, Table2[HomeTeam], U$1)</f>
        <v>34</v>
      </c>
      <c r="V165" s="145">
        <f>SUMIFS(Table2[NewPointsAway],Table2[GameDate], "&lt;=" &amp; $A165, Table2[AwayTeam], V$1)+SUMIFS(Table2[NewPointsHome],Table2[GameDate], "&lt;=" &amp; $A165, Table2[HomeTeam], V$1)</f>
        <v>39</v>
      </c>
      <c r="W165" s="145">
        <f>SUMIFS(Table2[NewPointsAway],Table2[GameDate], "&lt;=" &amp; $A165, Table2[AwayTeam], W$1)+SUMIFS(Table2[NewPointsHome],Table2[GameDate], "&lt;=" &amp; $A165, Table2[HomeTeam], W$1)</f>
        <v>37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37</v>
      </c>
      <c r="Z165" s="145">
        <f>SUMIFS(Table2[NewPointsAway],Table2[GameDate], "&lt;=" &amp; $A165, Table2[AwayTeam], Z$1)+SUMIFS(Table2[NewPointsHome],Table2[GameDate], "&lt;=" &amp; $A165, Table2[HomeTeam], Z$1)</f>
        <v>32</v>
      </c>
      <c r="AA165" s="145">
        <f>SUMIFS(Table2[NewPointsAway],Table2[GameDate], "&lt;=" &amp; $A165, Table2[AwayTeam], AA$1)+SUMIFS(Table2[NewPointsHome],Table2[GameDate], "&lt;=" &amp; $A165, Table2[HomeTeam], AA$1)</f>
        <v>39</v>
      </c>
      <c r="AB165" s="145">
        <f>SUMIFS(Table2[NewPointsAway],Table2[GameDate], "&lt;=" &amp; $A165, Table2[AwayTeam], AB$1)+SUMIFS(Table2[NewPointsHome],Table2[GameDate], "&lt;=" &amp; $A165, Table2[HomeTeam], AB$1)</f>
        <v>35</v>
      </c>
      <c r="AC165" s="145">
        <f>SUMIFS(Table2[NewPointsAway],Table2[GameDate], "&lt;=" &amp; $A165, Table2[AwayTeam], AC$1)+SUMIFS(Table2[NewPointsHome],Table2[GameDate], "&lt;=" &amp; $A165, Table2[HomeTeam], AC$1)</f>
        <v>35</v>
      </c>
      <c r="AD165" s="145">
        <f>SUMIFS(Table2[NewPointsAway],Table2[GameDate], "&lt;=" &amp; $A165, Table2[AwayTeam], AD$1)+SUMIFS(Table2[NewPointsHome],Table2[GameDate], "&lt;=" &amp; $A165, Table2[HomeTeam], AD$1)</f>
        <v>29</v>
      </c>
      <c r="AE165" s="145">
        <f>SUMIFS(Table2[NewPointsAway],Table2[GameDate], "&lt;=" &amp; $A165, Table2[AwayTeam], AE$1)+SUMIFS(Table2[NewPointsHome],Table2[GameDate], "&lt;=" &amp; $A165, Table2[HomeTeam], AE$1)</f>
        <v>41</v>
      </c>
      <c r="AF165" s="145">
        <f>SUMIFS(Table2[NewPointsAway],Table2[GameDate], "&lt;=" &amp; $A165, Table2[AwayTeam], AF$1)+SUMIFS(Table2[NewPointsHome],Table2[GameDate], "&lt;=" &amp; $A165, Table2[HomeTeam], AF$1)</f>
        <v>32</v>
      </c>
      <c r="AG165" s="145">
        <f>SUMIFS(Table2[NewPointsAway],Table2[GameDate], "&lt;=" &amp; $A165, Table2[AwayTeam], AG$1)+SUMIFS(Table2[NewPointsHome],Table2[GameDate], "&lt;=" &amp; $A165, Table2[HomeTeam], AG$1)</f>
        <v>40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42</v>
      </c>
      <c r="C166" s="145">
        <f>SUMIFS(Table2[NewPointsAway],Table2[GameDate], "&lt;=" &amp; $A166, Table2[AwayTeam], C$1)+SUMIFS(Table2[NewPointsHome],Table2[GameDate], "&lt;=" &amp; $A166, Table2[HomeTeam], C$1)</f>
        <v>40</v>
      </c>
      <c r="D166" s="145">
        <f>SUMIFS(Table2[NewPointsAway],Table2[GameDate], "&lt;=" &amp; $A166, Table2[AwayTeam], D$1)+SUMIFS(Table2[NewPointsHome],Table2[GameDate], "&lt;=" &amp; $A166, Table2[HomeTeam], D$1)</f>
        <v>32</v>
      </c>
      <c r="E166" s="145">
        <f>SUMIFS(Table2[NewPointsAway],Table2[GameDate], "&lt;=" &amp; $A166, Table2[AwayTeam], E$1)+SUMIFS(Table2[NewPointsHome],Table2[GameDate], "&lt;=" &amp; $A166, Table2[HomeTeam], E$1)</f>
        <v>44</v>
      </c>
      <c r="F166" s="145">
        <f>SUMIFS(Table2[NewPointsAway],Table2[GameDate], "&lt;=" &amp; $A166, Table2[AwayTeam], F$1)+SUMIFS(Table2[NewPointsHome],Table2[GameDate], "&lt;=" &amp; $A166, Table2[HomeTeam], F$1)</f>
        <v>34</v>
      </c>
      <c r="G166" s="145">
        <f>SUMIFS(Table2[NewPointsAway],Table2[GameDate], "&lt;=" &amp; $A166, Table2[AwayTeam], G$1)+SUMIFS(Table2[NewPointsHome],Table2[GameDate], "&lt;=" &amp; $A166, Table2[HomeTeam], G$1)</f>
        <v>30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55</v>
      </c>
      <c r="J166" s="145">
        <f>SUMIFS(Table2[NewPointsAway],Table2[GameDate], "&lt;=" &amp; $A166, Table2[AwayTeam], J$1)+SUMIFS(Table2[NewPointsHome],Table2[GameDate], "&lt;=" &amp; $A166, Table2[HomeTeam], J$1)</f>
        <v>49</v>
      </c>
      <c r="K166" s="145">
        <f>SUMIFS(Table2[NewPointsAway],Table2[GameDate], "&lt;=" &amp; $A166, Table2[AwayTeam], K$1)+SUMIFS(Table2[NewPointsHome],Table2[GameDate], "&lt;=" &amp; $A166, Table2[HomeTeam], K$1)</f>
        <v>41</v>
      </c>
      <c r="L166" s="145">
        <f>SUMIFS(Table2[NewPointsAway],Table2[GameDate], "&lt;=" &amp; $A166, Table2[AwayTeam], L$1)+SUMIFS(Table2[NewPointsHome],Table2[GameDate], "&lt;=" &amp; $A166, Table2[HomeTeam], L$1)</f>
        <v>38</v>
      </c>
      <c r="M166" s="145">
        <f>SUMIFS(Table2[NewPointsAway],Table2[GameDate], "&lt;=" &amp; $A166, Table2[AwayTeam], M$1)+SUMIFS(Table2[NewPointsHome],Table2[GameDate], "&lt;=" &amp; $A166, Table2[HomeTeam], M$1)</f>
        <v>36</v>
      </c>
      <c r="N166" s="145">
        <f>SUMIFS(Table2[NewPointsAway],Table2[GameDate], "&lt;=" &amp; $A166, Table2[AwayTeam], N$1)+SUMIFS(Table2[NewPointsHome],Table2[GameDate], "&lt;=" &amp; $A166, Table2[HomeTeam], N$1)</f>
        <v>37</v>
      </c>
      <c r="O166" s="145">
        <f>SUMIFS(Table2[NewPointsAway],Table2[GameDate], "&lt;=" &amp; $A166, Table2[AwayTeam], O$1)+SUMIFS(Table2[NewPointsHome],Table2[GameDate], "&lt;=" &amp; $A166, Table2[HomeTeam], O$1)</f>
        <v>45</v>
      </c>
      <c r="P166" s="145">
        <f>SUMIFS(Table2[NewPointsAway],Table2[GameDate], "&lt;=" &amp; $A166, Table2[AwayTeam], P$1)+SUMIFS(Table2[NewPointsHome],Table2[GameDate], "&lt;=" &amp; $A166, Table2[HomeTeam], P$1)</f>
        <v>38</v>
      </c>
      <c r="Q166" s="145">
        <f>SUMIFS(Table2[NewPointsAway],Table2[GameDate], "&lt;=" &amp; $A166, Table2[AwayTeam], Q$1)+SUMIFS(Table2[NewPointsHome],Table2[GameDate], "&lt;=" &amp; $A166, Table2[HomeTeam], Q$1)</f>
        <v>37</v>
      </c>
      <c r="R166" s="145">
        <f>SUMIFS(Table2[NewPointsAway],Table2[GameDate], "&lt;=" &amp; $A166, Table2[AwayTeam], R$1)+SUMIFS(Table2[NewPointsHome],Table2[GameDate], "&lt;=" &amp; $A166, Table2[HomeTeam], R$1)</f>
        <v>30</v>
      </c>
      <c r="S166" s="145">
        <f>SUMIFS(Table2[NewPointsAway],Table2[GameDate], "&lt;=" &amp; $A166, Table2[AwayTeam], S$1)+SUMIFS(Table2[NewPointsHome],Table2[GameDate], "&lt;=" &amp; $A166, Table2[HomeTeam], S$1)</f>
        <v>41</v>
      </c>
      <c r="T166" s="145">
        <f>SUMIFS(Table2[NewPointsAway],Table2[GameDate], "&lt;=" &amp; $A166, Table2[AwayTeam], T$1)+SUMIFS(Table2[NewPointsHome],Table2[GameDate], "&lt;=" &amp; $A166, Table2[HomeTeam], T$1)</f>
        <v>36</v>
      </c>
      <c r="U166" s="145">
        <f>SUMIFS(Table2[NewPointsAway],Table2[GameDate], "&lt;=" &amp; $A166, Table2[AwayTeam], U$1)+SUMIFS(Table2[NewPointsHome],Table2[GameDate], "&lt;=" &amp; $A166, Table2[HomeTeam], U$1)</f>
        <v>34</v>
      </c>
      <c r="V166" s="145">
        <f>SUMIFS(Table2[NewPointsAway],Table2[GameDate], "&lt;=" &amp; $A166, Table2[AwayTeam], V$1)+SUMIFS(Table2[NewPointsHome],Table2[GameDate], "&lt;=" &amp; $A166, Table2[HomeTeam], V$1)</f>
        <v>39</v>
      </c>
      <c r="W166" s="145">
        <f>SUMIFS(Table2[NewPointsAway],Table2[GameDate], "&lt;=" &amp; $A166, Table2[AwayTeam], W$1)+SUMIFS(Table2[NewPointsHome],Table2[GameDate], "&lt;=" &amp; $A166, Table2[HomeTeam], W$1)</f>
        <v>37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37</v>
      </c>
      <c r="Z166" s="145">
        <f>SUMIFS(Table2[NewPointsAway],Table2[GameDate], "&lt;=" &amp; $A166, Table2[AwayTeam], Z$1)+SUMIFS(Table2[NewPointsHome],Table2[GameDate], "&lt;=" &amp; $A166, Table2[HomeTeam], Z$1)</f>
        <v>32</v>
      </c>
      <c r="AA166" s="145">
        <f>SUMIFS(Table2[NewPointsAway],Table2[GameDate], "&lt;=" &amp; $A166, Table2[AwayTeam], AA$1)+SUMIFS(Table2[NewPointsHome],Table2[GameDate], "&lt;=" &amp; $A166, Table2[HomeTeam], AA$1)</f>
        <v>39</v>
      </c>
      <c r="AB166" s="145">
        <f>SUMIFS(Table2[NewPointsAway],Table2[GameDate], "&lt;=" &amp; $A166, Table2[AwayTeam], AB$1)+SUMIFS(Table2[NewPointsHome],Table2[GameDate], "&lt;=" &amp; $A166, Table2[HomeTeam], AB$1)</f>
        <v>35</v>
      </c>
      <c r="AC166" s="145">
        <f>SUMIFS(Table2[NewPointsAway],Table2[GameDate], "&lt;=" &amp; $A166, Table2[AwayTeam], AC$1)+SUMIFS(Table2[NewPointsHome],Table2[GameDate], "&lt;=" &amp; $A166, Table2[HomeTeam], AC$1)</f>
        <v>35</v>
      </c>
      <c r="AD166" s="145">
        <f>SUMIFS(Table2[NewPointsAway],Table2[GameDate], "&lt;=" &amp; $A166, Table2[AwayTeam], AD$1)+SUMIFS(Table2[NewPointsHome],Table2[GameDate], "&lt;=" &amp; $A166, Table2[HomeTeam], AD$1)</f>
        <v>29</v>
      </c>
      <c r="AE166" s="145">
        <f>SUMIFS(Table2[NewPointsAway],Table2[GameDate], "&lt;=" &amp; $A166, Table2[AwayTeam], AE$1)+SUMIFS(Table2[NewPointsHome],Table2[GameDate], "&lt;=" &amp; $A166, Table2[HomeTeam], AE$1)</f>
        <v>41</v>
      </c>
      <c r="AF166" s="145">
        <f>SUMIFS(Table2[NewPointsAway],Table2[GameDate], "&lt;=" &amp; $A166, Table2[AwayTeam], AF$1)+SUMIFS(Table2[NewPointsHome],Table2[GameDate], "&lt;=" &amp; $A166, Table2[HomeTeam], AF$1)</f>
        <v>32</v>
      </c>
      <c r="AG166" s="145">
        <f>SUMIFS(Table2[NewPointsAway],Table2[GameDate], "&lt;=" &amp; $A166, Table2[AwayTeam], AG$1)+SUMIFS(Table2[NewPointsHome],Table2[GameDate], "&lt;=" &amp; $A166, Table2[HomeTeam], AG$1)</f>
        <v>40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42</v>
      </c>
      <c r="C167" s="145">
        <f>SUMIFS(Table2[NewPointsAway],Table2[GameDate], "&lt;=" &amp; $A167, Table2[AwayTeam], C$1)+SUMIFS(Table2[NewPointsHome],Table2[GameDate], "&lt;=" &amp; $A167, Table2[HomeTeam], C$1)</f>
        <v>40</v>
      </c>
      <c r="D167" s="145">
        <f>SUMIFS(Table2[NewPointsAway],Table2[GameDate], "&lt;=" &amp; $A167, Table2[AwayTeam], D$1)+SUMIFS(Table2[NewPointsHome],Table2[GameDate], "&lt;=" &amp; $A167, Table2[HomeTeam], D$1)</f>
        <v>32</v>
      </c>
      <c r="E167" s="145">
        <f>SUMIFS(Table2[NewPointsAway],Table2[GameDate], "&lt;=" &amp; $A167, Table2[AwayTeam], E$1)+SUMIFS(Table2[NewPointsHome],Table2[GameDate], "&lt;=" &amp; $A167, Table2[HomeTeam], E$1)</f>
        <v>44</v>
      </c>
      <c r="F167" s="145">
        <f>SUMIFS(Table2[NewPointsAway],Table2[GameDate], "&lt;=" &amp; $A167, Table2[AwayTeam], F$1)+SUMIFS(Table2[NewPointsHome],Table2[GameDate], "&lt;=" &amp; $A167, Table2[HomeTeam], F$1)</f>
        <v>34</v>
      </c>
      <c r="G167" s="145">
        <f>SUMIFS(Table2[NewPointsAway],Table2[GameDate], "&lt;=" &amp; $A167, Table2[AwayTeam], G$1)+SUMIFS(Table2[NewPointsHome],Table2[GameDate], "&lt;=" &amp; $A167, Table2[HomeTeam], G$1)</f>
        <v>30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55</v>
      </c>
      <c r="J167" s="145">
        <f>SUMIFS(Table2[NewPointsAway],Table2[GameDate], "&lt;=" &amp; $A167, Table2[AwayTeam], J$1)+SUMIFS(Table2[NewPointsHome],Table2[GameDate], "&lt;=" &amp; $A167, Table2[HomeTeam], J$1)</f>
        <v>49</v>
      </c>
      <c r="K167" s="145">
        <f>SUMIFS(Table2[NewPointsAway],Table2[GameDate], "&lt;=" &amp; $A167, Table2[AwayTeam], K$1)+SUMIFS(Table2[NewPointsHome],Table2[GameDate], "&lt;=" &amp; $A167, Table2[HomeTeam], K$1)</f>
        <v>41</v>
      </c>
      <c r="L167" s="145">
        <f>SUMIFS(Table2[NewPointsAway],Table2[GameDate], "&lt;=" &amp; $A167, Table2[AwayTeam], L$1)+SUMIFS(Table2[NewPointsHome],Table2[GameDate], "&lt;=" &amp; $A167, Table2[HomeTeam], L$1)</f>
        <v>38</v>
      </c>
      <c r="M167" s="145">
        <f>SUMIFS(Table2[NewPointsAway],Table2[GameDate], "&lt;=" &amp; $A167, Table2[AwayTeam], M$1)+SUMIFS(Table2[NewPointsHome],Table2[GameDate], "&lt;=" &amp; $A167, Table2[HomeTeam], M$1)</f>
        <v>36</v>
      </c>
      <c r="N167" s="145">
        <f>SUMIFS(Table2[NewPointsAway],Table2[GameDate], "&lt;=" &amp; $A167, Table2[AwayTeam], N$1)+SUMIFS(Table2[NewPointsHome],Table2[GameDate], "&lt;=" &amp; $A167, Table2[HomeTeam], N$1)</f>
        <v>37</v>
      </c>
      <c r="O167" s="145">
        <f>SUMIFS(Table2[NewPointsAway],Table2[GameDate], "&lt;=" &amp; $A167, Table2[AwayTeam], O$1)+SUMIFS(Table2[NewPointsHome],Table2[GameDate], "&lt;=" &amp; $A167, Table2[HomeTeam], O$1)</f>
        <v>45</v>
      </c>
      <c r="P167" s="145">
        <f>SUMIFS(Table2[NewPointsAway],Table2[GameDate], "&lt;=" &amp; $A167, Table2[AwayTeam], P$1)+SUMIFS(Table2[NewPointsHome],Table2[GameDate], "&lt;=" &amp; $A167, Table2[HomeTeam], P$1)</f>
        <v>38</v>
      </c>
      <c r="Q167" s="145">
        <f>SUMIFS(Table2[NewPointsAway],Table2[GameDate], "&lt;=" &amp; $A167, Table2[AwayTeam], Q$1)+SUMIFS(Table2[NewPointsHome],Table2[GameDate], "&lt;=" &amp; $A167, Table2[HomeTeam], Q$1)</f>
        <v>37</v>
      </c>
      <c r="R167" s="145">
        <f>SUMIFS(Table2[NewPointsAway],Table2[GameDate], "&lt;=" &amp; $A167, Table2[AwayTeam], R$1)+SUMIFS(Table2[NewPointsHome],Table2[GameDate], "&lt;=" &amp; $A167, Table2[HomeTeam], R$1)</f>
        <v>30</v>
      </c>
      <c r="S167" s="145">
        <f>SUMIFS(Table2[NewPointsAway],Table2[GameDate], "&lt;=" &amp; $A167, Table2[AwayTeam], S$1)+SUMIFS(Table2[NewPointsHome],Table2[GameDate], "&lt;=" &amp; $A167, Table2[HomeTeam], S$1)</f>
        <v>41</v>
      </c>
      <c r="T167" s="145">
        <f>SUMIFS(Table2[NewPointsAway],Table2[GameDate], "&lt;=" &amp; $A167, Table2[AwayTeam], T$1)+SUMIFS(Table2[NewPointsHome],Table2[GameDate], "&lt;=" &amp; $A167, Table2[HomeTeam], T$1)</f>
        <v>36</v>
      </c>
      <c r="U167" s="145">
        <f>SUMIFS(Table2[NewPointsAway],Table2[GameDate], "&lt;=" &amp; $A167, Table2[AwayTeam], U$1)+SUMIFS(Table2[NewPointsHome],Table2[GameDate], "&lt;=" &amp; $A167, Table2[HomeTeam], U$1)</f>
        <v>34</v>
      </c>
      <c r="V167" s="145">
        <f>SUMIFS(Table2[NewPointsAway],Table2[GameDate], "&lt;=" &amp; $A167, Table2[AwayTeam], V$1)+SUMIFS(Table2[NewPointsHome],Table2[GameDate], "&lt;=" &amp; $A167, Table2[HomeTeam], V$1)</f>
        <v>39</v>
      </c>
      <c r="W167" s="145">
        <f>SUMIFS(Table2[NewPointsAway],Table2[GameDate], "&lt;=" &amp; $A167, Table2[AwayTeam], W$1)+SUMIFS(Table2[NewPointsHome],Table2[GameDate], "&lt;=" &amp; $A167, Table2[HomeTeam], W$1)</f>
        <v>37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37</v>
      </c>
      <c r="Z167" s="145">
        <f>SUMIFS(Table2[NewPointsAway],Table2[GameDate], "&lt;=" &amp; $A167, Table2[AwayTeam], Z$1)+SUMIFS(Table2[NewPointsHome],Table2[GameDate], "&lt;=" &amp; $A167, Table2[HomeTeam], Z$1)</f>
        <v>32</v>
      </c>
      <c r="AA167" s="145">
        <f>SUMIFS(Table2[NewPointsAway],Table2[GameDate], "&lt;=" &amp; $A167, Table2[AwayTeam], AA$1)+SUMIFS(Table2[NewPointsHome],Table2[GameDate], "&lt;=" &amp; $A167, Table2[HomeTeam], AA$1)</f>
        <v>39</v>
      </c>
      <c r="AB167" s="145">
        <f>SUMIFS(Table2[NewPointsAway],Table2[GameDate], "&lt;=" &amp; $A167, Table2[AwayTeam], AB$1)+SUMIFS(Table2[NewPointsHome],Table2[GameDate], "&lt;=" &amp; $A167, Table2[HomeTeam], AB$1)</f>
        <v>35</v>
      </c>
      <c r="AC167" s="145">
        <f>SUMIFS(Table2[NewPointsAway],Table2[GameDate], "&lt;=" &amp; $A167, Table2[AwayTeam], AC$1)+SUMIFS(Table2[NewPointsHome],Table2[GameDate], "&lt;=" &amp; $A167, Table2[HomeTeam], AC$1)</f>
        <v>35</v>
      </c>
      <c r="AD167" s="145">
        <f>SUMIFS(Table2[NewPointsAway],Table2[GameDate], "&lt;=" &amp; $A167, Table2[AwayTeam], AD$1)+SUMIFS(Table2[NewPointsHome],Table2[GameDate], "&lt;=" &amp; $A167, Table2[HomeTeam], AD$1)</f>
        <v>29</v>
      </c>
      <c r="AE167" s="145">
        <f>SUMIFS(Table2[NewPointsAway],Table2[GameDate], "&lt;=" &amp; $A167, Table2[AwayTeam], AE$1)+SUMIFS(Table2[NewPointsHome],Table2[GameDate], "&lt;=" &amp; $A167, Table2[HomeTeam], AE$1)</f>
        <v>41</v>
      </c>
      <c r="AF167" s="145">
        <f>SUMIFS(Table2[NewPointsAway],Table2[GameDate], "&lt;=" &amp; $A167, Table2[AwayTeam], AF$1)+SUMIFS(Table2[NewPointsHome],Table2[GameDate], "&lt;=" &amp; $A167, Table2[HomeTeam], AF$1)</f>
        <v>32</v>
      </c>
      <c r="AG167" s="145">
        <f>SUMIFS(Table2[NewPointsAway],Table2[GameDate], "&lt;=" &amp; $A167, Table2[AwayTeam], AG$1)+SUMIFS(Table2[NewPointsHome],Table2[GameDate], "&lt;=" &amp; $A167, Table2[HomeTeam], AG$1)</f>
        <v>40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42</v>
      </c>
      <c r="C168" s="145">
        <f>SUMIFS(Table2[NewPointsAway],Table2[GameDate], "&lt;=" &amp; $A168, Table2[AwayTeam], C$1)+SUMIFS(Table2[NewPointsHome],Table2[GameDate], "&lt;=" &amp; $A168, Table2[HomeTeam], C$1)</f>
        <v>40</v>
      </c>
      <c r="D168" s="145">
        <f>SUMIFS(Table2[NewPointsAway],Table2[GameDate], "&lt;=" &amp; $A168, Table2[AwayTeam], D$1)+SUMIFS(Table2[NewPointsHome],Table2[GameDate], "&lt;=" &amp; $A168, Table2[HomeTeam], D$1)</f>
        <v>32</v>
      </c>
      <c r="E168" s="145">
        <f>SUMIFS(Table2[NewPointsAway],Table2[GameDate], "&lt;=" &amp; $A168, Table2[AwayTeam], E$1)+SUMIFS(Table2[NewPointsHome],Table2[GameDate], "&lt;=" &amp; $A168, Table2[HomeTeam], E$1)</f>
        <v>44</v>
      </c>
      <c r="F168" s="145">
        <f>SUMIFS(Table2[NewPointsAway],Table2[GameDate], "&lt;=" &amp; $A168, Table2[AwayTeam], F$1)+SUMIFS(Table2[NewPointsHome],Table2[GameDate], "&lt;=" &amp; $A168, Table2[HomeTeam], F$1)</f>
        <v>34</v>
      </c>
      <c r="G168" s="145">
        <f>SUMIFS(Table2[NewPointsAway],Table2[GameDate], "&lt;=" &amp; $A168, Table2[AwayTeam], G$1)+SUMIFS(Table2[NewPointsHome],Table2[GameDate], "&lt;=" &amp; $A168, Table2[HomeTeam], G$1)</f>
        <v>30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55</v>
      </c>
      <c r="J168" s="145">
        <f>SUMIFS(Table2[NewPointsAway],Table2[GameDate], "&lt;=" &amp; $A168, Table2[AwayTeam], J$1)+SUMIFS(Table2[NewPointsHome],Table2[GameDate], "&lt;=" &amp; $A168, Table2[HomeTeam], J$1)</f>
        <v>49</v>
      </c>
      <c r="K168" s="145">
        <f>SUMIFS(Table2[NewPointsAway],Table2[GameDate], "&lt;=" &amp; $A168, Table2[AwayTeam], K$1)+SUMIFS(Table2[NewPointsHome],Table2[GameDate], "&lt;=" &amp; $A168, Table2[HomeTeam], K$1)</f>
        <v>41</v>
      </c>
      <c r="L168" s="145">
        <f>SUMIFS(Table2[NewPointsAway],Table2[GameDate], "&lt;=" &amp; $A168, Table2[AwayTeam], L$1)+SUMIFS(Table2[NewPointsHome],Table2[GameDate], "&lt;=" &amp; $A168, Table2[HomeTeam], L$1)</f>
        <v>38</v>
      </c>
      <c r="M168" s="145">
        <f>SUMIFS(Table2[NewPointsAway],Table2[GameDate], "&lt;=" &amp; $A168, Table2[AwayTeam], M$1)+SUMIFS(Table2[NewPointsHome],Table2[GameDate], "&lt;=" &amp; $A168, Table2[HomeTeam], M$1)</f>
        <v>36</v>
      </c>
      <c r="N168" s="145">
        <f>SUMIFS(Table2[NewPointsAway],Table2[GameDate], "&lt;=" &amp; $A168, Table2[AwayTeam], N$1)+SUMIFS(Table2[NewPointsHome],Table2[GameDate], "&lt;=" &amp; $A168, Table2[HomeTeam], N$1)</f>
        <v>37</v>
      </c>
      <c r="O168" s="145">
        <f>SUMIFS(Table2[NewPointsAway],Table2[GameDate], "&lt;=" &amp; $A168, Table2[AwayTeam], O$1)+SUMIFS(Table2[NewPointsHome],Table2[GameDate], "&lt;=" &amp; $A168, Table2[HomeTeam], O$1)</f>
        <v>45</v>
      </c>
      <c r="P168" s="145">
        <f>SUMIFS(Table2[NewPointsAway],Table2[GameDate], "&lt;=" &amp; $A168, Table2[AwayTeam], P$1)+SUMIFS(Table2[NewPointsHome],Table2[GameDate], "&lt;=" &amp; $A168, Table2[HomeTeam], P$1)</f>
        <v>38</v>
      </c>
      <c r="Q168" s="145">
        <f>SUMIFS(Table2[NewPointsAway],Table2[GameDate], "&lt;=" &amp; $A168, Table2[AwayTeam], Q$1)+SUMIFS(Table2[NewPointsHome],Table2[GameDate], "&lt;=" &amp; $A168, Table2[HomeTeam], Q$1)</f>
        <v>37</v>
      </c>
      <c r="R168" s="145">
        <f>SUMIFS(Table2[NewPointsAway],Table2[GameDate], "&lt;=" &amp; $A168, Table2[AwayTeam], R$1)+SUMIFS(Table2[NewPointsHome],Table2[GameDate], "&lt;=" &amp; $A168, Table2[HomeTeam], R$1)</f>
        <v>30</v>
      </c>
      <c r="S168" s="145">
        <f>SUMIFS(Table2[NewPointsAway],Table2[GameDate], "&lt;=" &amp; $A168, Table2[AwayTeam], S$1)+SUMIFS(Table2[NewPointsHome],Table2[GameDate], "&lt;=" &amp; $A168, Table2[HomeTeam], S$1)</f>
        <v>41</v>
      </c>
      <c r="T168" s="145">
        <f>SUMIFS(Table2[NewPointsAway],Table2[GameDate], "&lt;=" &amp; $A168, Table2[AwayTeam], T$1)+SUMIFS(Table2[NewPointsHome],Table2[GameDate], "&lt;=" &amp; $A168, Table2[HomeTeam], T$1)</f>
        <v>36</v>
      </c>
      <c r="U168" s="145">
        <f>SUMIFS(Table2[NewPointsAway],Table2[GameDate], "&lt;=" &amp; $A168, Table2[AwayTeam], U$1)+SUMIFS(Table2[NewPointsHome],Table2[GameDate], "&lt;=" &amp; $A168, Table2[HomeTeam], U$1)</f>
        <v>34</v>
      </c>
      <c r="V168" s="145">
        <f>SUMIFS(Table2[NewPointsAway],Table2[GameDate], "&lt;=" &amp; $A168, Table2[AwayTeam], V$1)+SUMIFS(Table2[NewPointsHome],Table2[GameDate], "&lt;=" &amp; $A168, Table2[HomeTeam], V$1)</f>
        <v>39</v>
      </c>
      <c r="W168" s="145">
        <f>SUMIFS(Table2[NewPointsAway],Table2[GameDate], "&lt;=" &amp; $A168, Table2[AwayTeam], W$1)+SUMIFS(Table2[NewPointsHome],Table2[GameDate], "&lt;=" &amp; $A168, Table2[HomeTeam], W$1)</f>
        <v>37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37</v>
      </c>
      <c r="Z168" s="145">
        <f>SUMIFS(Table2[NewPointsAway],Table2[GameDate], "&lt;=" &amp; $A168, Table2[AwayTeam], Z$1)+SUMIFS(Table2[NewPointsHome],Table2[GameDate], "&lt;=" &amp; $A168, Table2[HomeTeam], Z$1)</f>
        <v>32</v>
      </c>
      <c r="AA168" s="145">
        <f>SUMIFS(Table2[NewPointsAway],Table2[GameDate], "&lt;=" &amp; $A168, Table2[AwayTeam], AA$1)+SUMIFS(Table2[NewPointsHome],Table2[GameDate], "&lt;=" &amp; $A168, Table2[HomeTeam], AA$1)</f>
        <v>39</v>
      </c>
      <c r="AB168" s="145">
        <f>SUMIFS(Table2[NewPointsAway],Table2[GameDate], "&lt;=" &amp; $A168, Table2[AwayTeam], AB$1)+SUMIFS(Table2[NewPointsHome],Table2[GameDate], "&lt;=" &amp; $A168, Table2[HomeTeam], AB$1)</f>
        <v>35</v>
      </c>
      <c r="AC168" s="145">
        <f>SUMIFS(Table2[NewPointsAway],Table2[GameDate], "&lt;=" &amp; $A168, Table2[AwayTeam], AC$1)+SUMIFS(Table2[NewPointsHome],Table2[GameDate], "&lt;=" &amp; $A168, Table2[HomeTeam], AC$1)</f>
        <v>35</v>
      </c>
      <c r="AD168" s="145">
        <f>SUMIFS(Table2[NewPointsAway],Table2[GameDate], "&lt;=" &amp; $A168, Table2[AwayTeam], AD$1)+SUMIFS(Table2[NewPointsHome],Table2[GameDate], "&lt;=" &amp; $A168, Table2[HomeTeam], AD$1)</f>
        <v>29</v>
      </c>
      <c r="AE168" s="145">
        <f>SUMIFS(Table2[NewPointsAway],Table2[GameDate], "&lt;=" &amp; $A168, Table2[AwayTeam], AE$1)+SUMIFS(Table2[NewPointsHome],Table2[GameDate], "&lt;=" &amp; $A168, Table2[HomeTeam], AE$1)</f>
        <v>41</v>
      </c>
      <c r="AF168" s="145">
        <f>SUMIFS(Table2[NewPointsAway],Table2[GameDate], "&lt;=" &amp; $A168, Table2[AwayTeam], AF$1)+SUMIFS(Table2[NewPointsHome],Table2[GameDate], "&lt;=" &amp; $A168, Table2[HomeTeam], AF$1)</f>
        <v>32</v>
      </c>
      <c r="AG168" s="145">
        <f>SUMIFS(Table2[NewPointsAway],Table2[GameDate], "&lt;=" &amp; $A168, Table2[AwayTeam], AG$1)+SUMIFS(Table2[NewPointsHome],Table2[GameDate], "&lt;=" &amp; $A168, Table2[HomeTeam], AG$1)</f>
        <v>40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42</v>
      </c>
      <c r="C169" s="145">
        <f>SUMIFS(Table2[NewPointsAway],Table2[GameDate], "&lt;=" &amp; $A169, Table2[AwayTeam], C$1)+SUMIFS(Table2[NewPointsHome],Table2[GameDate], "&lt;=" &amp; $A169, Table2[HomeTeam], C$1)</f>
        <v>40</v>
      </c>
      <c r="D169" s="145">
        <f>SUMIFS(Table2[NewPointsAway],Table2[GameDate], "&lt;=" &amp; $A169, Table2[AwayTeam], D$1)+SUMIFS(Table2[NewPointsHome],Table2[GameDate], "&lt;=" &amp; $A169, Table2[HomeTeam], D$1)</f>
        <v>32</v>
      </c>
      <c r="E169" s="145">
        <f>SUMIFS(Table2[NewPointsAway],Table2[GameDate], "&lt;=" &amp; $A169, Table2[AwayTeam], E$1)+SUMIFS(Table2[NewPointsHome],Table2[GameDate], "&lt;=" &amp; $A169, Table2[HomeTeam], E$1)</f>
        <v>44</v>
      </c>
      <c r="F169" s="145">
        <f>SUMIFS(Table2[NewPointsAway],Table2[GameDate], "&lt;=" &amp; $A169, Table2[AwayTeam], F$1)+SUMIFS(Table2[NewPointsHome],Table2[GameDate], "&lt;=" &amp; $A169, Table2[HomeTeam], F$1)</f>
        <v>34</v>
      </c>
      <c r="G169" s="145">
        <f>SUMIFS(Table2[NewPointsAway],Table2[GameDate], "&lt;=" &amp; $A169, Table2[AwayTeam], G$1)+SUMIFS(Table2[NewPointsHome],Table2[GameDate], "&lt;=" &amp; $A169, Table2[HomeTeam], G$1)</f>
        <v>30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55</v>
      </c>
      <c r="J169" s="145">
        <f>SUMIFS(Table2[NewPointsAway],Table2[GameDate], "&lt;=" &amp; $A169, Table2[AwayTeam], J$1)+SUMIFS(Table2[NewPointsHome],Table2[GameDate], "&lt;=" &amp; $A169, Table2[HomeTeam], J$1)</f>
        <v>49</v>
      </c>
      <c r="K169" s="145">
        <f>SUMIFS(Table2[NewPointsAway],Table2[GameDate], "&lt;=" &amp; $A169, Table2[AwayTeam], K$1)+SUMIFS(Table2[NewPointsHome],Table2[GameDate], "&lt;=" &amp; $A169, Table2[HomeTeam], K$1)</f>
        <v>41</v>
      </c>
      <c r="L169" s="145">
        <f>SUMIFS(Table2[NewPointsAway],Table2[GameDate], "&lt;=" &amp; $A169, Table2[AwayTeam], L$1)+SUMIFS(Table2[NewPointsHome],Table2[GameDate], "&lt;=" &amp; $A169, Table2[HomeTeam], L$1)</f>
        <v>38</v>
      </c>
      <c r="M169" s="145">
        <f>SUMIFS(Table2[NewPointsAway],Table2[GameDate], "&lt;=" &amp; $A169, Table2[AwayTeam], M$1)+SUMIFS(Table2[NewPointsHome],Table2[GameDate], "&lt;=" &amp; $A169, Table2[HomeTeam], M$1)</f>
        <v>36</v>
      </c>
      <c r="N169" s="145">
        <f>SUMIFS(Table2[NewPointsAway],Table2[GameDate], "&lt;=" &amp; $A169, Table2[AwayTeam], N$1)+SUMIFS(Table2[NewPointsHome],Table2[GameDate], "&lt;=" &amp; $A169, Table2[HomeTeam], N$1)</f>
        <v>37</v>
      </c>
      <c r="O169" s="145">
        <f>SUMIFS(Table2[NewPointsAway],Table2[GameDate], "&lt;=" &amp; $A169, Table2[AwayTeam], O$1)+SUMIFS(Table2[NewPointsHome],Table2[GameDate], "&lt;=" &amp; $A169, Table2[HomeTeam], O$1)</f>
        <v>45</v>
      </c>
      <c r="P169" s="145">
        <f>SUMIFS(Table2[NewPointsAway],Table2[GameDate], "&lt;=" &amp; $A169, Table2[AwayTeam], P$1)+SUMIFS(Table2[NewPointsHome],Table2[GameDate], "&lt;=" &amp; $A169, Table2[HomeTeam], P$1)</f>
        <v>38</v>
      </c>
      <c r="Q169" s="145">
        <f>SUMIFS(Table2[NewPointsAway],Table2[GameDate], "&lt;=" &amp; $A169, Table2[AwayTeam], Q$1)+SUMIFS(Table2[NewPointsHome],Table2[GameDate], "&lt;=" &amp; $A169, Table2[HomeTeam], Q$1)</f>
        <v>37</v>
      </c>
      <c r="R169" s="145">
        <f>SUMIFS(Table2[NewPointsAway],Table2[GameDate], "&lt;=" &amp; $A169, Table2[AwayTeam], R$1)+SUMIFS(Table2[NewPointsHome],Table2[GameDate], "&lt;=" &amp; $A169, Table2[HomeTeam], R$1)</f>
        <v>30</v>
      </c>
      <c r="S169" s="145">
        <f>SUMIFS(Table2[NewPointsAway],Table2[GameDate], "&lt;=" &amp; $A169, Table2[AwayTeam], S$1)+SUMIFS(Table2[NewPointsHome],Table2[GameDate], "&lt;=" &amp; $A169, Table2[HomeTeam], S$1)</f>
        <v>41</v>
      </c>
      <c r="T169" s="145">
        <f>SUMIFS(Table2[NewPointsAway],Table2[GameDate], "&lt;=" &amp; $A169, Table2[AwayTeam], T$1)+SUMIFS(Table2[NewPointsHome],Table2[GameDate], "&lt;=" &amp; $A169, Table2[HomeTeam], T$1)</f>
        <v>36</v>
      </c>
      <c r="U169" s="145">
        <f>SUMIFS(Table2[NewPointsAway],Table2[GameDate], "&lt;=" &amp; $A169, Table2[AwayTeam], U$1)+SUMIFS(Table2[NewPointsHome],Table2[GameDate], "&lt;=" &amp; $A169, Table2[HomeTeam], U$1)</f>
        <v>34</v>
      </c>
      <c r="V169" s="145">
        <f>SUMIFS(Table2[NewPointsAway],Table2[GameDate], "&lt;=" &amp; $A169, Table2[AwayTeam], V$1)+SUMIFS(Table2[NewPointsHome],Table2[GameDate], "&lt;=" &amp; $A169, Table2[HomeTeam], V$1)</f>
        <v>39</v>
      </c>
      <c r="W169" s="145">
        <f>SUMIFS(Table2[NewPointsAway],Table2[GameDate], "&lt;=" &amp; $A169, Table2[AwayTeam], W$1)+SUMIFS(Table2[NewPointsHome],Table2[GameDate], "&lt;=" &amp; $A169, Table2[HomeTeam], W$1)</f>
        <v>37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37</v>
      </c>
      <c r="Z169" s="145">
        <f>SUMIFS(Table2[NewPointsAway],Table2[GameDate], "&lt;=" &amp; $A169, Table2[AwayTeam], Z$1)+SUMIFS(Table2[NewPointsHome],Table2[GameDate], "&lt;=" &amp; $A169, Table2[HomeTeam], Z$1)</f>
        <v>32</v>
      </c>
      <c r="AA169" s="145">
        <f>SUMIFS(Table2[NewPointsAway],Table2[GameDate], "&lt;=" &amp; $A169, Table2[AwayTeam], AA$1)+SUMIFS(Table2[NewPointsHome],Table2[GameDate], "&lt;=" &amp; $A169, Table2[HomeTeam], AA$1)</f>
        <v>39</v>
      </c>
      <c r="AB169" s="145">
        <f>SUMIFS(Table2[NewPointsAway],Table2[GameDate], "&lt;=" &amp; $A169, Table2[AwayTeam], AB$1)+SUMIFS(Table2[NewPointsHome],Table2[GameDate], "&lt;=" &amp; $A169, Table2[HomeTeam], AB$1)</f>
        <v>35</v>
      </c>
      <c r="AC169" s="145">
        <f>SUMIFS(Table2[NewPointsAway],Table2[GameDate], "&lt;=" &amp; $A169, Table2[AwayTeam], AC$1)+SUMIFS(Table2[NewPointsHome],Table2[GameDate], "&lt;=" &amp; $A169, Table2[HomeTeam], AC$1)</f>
        <v>35</v>
      </c>
      <c r="AD169" s="145">
        <f>SUMIFS(Table2[NewPointsAway],Table2[GameDate], "&lt;=" &amp; $A169, Table2[AwayTeam], AD$1)+SUMIFS(Table2[NewPointsHome],Table2[GameDate], "&lt;=" &amp; $A169, Table2[HomeTeam], AD$1)</f>
        <v>29</v>
      </c>
      <c r="AE169" s="145">
        <f>SUMIFS(Table2[NewPointsAway],Table2[GameDate], "&lt;=" &amp; $A169, Table2[AwayTeam], AE$1)+SUMIFS(Table2[NewPointsHome],Table2[GameDate], "&lt;=" &amp; $A169, Table2[HomeTeam], AE$1)</f>
        <v>41</v>
      </c>
      <c r="AF169" s="145">
        <f>SUMIFS(Table2[NewPointsAway],Table2[GameDate], "&lt;=" &amp; $A169, Table2[AwayTeam], AF$1)+SUMIFS(Table2[NewPointsHome],Table2[GameDate], "&lt;=" &amp; $A169, Table2[HomeTeam], AF$1)</f>
        <v>32</v>
      </c>
      <c r="AG169" s="145">
        <f>SUMIFS(Table2[NewPointsAway],Table2[GameDate], "&lt;=" &amp; $A169, Table2[AwayTeam], AG$1)+SUMIFS(Table2[NewPointsHome],Table2[GameDate], "&lt;=" &amp; $A169, Table2[HomeTeam], AG$1)</f>
        <v>40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42</v>
      </c>
      <c r="C170" s="145">
        <f>SUMIFS(Table2[NewPointsAway],Table2[GameDate], "&lt;=" &amp; $A170, Table2[AwayTeam], C$1)+SUMIFS(Table2[NewPointsHome],Table2[GameDate], "&lt;=" &amp; $A170, Table2[HomeTeam], C$1)</f>
        <v>40</v>
      </c>
      <c r="D170" s="145">
        <f>SUMIFS(Table2[NewPointsAway],Table2[GameDate], "&lt;=" &amp; $A170, Table2[AwayTeam], D$1)+SUMIFS(Table2[NewPointsHome],Table2[GameDate], "&lt;=" &amp; $A170, Table2[HomeTeam], D$1)</f>
        <v>32</v>
      </c>
      <c r="E170" s="145">
        <f>SUMIFS(Table2[NewPointsAway],Table2[GameDate], "&lt;=" &amp; $A170, Table2[AwayTeam], E$1)+SUMIFS(Table2[NewPointsHome],Table2[GameDate], "&lt;=" &amp; $A170, Table2[HomeTeam], E$1)</f>
        <v>44</v>
      </c>
      <c r="F170" s="145">
        <f>SUMIFS(Table2[NewPointsAway],Table2[GameDate], "&lt;=" &amp; $A170, Table2[AwayTeam], F$1)+SUMIFS(Table2[NewPointsHome],Table2[GameDate], "&lt;=" &amp; $A170, Table2[HomeTeam], F$1)</f>
        <v>34</v>
      </c>
      <c r="G170" s="145">
        <f>SUMIFS(Table2[NewPointsAway],Table2[GameDate], "&lt;=" &amp; $A170, Table2[AwayTeam], G$1)+SUMIFS(Table2[NewPointsHome],Table2[GameDate], "&lt;=" &amp; $A170, Table2[HomeTeam], G$1)</f>
        <v>30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55</v>
      </c>
      <c r="J170" s="145">
        <f>SUMIFS(Table2[NewPointsAway],Table2[GameDate], "&lt;=" &amp; $A170, Table2[AwayTeam], J$1)+SUMIFS(Table2[NewPointsHome],Table2[GameDate], "&lt;=" &amp; $A170, Table2[HomeTeam], J$1)</f>
        <v>49</v>
      </c>
      <c r="K170" s="145">
        <f>SUMIFS(Table2[NewPointsAway],Table2[GameDate], "&lt;=" &amp; $A170, Table2[AwayTeam], K$1)+SUMIFS(Table2[NewPointsHome],Table2[GameDate], "&lt;=" &amp; $A170, Table2[HomeTeam], K$1)</f>
        <v>41</v>
      </c>
      <c r="L170" s="145">
        <f>SUMIFS(Table2[NewPointsAway],Table2[GameDate], "&lt;=" &amp; $A170, Table2[AwayTeam], L$1)+SUMIFS(Table2[NewPointsHome],Table2[GameDate], "&lt;=" &amp; $A170, Table2[HomeTeam], L$1)</f>
        <v>38</v>
      </c>
      <c r="M170" s="145">
        <f>SUMIFS(Table2[NewPointsAway],Table2[GameDate], "&lt;=" &amp; $A170, Table2[AwayTeam], M$1)+SUMIFS(Table2[NewPointsHome],Table2[GameDate], "&lt;=" &amp; $A170, Table2[HomeTeam], M$1)</f>
        <v>36</v>
      </c>
      <c r="N170" s="145">
        <f>SUMIFS(Table2[NewPointsAway],Table2[GameDate], "&lt;=" &amp; $A170, Table2[AwayTeam], N$1)+SUMIFS(Table2[NewPointsHome],Table2[GameDate], "&lt;=" &amp; $A170, Table2[HomeTeam], N$1)</f>
        <v>37</v>
      </c>
      <c r="O170" s="145">
        <f>SUMIFS(Table2[NewPointsAway],Table2[GameDate], "&lt;=" &amp; $A170, Table2[AwayTeam], O$1)+SUMIFS(Table2[NewPointsHome],Table2[GameDate], "&lt;=" &amp; $A170, Table2[HomeTeam], O$1)</f>
        <v>45</v>
      </c>
      <c r="P170" s="145">
        <f>SUMIFS(Table2[NewPointsAway],Table2[GameDate], "&lt;=" &amp; $A170, Table2[AwayTeam], P$1)+SUMIFS(Table2[NewPointsHome],Table2[GameDate], "&lt;=" &amp; $A170, Table2[HomeTeam], P$1)</f>
        <v>38</v>
      </c>
      <c r="Q170" s="145">
        <f>SUMIFS(Table2[NewPointsAway],Table2[GameDate], "&lt;=" &amp; $A170, Table2[AwayTeam], Q$1)+SUMIFS(Table2[NewPointsHome],Table2[GameDate], "&lt;=" &amp; $A170, Table2[HomeTeam], Q$1)</f>
        <v>37</v>
      </c>
      <c r="R170" s="145">
        <f>SUMIFS(Table2[NewPointsAway],Table2[GameDate], "&lt;=" &amp; $A170, Table2[AwayTeam], R$1)+SUMIFS(Table2[NewPointsHome],Table2[GameDate], "&lt;=" &amp; $A170, Table2[HomeTeam], R$1)</f>
        <v>30</v>
      </c>
      <c r="S170" s="145">
        <f>SUMIFS(Table2[NewPointsAway],Table2[GameDate], "&lt;=" &amp; $A170, Table2[AwayTeam], S$1)+SUMIFS(Table2[NewPointsHome],Table2[GameDate], "&lt;=" &amp; $A170, Table2[HomeTeam], S$1)</f>
        <v>41</v>
      </c>
      <c r="T170" s="145">
        <f>SUMIFS(Table2[NewPointsAway],Table2[GameDate], "&lt;=" &amp; $A170, Table2[AwayTeam], T$1)+SUMIFS(Table2[NewPointsHome],Table2[GameDate], "&lt;=" &amp; $A170, Table2[HomeTeam], T$1)</f>
        <v>36</v>
      </c>
      <c r="U170" s="145">
        <f>SUMIFS(Table2[NewPointsAway],Table2[GameDate], "&lt;=" &amp; $A170, Table2[AwayTeam], U$1)+SUMIFS(Table2[NewPointsHome],Table2[GameDate], "&lt;=" &amp; $A170, Table2[HomeTeam], U$1)</f>
        <v>34</v>
      </c>
      <c r="V170" s="145">
        <f>SUMIFS(Table2[NewPointsAway],Table2[GameDate], "&lt;=" &amp; $A170, Table2[AwayTeam], V$1)+SUMIFS(Table2[NewPointsHome],Table2[GameDate], "&lt;=" &amp; $A170, Table2[HomeTeam], V$1)</f>
        <v>39</v>
      </c>
      <c r="W170" s="145">
        <f>SUMIFS(Table2[NewPointsAway],Table2[GameDate], "&lt;=" &amp; $A170, Table2[AwayTeam], W$1)+SUMIFS(Table2[NewPointsHome],Table2[GameDate], "&lt;=" &amp; $A170, Table2[HomeTeam], W$1)</f>
        <v>37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37</v>
      </c>
      <c r="Z170" s="145">
        <f>SUMIFS(Table2[NewPointsAway],Table2[GameDate], "&lt;=" &amp; $A170, Table2[AwayTeam], Z$1)+SUMIFS(Table2[NewPointsHome],Table2[GameDate], "&lt;=" &amp; $A170, Table2[HomeTeam], Z$1)</f>
        <v>32</v>
      </c>
      <c r="AA170" s="145">
        <f>SUMIFS(Table2[NewPointsAway],Table2[GameDate], "&lt;=" &amp; $A170, Table2[AwayTeam], AA$1)+SUMIFS(Table2[NewPointsHome],Table2[GameDate], "&lt;=" &amp; $A170, Table2[HomeTeam], AA$1)</f>
        <v>39</v>
      </c>
      <c r="AB170" s="145">
        <f>SUMIFS(Table2[NewPointsAway],Table2[GameDate], "&lt;=" &amp; $A170, Table2[AwayTeam], AB$1)+SUMIFS(Table2[NewPointsHome],Table2[GameDate], "&lt;=" &amp; $A170, Table2[HomeTeam], AB$1)</f>
        <v>35</v>
      </c>
      <c r="AC170" s="145">
        <f>SUMIFS(Table2[NewPointsAway],Table2[GameDate], "&lt;=" &amp; $A170, Table2[AwayTeam], AC$1)+SUMIFS(Table2[NewPointsHome],Table2[GameDate], "&lt;=" &amp; $A170, Table2[HomeTeam], AC$1)</f>
        <v>35</v>
      </c>
      <c r="AD170" s="145">
        <f>SUMIFS(Table2[NewPointsAway],Table2[GameDate], "&lt;=" &amp; $A170, Table2[AwayTeam], AD$1)+SUMIFS(Table2[NewPointsHome],Table2[GameDate], "&lt;=" &amp; $A170, Table2[HomeTeam], AD$1)</f>
        <v>29</v>
      </c>
      <c r="AE170" s="145">
        <f>SUMIFS(Table2[NewPointsAway],Table2[GameDate], "&lt;=" &amp; $A170, Table2[AwayTeam], AE$1)+SUMIFS(Table2[NewPointsHome],Table2[GameDate], "&lt;=" &amp; $A170, Table2[HomeTeam], AE$1)</f>
        <v>41</v>
      </c>
      <c r="AF170" s="145">
        <f>SUMIFS(Table2[NewPointsAway],Table2[GameDate], "&lt;=" &amp; $A170, Table2[AwayTeam], AF$1)+SUMIFS(Table2[NewPointsHome],Table2[GameDate], "&lt;=" &amp; $A170, Table2[HomeTeam], AF$1)</f>
        <v>32</v>
      </c>
      <c r="AG170" s="145">
        <f>SUMIFS(Table2[NewPointsAway],Table2[GameDate], "&lt;=" &amp; $A170, Table2[AwayTeam], AG$1)+SUMIFS(Table2[NewPointsHome],Table2[GameDate], "&lt;=" &amp; $A170, Table2[HomeTeam], AG$1)</f>
        <v>40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42</v>
      </c>
      <c r="C171" s="145">
        <f>SUMIFS(Table2[NewPointsAway],Table2[GameDate], "&lt;=" &amp; $A171, Table2[AwayTeam], C$1)+SUMIFS(Table2[NewPointsHome],Table2[GameDate], "&lt;=" &amp; $A171, Table2[HomeTeam], C$1)</f>
        <v>40</v>
      </c>
      <c r="D171" s="145">
        <f>SUMIFS(Table2[NewPointsAway],Table2[GameDate], "&lt;=" &amp; $A171, Table2[AwayTeam], D$1)+SUMIFS(Table2[NewPointsHome],Table2[GameDate], "&lt;=" &amp; $A171, Table2[HomeTeam], D$1)</f>
        <v>32</v>
      </c>
      <c r="E171" s="145">
        <f>SUMIFS(Table2[NewPointsAway],Table2[GameDate], "&lt;=" &amp; $A171, Table2[AwayTeam], E$1)+SUMIFS(Table2[NewPointsHome],Table2[GameDate], "&lt;=" &amp; $A171, Table2[HomeTeam], E$1)</f>
        <v>44</v>
      </c>
      <c r="F171" s="145">
        <f>SUMIFS(Table2[NewPointsAway],Table2[GameDate], "&lt;=" &amp; $A171, Table2[AwayTeam], F$1)+SUMIFS(Table2[NewPointsHome],Table2[GameDate], "&lt;=" &amp; $A171, Table2[HomeTeam], F$1)</f>
        <v>34</v>
      </c>
      <c r="G171" s="145">
        <f>SUMIFS(Table2[NewPointsAway],Table2[GameDate], "&lt;=" &amp; $A171, Table2[AwayTeam], G$1)+SUMIFS(Table2[NewPointsHome],Table2[GameDate], "&lt;=" &amp; $A171, Table2[HomeTeam], G$1)</f>
        <v>30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55</v>
      </c>
      <c r="J171" s="145">
        <f>SUMIFS(Table2[NewPointsAway],Table2[GameDate], "&lt;=" &amp; $A171, Table2[AwayTeam], J$1)+SUMIFS(Table2[NewPointsHome],Table2[GameDate], "&lt;=" &amp; $A171, Table2[HomeTeam], J$1)</f>
        <v>49</v>
      </c>
      <c r="K171" s="145">
        <f>SUMIFS(Table2[NewPointsAway],Table2[GameDate], "&lt;=" &amp; $A171, Table2[AwayTeam], K$1)+SUMIFS(Table2[NewPointsHome],Table2[GameDate], "&lt;=" &amp; $A171, Table2[HomeTeam], K$1)</f>
        <v>41</v>
      </c>
      <c r="L171" s="145">
        <f>SUMIFS(Table2[NewPointsAway],Table2[GameDate], "&lt;=" &amp; $A171, Table2[AwayTeam], L$1)+SUMIFS(Table2[NewPointsHome],Table2[GameDate], "&lt;=" &amp; $A171, Table2[HomeTeam], L$1)</f>
        <v>38</v>
      </c>
      <c r="M171" s="145">
        <f>SUMIFS(Table2[NewPointsAway],Table2[GameDate], "&lt;=" &amp; $A171, Table2[AwayTeam], M$1)+SUMIFS(Table2[NewPointsHome],Table2[GameDate], "&lt;=" &amp; $A171, Table2[HomeTeam], M$1)</f>
        <v>36</v>
      </c>
      <c r="N171" s="145">
        <f>SUMIFS(Table2[NewPointsAway],Table2[GameDate], "&lt;=" &amp; $A171, Table2[AwayTeam], N$1)+SUMIFS(Table2[NewPointsHome],Table2[GameDate], "&lt;=" &amp; $A171, Table2[HomeTeam], N$1)</f>
        <v>37</v>
      </c>
      <c r="O171" s="145">
        <f>SUMIFS(Table2[NewPointsAway],Table2[GameDate], "&lt;=" &amp; $A171, Table2[AwayTeam], O$1)+SUMIFS(Table2[NewPointsHome],Table2[GameDate], "&lt;=" &amp; $A171, Table2[HomeTeam], O$1)</f>
        <v>45</v>
      </c>
      <c r="P171" s="145">
        <f>SUMIFS(Table2[NewPointsAway],Table2[GameDate], "&lt;=" &amp; $A171, Table2[AwayTeam], P$1)+SUMIFS(Table2[NewPointsHome],Table2[GameDate], "&lt;=" &amp; $A171, Table2[HomeTeam], P$1)</f>
        <v>38</v>
      </c>
      <c r="Q171" s="145">
        <f>SUMIFS(Table2[NewPointsAway],Table2[GameDate], "&lt;=" &amp; $A171, Table2[AwayTeam], Q$1)+SUMIFS(Table2[NewPointsHome],Table2[GameDate], "&lt;=" &amp; $A171, Table2[HomeTeam], Q$1)</f>
        <v>37</v>
      </c>
      <c r="R171" s="145">
        <f>SUMIFS(Table2[NewPointsAway],Table2[GameDate], "&lt;=" &amp; $A171, Table2[AwayTeam], R$1)+SUMIFS(Table2[NewPointsHome],Table2[GameDate], "&lt;=" &amp; $A171, Table2[HomeTeam], R$1)</f>
        <v>30</v>
      </c>
      <c r="S171" s="145">
        <f>SUMIFS(Table2[NewPointsAway],Table2[GameDate], "&lt;=" &amp; $A171, Table2[AwayTeam], S$1)+SUMIFS(Table2[NewPointsHome],Table2[GameDate], "&lt;=" &amp; $A171, Table2[HomeTeam], S$1)</f>
        <v>41</v>
      </c>
      <c r="T171" s="145">
        <f>SUMIFS(Table2[NewPointsAway],Table2[GameDate], "&lt;=" &amp; $A171, Table2[AwayTeam], T$1)+SUMIFS(Table2[NewPointsHome],Table2[GameDate], "&lt;=" &amp; $A171, Table2[HomeTeam], T$1)</f>
        <v>36</v>
      </c>
      <c r="U171" s="145">
        <f>SUMIFS(Table2[NewPointsAway],Table2[GameDate], "&lt;=" &amp; $A171, Table2[AwayTeam], U$1)+SUMIFS(Table2[NewPointsHome],Table2[GameDate], "&lt;=" &amp; $A171, Table2[HomeTeam], U$1)</f>
        <v>34</v>
      </c>
      <c r="V171" s="145">
        <f>SUMIFS(Table2[NewPointsAway],Table2[GameDate], "&lt;=" &amp; $A171, Table2[AwayTeam], V$1)+SUMIFS(Table2[NewPointsHome],Table2[GameDate], "&lt;=" &amp; $A171, Table2[HomeTeam], V$1)</f>
        <v>39</v>
      </c>
      <c r="W171" s="145">
        <f>SUMIFS(Table2[NewPointsAway],Table2[GameDate], "&lt;=" &amp; $A171, Table2[AwayTeam], W$1)+SUMIFS(Table2[NewPointsHome],Table2[GameDate], "&lt;=" &amp; $A171, Table2[HomeTeam], W$1)</f>
        <v>37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37</v>
      </c>
      <c r="Z171" s="145">
        <f>SUMIFS(Table2[NewPointsAway],Table2[GameDate], "&lt;=" &amp; $A171, Table2[AwayTeam], Z$1)+SUMIFS(Table2[NewPointsHome],Table2[GameDate], "&lt;=" &amp; $A171, Table2[HomeTeam], Z$1)</f>
        <v>32</v>
      </c>
      <c r="AA171" s="145">
        <f>SUMIFS(Table2[NewPointsAway],Table2[GameDate], "&lt;=" &amp; $A171, Table2[AwayTeam], AA$1)+SUMIFS(Table2[NewPointsHome],Table2[GameDate], "&lt;=" &amp; $A171, Table2[HomeTeam], AA$1)</f>
        <v>39</v>
      </c>
      <c r="AB171" s="145">
        <f>SUMIFS(Table2[NewPointsAway],Table2[GameDate], "&lt;=" &amp; $A171, Table2[AwayTeam], AB$1)+SUMIFS(Table2[NewPointsHome],Table2[GameDate], "&lt;=" &amp; $A171, Table2[HomeTeam], AB$1)</f>
        <v>35</v>
      </c>
      <c r="AC171" s="145">
        <f>SUMIFS(Table2[NewPointsAway],Table2[GameDate], "&lt;=" &amp; $A171, Table2[AwayTeam], AC$1)+SUMIFS(Table2[NewPointsHome],Table2[GameDate], "&lt;=" &amp; $A171, Table2[HomeTeam], AC$1)</f>
        <v>35</v>
      </c>
      <c r="AD171" s="145">
        <f>SUMIFS(Table2[NewPointsAway],Table2[GameDate], "&lt;=" &amp; $A171, Table2[AwayTeam], AD$1)+SUMIFS(Table2[NewPointsHome],Table2[GameDate], "&lt;=" &amp; $A171, Table2[HomeTeam], AD$1)</f>
        <v>29</v>
      </c>
      <c r="AE171" s="145">
        <f>SUMIFS(Table2[NewPointsAway],Table2[GameDate], "&lt;=" &amp; $A171, Table2[AwayTeam], AE$1)+SUMIFS(Table2[NewPointsHome],Table2[GameDate], "&lt;=" &amp; $A171, Table2[HomeTeam], AE$1)</f>
        <v>41</v>
      </c>
      <c r="AF171" s="145">
        <f>SUMIFS(Table2[NewPointsAway],Table2[GameDate], "&lt;=" &amp; $A171, Table2[AwayTeam], AF$1)+SUMIFS(Table2[NewPointsHome],Table2[GameDate], "&lt;=" &amp; $A171, Table2[HomeTeam], AF$1)</f>
        <v>32</v>
      </c>
      <c r="AG171" s="145">
        <f>SUMIFS(Table2[NewPointsAway],Table2[GameDate], "&lt;=" &amp; $A171, Table2[AwayTeam], AG$1)+SUMIFS(Table2[NewPointsHome],Table2[GameDate], "&lt;=" &amp; $A171, Table2[HomeTeam], AG$1)</f>
        <v>40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42</v>
      </c>
      <c r="C172" s="145">
        <f>SUMIFS(Table2[NewPointsAway],Table2[GameDate], "&lt;=" &amp; $A172, Table2[AwayTeam], C$1)+SUMIFS(Table2[NewPointsHome],Table2[GameDate], "&lt;=" &amp; $A172, Table2[HomeTeam], C$1)</f>
        <v>40</v>
      </c>
      <c r="D172" s="145">
        <f>SUMIFS(Table2[NewPointsAway],Table2[GameDate], "&lt;=" &amp; $A172, Table2[AwayTeam], D$1)+SUMIFS(Table2[NewPointsHome],Table2[GameDate], "&lt;=" &amp; $A172, Table2[HomeTeam], D$1)</f>
        <v>32</v>
      </c>
      <c r="E172" s="145">
        <f>SUMIFS(Table2[NewPointsAway],Table2[GameDate], "&lt;=" &amp; $A172, Table2[AwayTeam], E$1)+SUMIFS(Table2[NewPointsHome],Table2[GameDate], "&lt;=" &amp; $A172, Table2[HomeTeam], E$1)</f>
        <v>44</v>
      </c>
      <c r="F172" s="145">
        <f>SUMIFS(Table2[NewPointsAway],Table2[GameDate], "&lt;=" &amp; $A172, Table2[AwayTeam], F$1)+SUMIFS(Table2[NewPointsHome],Table2[GameDate], "&lt;=" &amp; $A172, Table2[HomeTeam], F$1)</f>
        <v>34</v>
      </c>
      <c r="G172" s="145">
        <f>SUMIFS(Table2[NewPointsAway],Table2[GameDate], "&lt;=" &amp; $A172, Table2[AwayTeam], G$1)+SUMIFS(Table2[NewPointsHome],Table2[GameDate], "&lt;=" &amp; $A172, Table2[HomeTeam], G$1)</f>
        <v>30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55</v>
      </c>
      <c r="J172" s="145">
        <f>SUMIFS(Table2[NewPointsAway],Table2[GameDate], "&lt;=" &amp; $A172, Table2[AwayTeam], J$1)+SUMIFS(Table2[NewPointsHome],Table2[GameDate], "&lt;=" &amp; $A172, Table2[HomeTeam], J$1)</f>
        <v>49</v>
      </c>
      <c r="K172" s="145">
        <f>SUMIFS(Table2[NewPointsAway],Table2[GameDate], "&lt;=" &amp; $A172, Table2[AwayTeam], K$1)+SUMIFS(Table2[NewPointsHome],Table2[GameDate], "&lt;=" &amp; $A172, Table2[HomeTeam], K$1)</f>
        <v>41</v>
      </c>
      <c r="L172" s="145">
        <f>SUMIFS(Table2[NewPointsAway],Table2[GameDate], "&lt;=" &amp; $A172, Table2[AwayTeam], L$1)+SUMIFS(Table2[NewPointsHome],Table2[GameDate], "&lt;=" &amp; $A172, Table2[HomeTeam], L$1)</f>
        <v>38</v>
      </c>
      <c r="M172" s="145">
        <f>SUMIFS(Table2[NewPointsAway],Table2[GameDate], "&lt;=" &amp; $A172, Table2[AwayTeam], M$1)+SUMIFS(Table2[NewPointsHome],Table2[GameDate], "&lt;=" &amp; $A172, Table2[HomeTeam], M$1)</f>
        <v>36</v>
      </c>
      <c r="N172" s="145">
        <f>SUMIFS(Table2[NewPointsAway],Table2[GameDate], "&lt;=" &amp; $A172, Table2[AwayTeam], N$1)+SUMIFS(Table2[NewPointsHome],Table2[GameDate], "&lt;=" &amp; $A172, Table2[HomeTeam], N$1)</f>
        <v>37</v>
      </c>
      <c r="O172" s="145">
        <f>SUMIFS(Table2[NewPointsAway],Table2[GameDate], "&lt;=" &amp; $A172, Table2[AwayTeam], O$1)+SUMIFS(Table2[NewPointsHome],Table2[GameDate], "&lt;=" &amp; $A172, Table2[HomeTeam], O$1)</f>
        <v>45</v>
      </c>
      <c r="P172" s="145">
        <f>SUMIFS(Table2[NewPointsAway],Table2[GameDate], "&lt;=" &amp; $A172, Table2[AwayTeam], P$1)+SUMIFS(Table2[NewPointsHome],Table2[GameDate], "&lt;=" &amp; $A172, Table2[HomeTeam], P$1)</f>
        <v>38</v>
      </c>
      <c r="Q172" s="145">
        <f>SUMIFS(Table2[NewPointsAway],Table2[GameDate], "&lt;=" &amp; $A172, Table2[AwayTeam], Q$1)+SUMIFS(Table2[NewPointsHome],Table2[GameDate], "&lt;=" &amp; $A172, Table2[HomeTeam], Q$1)</f>
        <v>37</v>
      </c>
      <c r="R172" s="145">
        <f>SUMIFS(Table2[NewPointsAway],Table2[GameDate], "&lt;=" &amp; $A172, Table2[AwayTeam], R$1)+SUMIFS(Table2[NewPointsHome],Table2[GameDate], "&lt;=" &amp; $A172, Table2[HomeTeam], R$1)</f>
        <v>30</v>
      </c>
      <c r="S172" s="145">
        <f>SUMIFS(Table2[NewPointsAway],Table2[GameDate], "&lt;=" &amp; $A172, Table2[AwayTeam], S$1)+SUMIFS(Table2[NewPointsHome],Table2[GameDate], "&lt;=" &amp; $A172, Table2[HomeTeam], S$1)</f>
        <v>41</v>
      </c>
      <c r="T172" s="145">
        <f>SUMIFS(Table2[NewPointsAway],Table2[GameDate], "&lt;=" &amp; $A172, Table2[AwayTeam], T$1)+SUMIFS(Table2[NewPointsHome],Table2[GameDate], "&lt;=" &amp; $A172, Table2[HomeTeam], T$1)</f>
        <v>36</v>
      </c>
      <c r="U172" s="145">
        <f>SUMIFS(Table2[NewPointsAway],Table2[GameDate], "&lt;=" &amp; $A172, Table2[AwayTeam], U$1)+SUMIFS(Table2[NewPointsHome],Table2[GameDate], "&lt;=" &amp; $A172, Table2[HomeTeam], U$1)</f>
        <v>34</v>
      </c>
      <c r="V172" s="145">
        <f>SUMIFS(Table2[NewPointsAway],Table2[GameDate], "&lt;=" &amp; $A172, Table2[AwayTeam], V$1)+SUMIFS(Table2[NewPointsHome],Table2[GameDate], "&lt;=" &amp; $A172, Table2[HomeTeam], V$1)</f>
        <v>39</v>
      </c>
      <c r="W172" s="145">
        <f>SUMIFS(Table2[NewPointsAway],Table2[GameDate], "&lt;=" &amp; $A172, Table2[AwayTeam], W$1)+SUMIFS(Table2[NewPointsHome],Table2[GameDate], "&lt;=" &amp; $A172, Table2[HomeTeam], W$1)</f>
        <v>37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37</v>
      </c>
      <c r="Z172" s="145">
        <f>SUMIFS(Table2[NewPointsAway],Table2[GameDate], "&lt;=" &amp; $A172, Table2[AwayTeam], Z$1)+SUMIFS(Table2[NewPointsHome],Table2[GameDate], "&lt;=" &amp; $A172, Table2[HomeTeam], Z$1)</f>
        <v>32</v>
      </c>
      <c r="AA172" s="145">
        <f>SUMIFS(Table2[NewPointsAway],Table2[GameDate], "&lt;=" &amp; $A172, Table2[AwayTeam], AA$1)+SUMIFS(Table2[NewPointsHome],Table2[GameDate], "&lt;=" &amp; $A172, Table2[HomeTeam], AA$1)</f>
        <v>39</v>
      </c>
      <c r="AB172" s="145">
        <f>SUMIFS(Table2[NewPointsAway],Table2[GameDate], "&lt;=" &amp; $A172, Table2[AwayTeam], AB$1)+SUMIFS(Table2[NewPointsHome],Table2[GameDate], "&lt;=" &amp; $A172, Table2[HomeTeam], AB$1)</f>
        <v>35</v>
      </c>
      <c r="AC172" s="145">
        <f>SUMIFS(Table2[NewPointsAway],Table2[GameDate], "&lt;=" &amp; $A172, Table2[AwayTeam], AC$1)+SUMIFS(Table2[NewPointsHome],Table2[GameDate], "&lt;=" &amp; $A172, Table2[HomeTeam], AC$1)</f>
        <v>35</v>
      </c>
      <c r="AD172" s="145">
        <f>SUMIFS(Table2[NewPointsAway],Table2[GameDate], "&lt;=" &amp; $A172, Table2[AwayTeam], AD$1)+SUMIFS(Table2[NewPointsHome],Table2[GameDate], "&lt;=" &amp; $A172, Table2[HomeTeam], AD$1)</f>
        <v>29</v>
      </c>
      <c r="AE172" s="145">
        <f>SUMIFS(Table2[NewPointsAway],Table2[GameDate], "&lt;=" &amp; $A172, Table2[AwayTeam], AE$1)+SUMIFS(Table2[NewPointsHome],Table2[GameDate], "&lt;=" &amp; $A172, Table2[HomeTeam], AE$1)</f>
        <v>41</v>
      </c>
      <c r="AF172" s="145">
        <f>SUMIFS(Table2[NewPointsAway],Table2[GameDate], "&lt;=" &amp; $A172, Table2[AwayTeam], AF$1)+SUMIFS(Table2[NewPointsHome],Table2[GameDate], "&lt;=" &amp; $A172, Table2[HomeTeam], AF$1)</f>
        <v>32</v>
      </c>
      <c r="AG172" s="145">
        <f>SUMIFS(Table2[NewPointsAway],Table2[GameDate], "&lt;=" &amp; $A172, Table2[AwayTeam], AG$1)+SUMIFS(Table2[NewPointsHome],Table2[GameDate], "&lt;=" &amp; $A172, Table2[HomeTeam], AG$1)</f>
        <v>40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42</v>
      </c>
      <c r="C173" s="145">
        <f>SUMIFS(Table2[NewPointsAway],Table2[GameDate], "&lt;=" &amp; $A173, Table2[AwayTeam], C$1)+SUMIFS(Table2[NewPointsHome],Table2[GameDate], "&lt;=" &amp; $A173, Table2[HomeTeam], C$1)</f>
        <v>40</v>
      </c>
      <c r="D173" s="145">
        <f>SUMIFS(Table2[NewPointsAway],Table2[GameDate], "&lt;=" &amp; $A173, Table2[AwayTeam], D$1)+SUMIFS(Table2[NewPointsHome],Table2[GameDate], "&lt;=" &amp; $A173, Table2[HomeTeam], D$1)</f>
        <v>32</v>
      </c>
      <c r="E173" s="145">
        <f>SUMIFS(Table2[NewPointsAway],Table2[GameDate], "&lt;=" &amp; $A173, Table2[AwayTeam], E$1)+SUMIFS(Table2[NewPointsHome],Table2[GameDate], "&lt;=" &amp; $A173, Table2[HomeTeam], E$1)</f>
        <v>44</v>
      </c>
      <c r="F173" s="145">
        <f>SUMIFS(Table2[NewPointsAway],Table2[GameDate], "&lt;=" &amp; $A173, Table2[AwayTeam], F$1)+SUMIFS(Table2[NewPointsHome],Table2[GameDate], "&lt;=" &amp; $A173, Table2[HomeTeam], F$1)</f>
        <v>34</v>
      </c>
      <c r="G173" s="145">
        <f>SUMIFS(Table2[NewPointsAway],Table2[GameDate], "&lt;=" &amp; $A173, Table2[AwayTeam], G$1)+SUMIFS(Table2[NewPointsHome],Table2[GameDate], "&lt;=" &amp; $A173, Table2[HomeTeam], G$1)</f>
        <v>30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55</v>
      </c>
      <c r="J173" s="145">
        <f>SUMIFS(Table2[NewPointsAway],Table2[GameDate], "&lt;=" &amp; $A173, Table2[AwayTeam], J$1)+SUMIFS(Table2[NewPointsHome],Table2[GameDate], "&lt;=" &amp; $A173, Table2[HomeTeam], J$1)</f>
        <v>49</v>
      </c>
      <c r="K173" s="145">
        <f>SUMIFS(Table2[NewPointsAway],Table2[GameDate], "&lt;=" &amp; $A173, Table2[AwayTeam], K$1)+SUMIFS(Table2[NewPointsHome],Table2[GameDate], "&lt;=" &amp; $A173, Table2[HomeTeam], K$1)</f>
        <v>41</v>
      </c>
      <c r="L173" s="145">
        <f>SUMIFS(Table2[NewPointsAway],Table2[GameDate], "&lt;=" &amp; $A173, Table2[AwayTeam], L$1)+SUMIFS(Table2[NewPointsHome],Table2[GameDate], "&lt;=" &amp; $A173, Table2[HomeTeam], L$1)</f>
        <v>38</v>
      </c>
      <c r="M173" s="145">
        <f>SUMIFS(Table2[NewPointsAway],Table2[GameDate], "&lt;=" &amp; $A173, Table2[AwayTeam], M$1)+SUMIFS(Table2[NewPointsHome],Table2[GameDate], "&lt;=" &amp; $A173, Table2[HomeTeam], M$1)</f>
        <v>36</v>
      </c>
      <c r="N173" s="145">
        <f>SUMIFS(Table2[NewPointsAway],Table2[GameDate], "&lt;=" &amp; $A173, Table2[AwayTeam], N$1)+SUMIFS(Table2[NewPointsHome],Table2[GameDate], "&lt;=" &amp; $A173, Table2[HomeTeam], N$1)</f>
        <v>37</v>
      </c>
      <c r="O173" s="145">
        <f>SUMIFS(Table2[NewPointsAway],Table2[GameDate], "&lt;=" &amp; $A173, Table2[AwayTeam], O$1)+SUMIFS(Table2[NewPointsHome],Table2[GameDate], "&lt;=" &amp; $A173, Table2[HomeTeam], O$1)</f>
        <v>45</v>
      </c>
      <c r="P173" s="145">
        <f>SUMIFS(Table2[NewPointsAway],Table2[GameDate], "&lt;=" &amp; $A173, Table2[AwayTeam], P$1)+SUMIFS(Table2[NewPointsHome],Table2[GameDate], "&lt;=" &amp; $A173, Table2[HomeTeam], P$1)</f>
        <v>38</v>
      </c>
      <c r="Q173" s="145">
        <f>SUMIFS(Table2[NewPointsAway],Table2[GameDate], "&lt;=" &amp; $A173, Table2[AwayTeam], Q$1)+SUMIFS(Table2[NewPointsHome],Table2[GameDate], "&lt;=" &amp; $A173, Table2[HomeTeam], Q$1)</f>
        <v>37</v>
      </c>
      <c r="R173" s="145">
        <f>SUMIFS(Table2[NewPointsAway],Table2[GameDate], "&lt;=" &amp; $A173, Table2[AwayTeam], R$1)+SUMIFS(Table2[NewPointsHome],Table2[GameDate], "&lt;=" &amp; $A173, Table2[HomeTeam], R$1)</f>
        <v>30</v>
      </c>
      <c r="S173" s="145">
        <f>SUMIFS(Table2[NewPointsAway],Table2[GameDate], "&lt;=" &amp; $A173, Table2[AwayTeam], S$1)+SUMIFS(Table2[NewPointsHome],Table2[GameDate], "&lt;=" &amp; $A173, Table2[HomeTeam], S$1)</f>
        <v>41</v>
      </c>
      <c r="T173" s="145">
        <f>SUMIFS(Table2[NewPointsAway],Table2[GameDate], "&lt;=" &amp; $A173, Table2[AwayTeam], T$1)+SUMIFS(Table2[NewPointsHome],Table2[GameDate], "&lt;=" &amp; $A173, Table2[HomeTeam], T$1)</f>
        <v>36</v>
      </c>
      <c r="U173" s="145">
        <f>SUMIFS(Table2[NewPointsAway],Table2[GameDate], "&lt;=" &amp; $A173, Table2[AwayTeam], U$1)+SUMIFS(Table2[NewPointsHome],Table2[GameDate], "&lt;=" &amp; $A173, Table2[HomeTeam], U$1)</f>
        <v>34</v>
      </c>
      <c r="V173" s="145">
        <f>SUMIFS(Table2[NewPointsAway],Table2[GameDate], "&lt;=" &amp; $A173, Table2[AwayTeam], V$1)+SUMIFS(Table2[NewPointsHome],Table2[GameDate], "&lt;=" &amp; $A173, Table2[HomeTeam], V$1)</f>
        <v>39</v>
      </c>
      <c r="W173" s="145">
        <f>SUMIFS(Table2[NewPointsAway],Table2[GameDate], "&lt;=" &amp; $A173, Table2[AwayTeam], W$1)+SUMIFS(Table2[NewPointsHome],Table2[GameDate], "&lt;=" &amp; $A173, Table2[HomeTeam], W$1)</f>
        <v>37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37</v>
      </c>
      <c r="Z173" s="145">
        <f>SUMIFS(Table2[NewPointsAway],Table2[GameDate], "&lt;=" &amp; $A173, Table2[AwayTeam], Z$1)+SUMIFS(Table2[NewPointsHome],Table2[GameDate], "&lt;=" &amp; $A173, Table2[HomeTeam], Z$1)</f>
        <v>32</v>
      </c>
      <c r="AA173" s="145">
        <f>SUMIFS(Table2[NewPointsAway],Table2[GameDate], "&lt;=" &amp; $A173, Table2[AwayTeam], AA$1)+SUMIFS(Table2[NewPointsHome],Table2[GameDate], "&lt;=" &amp; $A173, Table2[HomeTeam], AA$1)</f>
        <v>39</v>
      </c>
      <c r="AB173" s="145">
        <f>SUMIFS(Table2[NewPointsAway],Table2[GameDate], "&lt;=" &amp; $A173, Table2[AwayTeam], AB$1)+SUMIFS(Table2[NewPointsHome],Table2[GameDate], "&lt;=" &amp; $A173, Table2[HomeTeam], AB$1)</f>
        <v>35</v>
      </c>
      <c r="AC173" s="145">
        <f>SUMIFS(Table2[NewPointsAway],Table2[GameDate], "&lt;=" &amp; $A173, Table2[AwayTeam], AC$1)+SUMIFS(Table2[NewPointsHome],Table2[GameDate], "&lt;=" &amp; $A173, Table2[HomeTeam], AC$1)</f>
        <v>35</v>
      </c>
      <c r="AD173" s="145">
        <f>SUMIFS(Table2[NewPointsAway],Table2[GameDate], "&lt;=" &amp; $A173, Table2[AwayTeam], AD$1)+SUMIFS(Table2[NewPointsHome],Table2[GameDate], "&lt;=" &amp; $A173, Table2[HomeTeam], AD$1)</f>
        <v>29</v>
      </c>
      <c r="AE173" s="145">
        <f>SUMIFS(Table2[NewPointsAway],Table2[GameDate], "&lt;=" &amp; $A173, Table2[AwayTeam], AE$1)+SUMIFS(Table2[NewPointsHome],Table2[GameDate], "&lt;=" &amp; $A173, Table2[HomeTeam], AE$1)</f>
        <v>41</v>
      </c>
      <c r="AF173" s="145">
        <f>SUMIFS(Table2[NewPointsAway],Table2[GameDate], "&lt;=" &amp; $A173, Table2[AwayTeam], AF$1)+SUMIFS(Table2[NewPointsHome],Table2[GameDate], "&lt;=" &amp; $A173, Table2[HomeTeam], AF$1)</f>
        <v>32</v>
      </c>
      <c r="AG173" s="145">
        <f>SUMIFS(Table2[NewPointsAway],Table2[GameDate], "&lt;=" &amp; $A173, Table2[AwayTeam], AG$1)+SUMIFS(Table2[NewPointsHome],Table2[GameDate], "&lt;=" &amp; $A173, Table2[HomeTeam], AG$1)</f>
        <v>40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42</v>
      </c>
      <c r="C174" s="145">
        <f>SUMIFS(Table2[NewPointsAway],Table2[GameDate], "&lt;=" &amp; $A174, Table2[AwayTeam], C$1)+SUMIFS(Table2[NewPointsHome],Table2[GameDate], "&lt;=" &amp; $A174, Table2[HomeTeam], C$1)</f>
        <v>40</v>
      </c>
      <c r="D174" s="145">
        <f>SUMIFS(Table2[NewPointsAway],Table2[GameDate], "&lt;=" &amp; $A174, Table2[AwayTeam], D$1)+SUMIFS(Table2[NewPointsHome],Table2[GameDate], "&lt;=" &amp; $A174, Table2[HomeTeam], D$1)</f>
        <v>32</v>
      </c>
      <c r="E174" s="145">
        <f>SUMIFS(Table2[NewPointsAway],Table2[GameDate], "&lt;=" &amp; $A174, Table2[AwayTeam], E$1)+SUMIFS(Table2[NewPointsHome],Table2[GameDate], "&lt;=" &amp; $A174, Table2[HomeTeam], E$1)</f>
        <v>44</v>
      </c>
      <c r="F174" s="145">
        <f>SUMIFS(Table2[NewPointsAway],Table2[GameDate], "&lt;=" &amp; $A174, Table2[AwayTeam], F$1)+SUMIFS(Table2[NewPointsHome],Table2[GameDate], "&lt;=" &amp; $A174, Table2[HomeTeam], F$1)</f>
        <v>34</v>
      </c>
      <c r="G174" s="145">
        <f>SUMIFS(Table2[NewPointsAway],Table2[GameDate], "&lt;=" &amp; $A174, Table2[AwayTeam], G$1)+SUMIFS(Table2[NewPointsHome],Table2[GameDate], "&lt;=" &amp; $A174, Table2[HomeTeam], G$1)</f>
        <v>30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55</v>
      </c>
      <c r="J174" s="145">
        <f>SUMIFS(Table2[NewPointsAway],Table2[GameDate], "&lt;=" &amp; $A174, Table2[AwayTeam], J$1)+SUMIFS(Table2[NewPointsHome],Table2[GameDate], "&lt;=" &amp; $A174, Table2[HomeTeam], J$1)</f>
        <v>49</v>
      </c>
      <c r="K174" s="145">
        <f>SUMIFS(Table2[NewPointsAway],Table2[GameDate], "&lt;=" &amp; $A174, Table2[AwayTeam], K$1)+SUMIFS(Table2[NewPointsHome],Table2[GameDate], "&lt;=" &amp; $A174, Table2[HomeTeam], K$1)</f>
        <v>41</v>
      </c>
      <c r="L174" s="145">
        <f>SUMIFS(Table2[NewPointsAway],Table2[GameDate], "&lt;=" &amp; $A174, Table2[AwayTeam], L$1)+SUMIFS(Table2[NewPointsHome],Table2[GameDate], "&lt;=" &amp; $A174, Table2[HomeTeam], L$1)</f>
        <v>38</v>
      </c>
      <c r="M174" s="145">
        <f>SUMIFS(Table2[NewPointsAway],Table2[GameDate], "&lt;=" &amp; $A174, Table2[AwayTeam], M$1)+SUMIFS(Table2[NewPointsHome],Table2[GameDate], "&lt;=" &amp; $A174, Table2[HomeTeam], M$1)</f>
        <v>36</v>
      </c>
      <c r="N174" s="145">
        <f>SUMIFS(Table2[NewPointsAway],Table2[GameDate], "&lt;=" &amp; $A174, Table2[AwayTeam], N$1)+SUMIFS(Table2[NewPointsHome],Table2[GameDate], "&lt;=" &amp; $A174, Table2[HomeTeam], N$1)</f>
        <v>37</v>
      </c>
      <c r="O174" s="145">
        <f>SUMIFS(Table2[NewPointsAway],Table2[GameDate], "&lt;=" &amp; $A174, Table2[AwayTeam], O$1)+SUMIFS(Table2[NewPointsHome],Table2[GameDate], "&lt;=" &amp; $A174, Table2[HomeTeam], O$1)</f>
        <v>45</v>
      </c>
      <c r="P174" s="145">
        <f>SUMIFS(Table2[NewPointsAway],Table2[GameDate], "&lt;=" &amp; $A174, Table2[AwayTeam], P$1)+SUMIFS(Table2[NewPointsHome],Table2[GameDate], "&lt;=" &amp; $A174, Table2[HomeTeam], P$1)</f>
        <v>38</v>
      </c>
      <c r="Q174" s="145">
        <f>SUMIFS(Table2[NewPointsAway],Table2[GameDate], "&lt;=" &amp; $A174, Table2[AwayTeam], Q$1)+SUMIFS(Table2[NewPointsHome],Table2[GameDate], "&lt;=" &amp; $A174, Table2[HomeTeam], Q$1)</f>
        <v>37</v>
      </c>
      <c r="R174" s="145">
        <f>SUMIFS(Table2[NewPointsAway],Table2[GameDate], "&lt;=" &amp; $A174, Table2[AwayTeam], R$1)+SUMIFS(Table2[NewPointsHome],Table2[GameDate], "&lt;=" &amp; $A174, Table2[HomeTeam], R$1)</f>
        <v>30</v>
      </c>
      <c r="S174" s="145">
        <f>SUMIFS(Table2[NewPointsAway],Table2[GameDate], "&lt;=" &amp; $A174, Table2[AwayTeam], S$1)+SUMIFS(Table2[NewPointsHome],Table2[GameDate], "&lt;=" &amp; $A174, Table2[HomeTeam], S$1)</f>
        <v>41</v>
      </c>
      <c r="T174" s="145">
        <f>SUMIFS(Table2[NewPointsAway],Table2[GameDate], "&lt;=" &amp; $A174, Table2[AwayTeam], T$1)+SUMIFS(Table2[NewPointsHome],Table2[GameDate], "&lt;=" &amp; $A174, Table2[HomeTeam], T$1)</f>
        <v>36</v>
      </c>
      <c r="U174" s="145">
        <f>SUMIFS(Table2[NewPointsAway],Table2[GameDate], "&lt;=" &amp; $A174, Table2[AwayTeam], U$1)+SUMIFS(Table2[NewPointsHome],Table2[GameDate], "&lt;=" &amp; $A174, Table2[HomeTeam], U$1)</f>
        <v>34</v>
      </c>
      <c r="V174" s="145">
        <f>SUMIFS(Table2[NewPointsAway],Table2[GameDate], "&lt;=" &amp; $A174, Table2[AwayTeam], V$1)+SUMIFS(Table2[NewPointsHome],Table2[GameDate], "&lt;=" &amp; $A174, Table2[HomeTeam], V$1)</f>
        <v>39</v>
      </c>
      <c r="W174" s="145">
        <f>SUMIFS(Table2[NewPointsAway],Table2[GameDate], "&lt;=" &amp; $A174, Table2[AwayTeam], W$1)+SUMIFS(Table2[NewPointsHome],Table2[GameDate], "&lt;=" &amp; $A174, Table2[HomeTeam], W$1)</f>
        <v>37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37</v>
      </c>
      <c r="Z174" s="145">
        <f>SUMIFS(Table2[NewPointsAway],Table2[GameDate], "&lt;=" &amp; $A174, Table2[AwayTeam], Z$1)+SUMIFS(Table2[NewPointsHome],Table2[GameDate], "&lt;=" &amp; $A174, Table2[HomeTeam], Z$1)</f>
        <v>32</v>
      </c>
      <c r="AA174" s="145">
        <f>SUMIFS(Table2[NewPointsAway],Table2[GameDate], "&lt;=" &amp; $A174, Table2[AwayTeam], AA$1)+SUMIFS(Table2[NewPointsHome],Table2[GameDate], "&lt;=" &amp; $A174, Table2[HomeTeam], AA$1)</f>
        <v>39</v>
      </c>
      <c r="AB174" s="145">
        <f>SUMIFS(Table2[NewPointsAway],Table2[GameDate], "&lt;=" &amp; $A174, Table2[AwayTeam], AB$1)+SUMIFS(Table2[NewPointsHome],Table2[GameDate], "&lt;=" &amp; $A174, Table2[HomeTeam], AB$1)</f>
        <v>35</v>
      </c>
      <c r="AC174" s="145">
        <f>SUMIFS(Table2[NewPointsAway],Table2[GameDate], "&lt;=" &amp; $A174, Table2[AwayTeam], AC$1)+SUMIFS(Table2[NewPointsHome],Table2[GameDate], "&lt;=" &amp; $A174, Table2[HomeTeam], AC$1)</f>
        <v>35</v>
      </c>
      <c r="AD174" s="145">
        <f>SUMIFS(Table2[NewPointsAway],Table2[GameDate], "&lt;=" &amp; $A174, Table2[AwayTeam], AD$1)+SUMIFS(Table2[NewPointsHome],Table2[GameDate], "&lt;=" &amp; $A174, Table2[HomeTeam], AD$1)</f>
        <v>29</v>
      </c>
      <c r="AE174" s="145">
        <f>SUMIFS(Table2[NewPointsAway],Table2[GameDate], "&lt;=" &amp; $A174, Table2[AwayTeam], AE$1)+SUMIFS(Table2[NewPointsHome],Table2[GameDate], "&lt;=" &amp; $A174, Table2[HomeTeam], AE$1)</f>
        <v>41</v>
      </c>
      <c r="AF174" s="145">
        <f>SUMIFS(Table2[NewPointsAway],Table2[GameDate], "&lt;=" &amp; $A174, Table2[AwayTeam], AF$1)+SUMIFS(Table2[NewPointsHome],Table2[GameDate], "&lt;=" &amp; $A174, Table2[HomeTeam], AF$1)</f>
        <v>32</v>
      </c>
      <c r="AG174" s="145">
        <f>SUMIFS(Table2[NewPointsAway],Table2[GameDate], "&lt;=" &amp; $A174, Table2[AwayTeam], AG$1)+SUMIFS(Table2[NewPointsHome],Table2[GameDate], "&lt;=" &amp; $A174, Table2[HomeTeam], AG$1)</f>
        <v>40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42</v>
      </c>
      <c r="C175" s="145">
        <f>SUMIFS(Table2[NewPointsAway],Table2[GameDate], "&lt;=" &amp; $A175, Table2[AwayTeam], C$1)+SUMIFS(Table2[NewPointsHome],Table2[GameDate], "&lt;=" &amp; $A175, Table2[HomeTeam], C$1)</f>
        <v>40</v>
      </c>
      <c r="D175" s="145">
        <f>SUMIFS(Table2[NewPointsAway],Table2[GameDate], "&lt;=" &amp; $A175, Table2[AwayTeam], D$1)+SUMIFS(Table2[NewPointsHome],Table2[GameDate], "&lt;=" &amp; $A175, Table2[HomeTeam], D$1)</f>
        <v>32</v>
      </c>
      <c r="E175" s="145">
        <f>SUMIFS(Table2[NewPointsAway],Table2[GameDate], "&lt;=" &amp; $A175, Table2[AwayTeam], E$1)+SUMIFS(Table2[NewPointsHome],Table2[GameDate], "&lt;=" &amp; $A175, Table2[HomeTeam], E$1)</f>
        <v>44</v>
      </c>
      <c r="F175" s="145">
        <f>SUMIFS(Table2[NewPointsAway],Table2[GameDate], "&lt;=" &amp; $A175, Table2[AwayTeam], F$1)+SUMIFS(Table2[NewPointsHome],Table2[GameDate], "&lt;=" &amp; $A175, Table2[HomeTeam], F$1)</f>
        <v>34</v>
      </c>
      <c r="G175" s="145">
        <f>SUMIFS(Table2[NewPointsAway],Table2[GameDate], "&lt;=" &amp; $A175, Table2[AwayTeam], G$1)+SUMIFS(Table2[NewPointsHome],Table2[GameDate], "&lt;=" &amp; $A175, Table2[HomeTeam], G$1)</f>
        <v>30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55</v>
      </c>
      <c r="J175" s="145">
        <f>SUMIFS(Table2[NewPointsAway],Table2[GameDate], "&lt;=" &amp; $A175, Table2[AwayTeam], J$1)+SUMIFS(Table2[NewPointsHome],Table2[GameDate], "&lt;=" &amp; $A175, Table2[HomeTeam], J$1)</f>
        <v>49</v>
      </c>
      <c r="K175" s="145">
        <f>SUMIFS(Table2[NewPointsAway],Table2[GameDate], "&lt;=" &amp; $A175, Table2[AwayTeam], K$1)+SUMIFS(Table2[NewPointsHome],Table2[GameDate], "&lt;=" &amp; $A175, Table2[HomeTeam], K$1)</f>
        <v>41</v>
      </c>
      <c r="L175" s="145">
        <f>SUMIFS(Table2[NewPointsAway],Table2[GameDate], "&lt;=" &amp; $A175, Table2[AwayTeam], L$1)+SUMIFS(Table2[NewPointsHome],Table2[GameDate], "&lt;=" &amp; $A175, Table2[HomeTeam], L$1)</f>
        <v>38</v>
      </c>
      <c r="M175" s="145">
        <f>SUMIFS(Table2[NewPointsAway],Table2[GameDate], "&lt;=" &amp; $A175, Table2[AwayTeam], M$1)+SUMIFS(Table2[NewPointsHome],Table2[GameDate], "&lt;=" &amp; $A175, Table2[HomeTeam], M$1)</f>
        <v>36</v>
      </c>
      <c r="N175" s="145">
        <f>SUMIFS(Table2[NewPointsAway],Table2[GameDate], "&lt;=" &amp; $A175, Table2[AwayTeam], N$1)+SUMIFS(Table2[NewPointsHome],Table2[GameDate], "&lt;=" &amp; $A175, Table2[HomeTeam], N$1)</f>
        <v>37</v>
      </c>
      <c r="O175" s="145">
        <f>SUMIFS(Table2[NewPointsAway],Table2[GameDate], "&lt;=" &amp; $A175, Table2[AwayTeam], O$1)+SUMIFS(Table2[NewPointsHome],Table2[GameDate], "&lt;=" &amp; $A175, Table2[HomeTeam], O$1)</f>
        <v>45</v>
      </c>
      <c r="P175" s="145">
        <f>SUMIFS(Table2[NewPointsAway],Table2[GameDate], "&lt;=" &amp; $A175, Table2[AwayTeam], P$1)+SUMIFS(Table2[NewPointsHome],Table2[GameDate], "&lt;=" &amp; $A175, Table2[HomeTeam], P$1)</f>
        <v>38</v>
      </c>
      <c r="Q175" s="145">
        <f>SUMIFS(Table2[NewPointsAway],Table2[GameDate], "&lt;=" &amp; $A175, Table2[AwayTeam], Q$1)+SUMIFS(Table2[NewPointsHome],Table2[GameDate], "&lt;=" &amp; $A175, Table2[HomeTeam], Q$1)</f>
        <v>37</v>
      </c>
      <c r="R175" s="145">
        <f>SUMIFS(Table2[NewPointsAway],Table2[GameDate], "&lt;=" &amp; $A175, Table2[AwayTeam], R$1)+SUMIFS(Table2[NewPointsHome],Table2[GameDate], "&lt;=" &amp; $A175, Table2[HomeTeam], R$1)</f>
        <v>30</v>
      </c>
      <c r="S175" s="145">
        <f>SUMIFS(Table2[NewPointsAway],Table2[GameDate], "&lt;=" &amp; $A175, Table2[AwayTeam], S$1)+SUMIFS(Table2[NewPointsHome],Table2[GameDate], "&lt;=" &amp; $A175, Table2[HomeTeam], S$1)</f>
        <v>41</v>
      </c>
      <c r="T175" s="145">
        <f>SUMIFS(Table2[NewPointsAway],Table2[GameDate], "&lt;=" &amp; $A175, Table2[AwayTeam], T$1)+SUMIFS(Table2[NewPointsHome],Table2[GameDate], "&lt;=" &amp; $A175, Table2[HomeTeam], T$1)</f>
        <v>36</v>
      </c>
      <c r="U175" s="145">
        <f>SUMIFS(Table2[NewPointsAway],Table2[GameDate], "&lt;=" &amp; $A175, Table2[AwayTeam], U$1)+SUMIFS(Table2[NewPointsHome],Table2[GameDate], "&lt;=" &amp; $A175, Table2[HomeTeam], U$1)</f>
        <v>34</v>
      </c>
      <c r="V175" s="145">
        <f>SUMIFS(Table2[NewPointsAway],Table2[GameDate], "&lt;=" &amp; $A175, Table2[AwayTeam], V$1)+SUMIFS(Table2[NewPointsHome],Table2[GameDate], "&lt;=" &amp; $A175, Table2[HomeTeam], V$1)</f>
        <v>39</v>
      </c>
      <c r="W175" s="145">
        <f>SUMIFS(Table2[NewPointsAway],Table2[GameDate], "&lt;=" &amp; $A175, Table2[AwayTeam], W$1)+SUMIFS(Table2[NewPointsHome],Table2[GameDate], "&lt;=" &amp; $A175, Table2[HomeTeam], W$1)</f>
        <v>37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37</v>
      </c>
      <c r="Z175" s="145">
        <f>SUMIFS(Table2[NewPointsAway],Table2[GameDate], "&lt;=" &amp; $A175, Table2[AwayTeam], Z$1)+SUMIFS(Table2[NewPointsHome],Table2[GameDate], "&lt;=" &amp; $A175, Table2[HomeTeam], Z$1)</f>
        <v>32</v>
      </c>
      <c r="AA175" s="145">
        <f>SUMIFS(Table2[NewPointsAway],Table2[GameDate], "&lt;=" &amp; $A175, Table2[AwayTeam], AA$1)+SUMIFS(Table2[NewPointsHome],Table2[GameDate], "&lt;=" &amp; $A175, Table2[HomeTeam], AA$1)</f>
        <v>39</v>
      </c>
      <c r="AB175" s="145">
        <f>SUMIFS(Table2[NewPointsAway],Table2[GameDate], "&lt;=" &amp; $A175, Table2[AwayTeam], AB$1)+SUMIFS(Table2[NewPointsHome],Table2[GameDate], "&lt;=" &amp; $A175, Table2[HomeTeam], AB$1)</f>
        <v>35</v>
      </c>
      <c r="AC175" s="145">
        <f>SUMIFS(Table2[NewPointsAway],Table2[GameDate], "&lt;=" &amp; $A175, Table2[AwayTeam], AC$1)+SUMIFS(Table2[NewPointsHome],Table2[GameDate], "&lt;=" &amp; $A175, Table2[HomeTeam], AC$1)</f>
        <v>35</v>
      </c>
      <c r="AD175" s="145">
        <f>SUMIFS(Table2[NewPointsAway],Table2[GameDate], "&lt;=" &amp; $A175, Table2[AwayTeam], AD$1)+SUMIFS(Table2[NewPointsHome],Table2[GameDate], "&lt;=" &amp; $A175, Table2[HomeTeam], AD$1)</f>
        <v>29</v>
      </c>
      <c r="AE175" s="145">
        <f>SUMIFS(Table2[NewPointsAway],Table2[GameDate], "&lt;=" &amp; $A175, Table2[AwayTeam], AE$1)+SUMIFS(Table2[NewPointsHome],Table2[GameDate], "&lt;=" &amp; $A175, Table2[HomeTeam], AE$1)</f>
        <v>41</v>
      </c>
      <c r="AF175" s="145">
        <f>SUMIFS(Table2[NewPointsAway],Table2[GameDate], "&lt;=" &amp; $A175, Table2[AwayTeam], AF$1)+SUMIFS(Table2[NewPointsHome],Table2[GameDate], "&lt;=" &amp; $A175, Table2[HomeTeam], AF$1)</f>
        <v>32</v>
      </c>
      <c r="AG175" s="145">
        <f>SUMIFS(Table2[NewPointsAway],Table2[GameDate], "&lt;=" &amp; $A175, Table2[AwayTeam], AG$1)+SUMIFS(Table2[NewPointsHome],Table2[GameDate], "&lt;=" &amp; $A175, Table2[HomeTeam], AG$1)</f>
        <v>40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42</v>
      </c>
      <c r="C176" s="145">
        <f>SUMIFS(Table2[NewPointsAway],Table2[GameDate], "&lt;=" &amp; $A176, Table2[AwayTeam], C$1)+SUMIFS(Table2[NewPointsHome],Table2[GameDate], "&lt;=" &amp; $A176, Table2[HomeTeam], C$1)</f>
        <v>40</v>
      </c>
      <c r="D176" s="145">
        <f>SUMIFS(Table2[NewPointsAway],Table2[GameDate], "&lt;=" &amp; $A176, Table2[AwayTeam], D$1)+SUMIFS(Table2[NewPointsHome],Table2[GameDate], "&lt;=" &amp; $A176, Table2[HomeTeam], D$1)</f>
        <v>32</v>
      </c>
      <c r="E176" s="145">
        <f>SUMIFS(Table2[NewPointsAway],Table2[GameDate], "&lt;=" &amp; $A176, Table2[AwayTeam], E$1)+SUMIFS(Table2[NewPointsHome],Table2[GameDate], "&lt;=" &amp; $A176, Table2[HomeTeam], E$1)</f>
        <v>44</v>
      </c>
      <c r="F176" s="145">
        <f>SUMIFS(Table2[NewPointsAway],Table2[GameDate], "&lt;=" &amp; $A176, Table2[AwayTeam], F$1)+SUMIFS(Table2[NewPointsHome],Table2[GameDate], "&lt;=" &amp; $A176, Table2[HomeTeam], F$1)</f>
        <v>34</v>
      </c>
      <c r="G176" s="145">
        <f>SUMIFS(Table2[NewPointsAway],Table2[GameDate], "&lt;=" &amp; $A176, Table2[AwayTeam], G$1)+SUMIFS(Table2[NewPointsHome],Table2[GameDate], "&lt;=" &amp; $A176, Table2[HomeTeam], G$1)</f>
        <v>30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55</v>
      </c>
      <c r="J176" s="145">
        <f>SUMIFS(Table2[NewPointsAway],Table2[GameDate], "&lt;=" &amp; $A176, Table2[AwayTeam], J$1)+SUMIFS(Table2[NewPointsHome],Table2[GameDate], "&lt;=" &amp; $A176, Table2[HomeTeam], J$1)</f>
        <v>49</v>
      </c>
      <c r="K176" s="145">
        <f>SUMIFS(Table2[NewPointsAway],Table2[GameDate], "&lt;=" &amp; $A176, Table2[AwayTeam], K$1)+SUMIFS(Table2[NewPointsHome],Table2[GameDate], "&lt;=" &amp; $A176, Table2[HomeTeam], K$1)</f>
        <v>41</v>
      </c>
      <c r="L176" s="145">
        <f>SUMIFS(Table2[NewPointsAway],Table2[GameDate], "&lt;=" &amp; $A176, Table2[AwayTeam], L$1)+SUMIFS(Table2[NewPointsHome],Table2[GameDate], "&lt;=" &amp; $A176, Table2[HomeTeam], L$1)</f>
        <v>38</v>
      </c>
      <c r="M176" s="145">
        <f>SUMIFS(Table2[NewPointsAway],Table2[GameDate], "&lt;=" &amp; $A176, Table2[AwayTeam], M$1)+SUMIFS(Table2[NewPointsHome],Table2[GameDate], "&lt;=" &amp; $A176, Table2[HomeTeam], M$1)</f>
        <v>36</v>
      </c>
      <c r="N176" s="145">
        <f>SUMIFS(Table2[NewPointsAway],Table2[GameDate], "&lt;=" &amp; $A176, Table2[AwayTeam], N$1)+SUMIFS(Table2[NewPointsHome],Table2[GameDate], "&lt;=" &amp; $A176, Table2[HomeTeam], N$1)</f>
        <v>37</v>
      </c>
      <c r="O176" s="145">
        <f>SUMIFS(Table2[NewPointsAway],Table2[GameDate], "&lt;=" &amp; $A176, Table2[AwayTeam], O$1)+SUMIFS(Table2[NewPointsHome],Table2[GameDate], "&lt;=" &amp; $A176, Table2[HomeTeam], O$1)</f>
        <v>45</v>
      </c>
      <c r="P176" s="145">
        <f>SUMIFS(Table2[NewPointsAway],Table2[GameDate], "&lt;=" &amp; $A176, Table2[AwayTeam], P$1)+SUMIFS(Table2[NewPointsHome],Table2[GameDate], "&lt;=" &amp; $A176, Table2[HomeTeam], P$1)</f>
        <v>38</v>
      </c>
      <c r="Q176" s="145">
        <f>SUMIFS(Table2[NewPointsAway],Table2[GameDate], "&lt;=" &amp; $A176, Table2[AwayTeam], Q$1)+SUMIFS(Table2[NewPointsHome],Table2[GameDate], "&lt;=" &amp; $A176, Table2[HomeTeam], Q$1)</f>
        <v>37</v>
      </c>
      <c r="R176" s="145">
        <f>SUMIFS(Table2[NewPointsAway],Table2[GameDate], "&lt;=" &amp; $A176, Table2[AwayTeam], R$1)+SUMIFS(Table2[NewPointsHome],Table2[GameDate], "&lt;=" &amp; $A176, Table2[HomeTeam], R$1)</f>
        <v>30</v>
      </c>
      <c r="S176" s="145">
        <f>SUMIFS(Table2[NewPointsAway],Table2[GameDate], "&lt;=" &amp; $A176, Table2[AwayTeam], S$1)+SUMIFS(Table2[NewPointsHome],Table2[GameDate], "&lt;=" &amp; $A176, Table2[HomeTeam], S$1)</f>
        <v>41</v>
      </c>
      <c r="T176" s="145">
        <f>SUMIFS(Table2[NewPointsAway],Table2[GameDate], "&lt;=" &amp; $A176, Table2[AwayTeam], T$1)+SUMIFS(Table2[NewPointsHome],Table2[GameDate], "&lt;=" &amp; $A176, Table2[HomeTeam], T$1)</f>
        <v>36</v>
      </c>
      <c r="U176" s="145">
        <f>SUMIFS(Table2[NewPointsAway],Table2[GameDate], "&lt;=" &amp; $A176, Table2[AwayTeam], U$1)+SUMIFS(Table2[NewPointsHome],Table2[GameDate], "&lt;=" &amp; $A176, Table2[HomeTeam], U$1)</f>
        <v>34</v>
      </c>
      <c r="V176" s="145">
        <f>SUMIFS(Table2[NewPointsAway],Table2[GameDate], "&lt;=" &amp; $A176, Table2[AwayTeam], V$1)+SUMIFS(Table2[NewPointsHome],Table2[GameDate], "&lt;=" &amp; $A176, Table2[HomeTeam], V$1)</f>
        <v>39</v>
      </c>
      <c r="W176" s="145">
        <f>SUMIFS(Table2[NewPointsAway],Table2[GameDate], "&lt;=" &amp; $A176, Table2[AwayTeam], W$1)+SUMIFS(Table2[NewPointsHome],Table2[GameDate], "&lt;=" &amp; $A176, Table2[HomeTeam], W$1)</f>
        <v>37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37</v>
      </c>
      <c r="Z176" s="145">
        <f>SUMIFS(Table2[NewPointsAway],Table2[GameDate], "&lt;=" &amp; $A176, Table2[AwayTeam], Z$1)+SUMIFS(Table2[NewPointsHome],Table2[GameDate], "&lt;=" &amp; $A176, Table2[HomeTeam], Z$1)</f>
        <v>32</v>
      </c>
      <c r="AA176" s="145">
        <f>SUMIFS(Table2[NewPointsAway],Table2[GameDate], "&lt;=" &amp; $A176, Table2[AwayTeam], AA$1)+SUMIFS(Table2[NewPointsHome],Table2[GameDate], "&lt;=" &amp; $A176, Table2[HomeTeam], AA$1)</f>
        <v>39</v>
      </c>
      <c r="AB176" s="145">
        <f>SUMIFS(Table2[NewPointsAway],Table2[GameDate], "&lt;=" &amp; $A176, Table2[AwayTeam], AB$1)+SUMIFS(Table2[NewPointsHome],Table2[GameDate], "&lt;=" &amp; $A176, Table2[HomeTeam], AB$1)</f>
        <v>35</v>
      </c>
      <c r="AC176" s="145">
        <f>SUMIFS(Table2[NewPointsAway],Table2[GameDate], "&lt;=" &amp; $A176, Table2[AwayTeam], AC$1)+SUMIFS(Table2[NewPointsHome],Table2[GameDate], "&lt;=" &amp; $A176, Table2[HomeTeam], AC$1)</f>
        <v>35</v>
      </c>
      <c r="AD176" s="145">
        <f>SUMIFS(Table2[NewPointsAway],Table2[GameDate], "&lt;=" &amp; $A176, Table2[AwayTeam], AD$1)+SUMIFS(Table2[NewPointsHome],Table2[GameDate], "&lt;=" &amp; $A176, Table2[HomeTeam], AD$1)</f>
        <v>29</v>
      </c>
      <c r="AE176" s="145">
        <f>SUMIFS(Table2[NewPointsAway],Table2[GameDate], "&lt;=" &amp; $A176, Table2[AwayTeam], AE$1)+SUMIFS(Table2[NewPointsHome],Table2[GameDate], "&lt;=" &amp; $A176, Table2[HomeTeam], AE$1)</f>
        <v>41</v>
      </c>
      <c r="AF176" s="145">
        <f>SUMIFS(Table2[NewPointsAway],Table2[GameDate], "&lt;=" &amp; $A176, Table2[AwayTeam], AF$1)+SUMIFS(Table2[NewPointsHome],Table2[GameDate], "&lt;=" &amp; $A176, Table2[HomeTeam], AF$1)</f>
        <v>32</v>
      </c>
      <c r="AG176" s="145">
        <f>SUMIFS(Table2[NewPointsAway],Table2[GameDate], "&lt;=" &amp; $A176, Table2[AwayTeam], AG$1)+SUMIFS(Table2[NewPointsHome],Table2[GameDate], "&lt;=" &amp; $A176, Table2[HomeTeam], AG$1)</f>
        <v>40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42</v>
      </c>
      <c r="C177" s="145">
        <f>SUMIFS(Table2[NewPointsAway],Table2[GameDate], "&lt;=" &amp; $A177, Table2[AwayTeam], C$1)+SUMIFS(Table2[NewPointsHome],Table2[GameDate], "&lt;=" &amp; $A177, Table2[HomeTeam], C$1)</f>
        <v>40</v>
      </c>
      <c r="D177" s="145">
        <f>SUMIFS(Table2[NewPointsAway],Table2[GameDate], "&lt;=" &amp; $A177, Table2[AwayTeam], D$1)+SUMIFS(Table2[NewPointsHome],Table2[GameDate], "&lt;=" &amp; $A177, Table2[HomeTeam], D$1)</f>
        <v>32</v>
      </c>
      <c r="E177" s="145">
        <f>SUMIFS(Table2[NewPointsAway],Table2[GameDate], "&lt;=" &amp; $A177, Table2[AwayTeam], E$1)+SUMIFS(Table2[NewPointsHome],Table2[GameDate], "&lt;=" &amp; $A177, Table2[HomeTeam], E$1)</f>
        <v>44</v>
      </c>
      <c r="F177" s="145">
        <f>SUMIFS(Table2[NewPointsAway],Table2[GameDate], "&lt;=" &amp; $A177, Table2[AwayTeam], F$1)+SUMIFS(Table2[NewPointsHome],Table2[GameDate], "&lt;=" &amp; $A177, Table2[HomeTeam], F$1)</f>
        <v>34</v>
      </c>
      <c r="G177" s="145">
        <f>SUMIFS(Table2[NewPointsAway],Table2[GameDate], "&lt;=" &amp; $A177, Table2[AwayTeam], G$1)+SUMIFS(Table2[NewPointsHome],Table2[GameDate], "&lt;=" &amp; $A177, Table2[HomeTeam], G$1)</f>
        <v>30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55</v>
      </c>
      <c r="J177" s="145">
        <f>SUMIFS(Table2[NewPointsAway],Table2[GameDate], "&lt;=" &amp; $A177, Table2[AwayTeam], J$1)+SUMIFS(Table2[NewPointsHome],Table2[GameDate], "&lt;=" &amp; $A177, Table2[HomeTeam], J$1)</f>
        <v>49</v>
      </c>
      <c r="K177" s="145">
        <f>SUMIFS(Table2[NewPointsAway],Table2[GameDate], "&lt;=" &amp; $A177, Table2[AwayTeam], K$1)+SUMIFS(Table2[NewPointsHome],Table2[GameDate], "&lt;=" &amp; $A177, Table2[HomeTeam], K$1)</f>
        <v>41</v>
      </c>
      <c r="L177" s="145">
        <f>SUMIFS(Table2[NewPointsAway],Table2[GameDate], "&lt;=" &amp; $A177, Table2[AwayTeam], L$1)+SUMIFS(Table2[NewPointsHome],Table2[GameDate], "&lt;=" &amp; $A177, Table2[HomeTeam], L$1)</f>
        <v>38</v>
      </c>
      <c r="M177" s="145">
        <f>SUMIFS(Table2[NewPointsAway],Table2[GameDate], "&lt;=" &amp; $A177, Table2[AwayTeam], M$1)+SUMIFS(Table2[NewPointsHome],Table2[GameDate], "&lt;=" &amp; $A177, Table2[HomeTeam], M$1)</f>
        <v>36</v>
      </c>
      <c r="N177" s="145">
        <f>SUMIFS(Table2[NewPointsAway],Table2[GameDate], "&lt;=" &amp; $A177, Table2[AwayTeam], N$1)+SUMIFS(Table2[NewPointsHome],Table2[GameDate], "&lt;=" &amp; $A177, Table2[HomeTeam], N$1)</f>
        <v>37</v>
      </c>
      <c r="O177" s="145">
        <f>SUMIFS(Table2[NewPointsAway],Table2[GameDate], "&lt;=" &amp; $A177, Table2[AwayTeam], O$1)+SUMIFS(Table2[NewPointsHome],Table2[GameDate], "&lt;=" &amp; $A177, Table2[HomeTeam], O$1)</f>
        <v>45</v>
      </c>
      <c r="P177" s="145">
        <f>SUMIFS(Table2[NewPointsAway],Table2[GameDate], "&lt;=" &amp; $A177, Table2[AwayTeam], P$1)+SUMIFS(Table2[NewPointsHome],Table2[GameDate], "&lt;=" &amp; $A177, Table2[HomeTeam], P$1)</f>
        <v>38</v>
      </c>
      <c r="Q177" s="145">
        <f>SUMIFS(Table2[NewPointsAway],Table2[GameDate], "&lt;=" &amp; $A177, Table2[AwayTeam], Q$1)+SUMIFS(Table2[NewPointsHome],Table2[GameDate], "&lt;=" &amp; $A177, Table2[HomeTeam], Q$1)</f>
        <v>37</v>
      </c>
      <c r="R177" s="145">
        <f>SUMIFS(Table2[NewPointsAway],Table2[GameDate], "&lt;=" &amp; $A177, Table2[AwayTeam], R$1)+SUMIFS(Table2[NewPointsHome],Table2[GameDate], "&lt;=" &amp; $A177, Table2[HomeTeam], R$1)</f>
        <v>30</v>
      </c>
      <c r="S177" s="145">
        <f>SUMIFS(Table2[NewPointsAway],Table2[GameDate], "&lt;=" &amp; $A177, Table2[AwayTeam], S$1)+SUMIFS(Table2[NewPointsHome],Table2[GameDate], "&lt;=" &amp; $A177, Table2[HomeTeam], S$1)</f>
        <v>41</v>
      </c>
      <c r="T177" s="145">
        <f>SUMIFS(Table2[NewPointsAway],Table2[GameDate], "&lt;=" &amp; $A177, Table2[AwayTeam], T$1)+SUMIFS(Table2[NewPointsHome],Table2[GameDate], "&lt;=" &amp; $A177, Table2[HomeTeam], T$1)</f>
        <v>36</v>
      </c>
      <c r="U177" s="145">
        <f>SUMIFS(Table2[NewPointsAway],Table2[GameDate], "&lt;=" &amp; $A177, Table2[AwayTeam], U$1)+SUMIFS(Table2[NewPointsHome],Table2[GameDate], "&lt;=" &amp; $A177, Table2[HomeTeam], U$1)</f>
        <v>34</v>
      </c>
      <c r="V177" s="145">
        <f>SUMIFS(Table2[NewPointsAway],Table2[GameDate], "&lt;=" &amp; $A177, Table2[AwayTeam], V$1)+SUMIFS(Table2[NewPointsHome],Table2[GameDate], "&lt;=" &amp; $A177, Table2[HomeTeam], V$1)</f>
        <v>39</v>
      </c>
      <c r="W177" s="145">
        <f>SUMIFS(Table2[NewPointsAway],Table2[GameDate], "&lt;=" &amp; $A177, Table2[AwayTeam], W$1)+SUMIFS(Table2[NewPointsHome],Table2[GameDate], "&lt;=" &amp; $A177, Table2[HomeTeam], W$1)</f>
        <v>37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37</v>
      </c>
      <c r="Z177" s="145">
        <f>SUMIFS(Table2[NewPointsAway],Table2[GameDate], "&lt;=" &amp; $A177, Table2[AwayTeam], Z$1)+SUMIFS(Table2[NewPointsHome],Table2[GameDate], "&lt;=" &amp; $A177, Table2[HomeTeam], Z$1)</f>
        <v>32</v>
      </c>
      <c r="AA177" s="145">
        <f>SUMIFS(Table2[NewPointsAway],Table2[GameDate], "&lt;=" &amp; $A177, Table2[AwayTeam], AA$1)+SUMIFS(Table2[NewPointsHome],Table2[GameDate], "&lt;=" &amp; $A177, Table2[HomeTeam], AA$1)</f>
        <v>39</v>
      </c>
      <c r="AB177" s="145">
        <f>SUMIFS(Table2[NewPointsAway],Table2[GameDate], "&lt;=" &amp; $A177, Table2[AwayTeam], AB$1)+SUMIFS(Table2[NewPointsHome],Table2[GameDate], "&lt;=" &amp; $A177, Table2[HomeTeam], AB$1)</f>
        <v>35</v>
      </c>
      <c r="AC177" s="145">
        <f>SUMIFS(Table2[NewPointsAway],Table2[GameDate], "&lt;=" &amp; $A177, Table2[AwayTeam], AC$1)+SUMIFS(Table2[NewPointsHome],Table2[GameDate], "&lt;=" &amp; $A177, Table2[HomeTeam], AC$1)</f>
        <v>35</v>
      </c>
      <c r="AD177" s="145">
        <f>SUMIFS(Table2[NewPointsAway],Table2[GameDate], "&lt;=" &amp; $A177, Table2[AwayTeam], AD$1)+SUMIFS(Table2[NewPointsHome],Table2[GameDate], "&lt;=" &amp; $A177, Table2[HomeTeam], AD$1)</f>
        <v>29</v>
      </c>
      <c r="AE177" s="145">
        <f>SUMIFS(Table2[NewPointsAway],Table2[GameDate], "&lt;=" &amp; $A177, Table2[AwayTeam], AE$1)+SUMIFS(Table2[NewPointsHome],Table2[GameDate], "&lt;=" &amp; $A177, Table2[HomeTeam], AE$1)</f>
        <v>41</v>
      </c>
      <c r="AF177" s="145">
        <f>SUMIFS(Table2[NewPointsAway],Table2[GameDate], "&lt;=" &amp; $A177, Table2[AwayTeam], AF$1)+SUMIFS(Table2[NewPointsHome],Table2[GameDate], "&lt;=" &amp; $A177, Table2[HomeTeam], AF$1)</f>
        <v>32</v>
      </c>
      <c r="AG177" s="145">
        <f>SUMIFS(Table2[NewPointsAway],Table2[GameDate], "&lt;=" &amp; $A177, Table2[AwayTeam], AG$1)+SUMIFS(Table2[NewPointsHome],Table2[GameDate], "&lt;=" &amp; $A177, Table2[HomeTeam], AG$1)</f>
        <v>40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42</v>
      </c>
      <c r="C178" s="145">
        <f>SUMIFS(Table2[NewPointsAway],Table2[GameDate], "&lt;=" &amp; $A178, Table2[AwayTeam], C$1)+SUMIFS(Table2[NewPointsHome],Table2[GameDate], "&lt;=" &amp; $A178, Table2[HomeTeam], C$1)</f>
        <v>40</v>
      </c>
      <c r="D178" s="145">
        <f>SUMIFS(Table2[NewPointsAway],Table2[GameDate], "&lt;=" &amp; $A178, Table2[AwayTeam], D$1)+SUMIFS(Table2[NewPointsHome],Table2[GameDate], "&lt;=" &amp; $A178, Table2[HomeTeam], D$1)</f>
        <v>32</v>
      </c>
      <c r="E178" s="145">
        <f>SUMIFS(Table2[NewPointsAway],Table2[GameDate], "&lt;=" &amp; $A178, Table2[AwayTeam], E$1)+SUMIFS(Table2[NewPointsHome],Table2[GameDate], "&lt;=" &amp; $A178, Table2[HomeTeam], E$1)</f>
        <v>44</v>
      </c>
      <c r="F178" s="145">
        <f>SUMIFS(Table2[NewPointsAway],Table2[GameDate], "&lt;=" &amp; $A178, Table2[AwayTeam], F$1)+SUMIFS(Table2[NewPointsHome],Table2[GameDate], "&lt;=" &amp; $A178, Table2[HomeTeam], F$1)</f>
        <v>34</v>
      </c>
      <c r="G178" s="145">
        <f>SUMIFS(Table2[NewPointsAway],Table2[GameDate], "&lt;=" &amp; $A178, Table2[AwayTeam], G$1)+SUMIFS(Table2[NewPointsHome],Table2[GameDate], "&lt;=" &amp; $A178, Table2[HomeTeam], G$1)</f>
        <v>30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55</v>
      </c>
      <c r="J178" s="145">
        <f>SUMIFS(Table2[NewPointsAway],Table2[GameDate], "&lt;=" &amp; $A178, Table2[AwayTeam], J$1)+SUMIFS(Table2[NewPointsHome],Table2[GameDate], "&lt;=" &amp; $A178, Table2[HomeTeam], J$1)</f>
        <v>49</v>
      </c>
      <c r="K178" s="145">
        <f>SUMIFS(Table2[NewPointsAway],Table2[GameDate], "&lt;=" &amp; $A178, Table2[AwayTeam], K$1)+SUMIFS(Table2[NewPointsHome],Table2[GameDate], "&lt;=" &amp; $A178, Table2[HomeTeam], K$1)</f>
        <v>41</v>
      </c>
      <c r="L178" s="145">
        <f>SUMIFS(Table2[NewPointsAway],Table2[GameDate], "&lt;=" &amp; $A178, Table2[AwayTeam], L$1)+SUMIFS(Table2[NewPointsHome],Table2[GameDate], "&lt;=" &amp; $A178, Table2[HomeTeam], L$1)</f>
        <v>38</v>
      </c>
      <c r="M178" s="145">
        <f>SUMIFS(Table2[NewPointsAway],Table2[GameDate], "&lt;=" &amp; $A178, Table2[AwayTeam], M$1)+SUMIFS(Table2[NewPointsHome],Table2[GameDate], "&lt;=" &amp; $A178, Table2[HomeTeam], M$1)</f>
        <v>36</v>
      </c>
      <c r="N178" s="145">
        <f>SUMIFS(Table2[NewPointsAway],Table2[GameDate], "&lt;=" &amp; $A178, Table2[AwayTeam], N$1)+SUMIFS(Table2[NewPointsHome],Table2[GameDate], "&lt;=" &amp; $A178, Table2[HomeTeam], N$1)</f>
        <v>37</v>
      </c>
      <c r="O178" s="145">
        <f>SUMIFS(Table2[NewPointsAway],Table2[GameDate], "&lt;=" &amp; $A178, Table2[AwayTeam], O$1)+SUMIFS(Table2[NewPointsHome],Table2[GameDate], "&lt;=" &amp; $A178, Table2[HomeTeam], O$1)</f>
        <v>45</v>
      </c>
      <c r="P178" s="145">
        <f>SUMIFS(Table2[NewPointsAway],Table2[GameDate], "&lt;=" &amp; $A178, Table2[AwayTeam], P$1)+SUMIFS(Table2[NewPointsHome],Table2[GameDate], "&lt;=" &amp; $A178, Table2[HomeTeam], P$1)</f>
        <v>38</v>
      </c>
      <c r="Q178" s="145">
        <f>SUMIFS(Table2[NewPointsAway],Table2[GameDate], "&lt;=" &amp; $A178, Table2[AwayTeam], Q$1)+SUMIFS(Table2[NewPointsHome],Table2[GameDate], "&lt;=" &amp; $A178, Table2[HomeTeam], Q$1)</f>
        <v>37</v>
      </c>
      <c r="R178" s="145">
        <f>SUMIFS(Table2[NewPointsAway],Table2[GameDate], "&lt;=" &amp; $A178, Table2[AwayTeam], R$1)+SUMIFS(Table2[NewPointsHome],Table2[GameDate], "&lt;=" &amp; $A178, Table2[HomeTeam], R$1)</f>
        <v>30</v>
      </c>
      <c r="S178" s="145">
        <f>SUMIFS(Table2[NewPointsAway],Table2[GameDate], "&lt;=" &amp; $A178, Table2[AwayTeam], S$1)+SUMIFS(Table2[NewPointsHome],Table2[GameDate], "&lt;=" &amp; $A178, Table2[HomeTeam], S$1)</f>
        <v>41</v>
      </c>
      <c r="T178" s="145">
        <f>SUMIFS(Table2[NewPointsAway],Table2[GameDate], "&lt;=" &amp; $A178, Table2[AwayTeam], T$1)+SUMIFS(Table2[NewPointsHome],Table2[GameDate], "&lt;=" &amp; $A178, Table2[HomeTeam], T$1)</f>
        <v>36</v>
      </c>
      <c r="U178" s="145">
        <f>SUMIFS(Table2[NewPointsAway],Table2[GameDate], "&lt;=" &amp; $A178, Table2[AwayTeam], U$1)+SUMIFS(Table2[NewPointsHome],Table2[GameDate], "&lt;=" &amp; $A178, Table2[HomeTeam], U$1)</f>
        <v>34</v>
      </c>
      <c r="V178" s="145">
        <f>SUMIFS(Table2[NewPointsAway],Table2[GameDate], "&lt;=" &amp; $A178, Table2[AwayTeam], V$1)+SUMIFS(Table2[NewPointsHome],Table2[GameDate], "&lt;=" &amp; $A178, Table2[HomeTeam], V$1)</f>
        <v>39</v>
      </c>
      <c r="W178" s="145">
        <f>SUMIFS(Table2[NewPointsAway],Table2[GameDate], "&lt;=" &amp; $A178, Table2[AwayTeam], W$1)+SUMIFS(Table2[NewPointsHome],Table2[GameDate], "&lt;=" &amp; $A178, Table2[HomeTeam], W$1)</f>
        <v>37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37</v>
      </c>
      <c r="Z178" s="145">
        <f>SUMIFS(Table2[NewPointsAway],Table2[GameDate], "&lt;=" &amp; $A178, Table2[AwayTeam], Z$1)+SUMIFS(Table2[NewPointsHome],Table2[GameDate], "&lt;=" &amp; $A178, Table2[HomeTeam], Z$1)</f>
        <v>32</v>
      </c>
      <c r="AA178" s="145">
        <f>SUMIFS(Table2[NewPointsAway],Table2[GameDate], "&lt;=" &amp; $A178, Table2[AwayTeam], AA$1)+SUMIFS(Table2[NewPointsHome],Table2[GameDate], "&lt;=" &amp; $A178, Table2[HomeTeam], AA$1)</f>
        <v>39</v>
      </c>
      <c r="AB178" s="145">
        <f>SUMIFS(Table2[NewPointsAway],Table2[GameDate], "&lt;=" &amp; $A178, Table2[AwayTeam], AB$1)+SUMIFS(Table2[NewPointsHome],Table2[GameDate], "&lt;=" &amp; $A178, Table2[HomeTeam], AB$1)</f>
        <v>35</v>
      </c>
      <c r="AC178" s="145">
        <f>SUMIFS(Table2[NewPointsAway],Table2[GameDate], "&lt;=" &amp; $A178, Table2[AwayTeam], AC$1)+SUMIFS(Table2[NewPointsHome],Table2[GameDate], "&lt;=" &amp; $A178, Table2[HomeTeam], AC$1)</f>
        <v>35</v>
      </c>
      <c r="AD178" s="145">
        <f>SUMIFS(Table2[NewPointsAway],Table2[GameDate], "&lt;=" &amp; $A178, Table2[AwayTeam], AD$1)+SUMIFS(Table2[NewPointsHome],Table2[GameDate], "&lt;=" &amp; $A178, Table2[HomeTeam], AD$1)</f>
        <v>29</v>
      </c>
      <c r="AE178" s="145">
        <f>SUMIFS(Table2[NewPointsAway],Table2[GameDate], "&lt;=" &amp; $A178, Table2[AwayTeam], AE$1)+SUMIFS(Table2[NewPointsHome],Table2[GameDate], "&lt;=" &amp; $A178, Table2[HomeTeam], AE$1)</f>
        <v>41</v>
      </c>
      <c r="AF178" s="145">
        <f>SUMIFS(Table2[NewPointsAway],Table2[GameDate], "&lt;=" &amp; $A178, Table2[AwayTeam], AF$1)+SUMIFS(Table2[NewPointsHome],Table2[GameDate], "&lt;=" &amp; $A178, Table2[HomeTeam], AF$1)</f>
        <v>32</v>
      </c>
      <c r="AG178" s="145">
        <f>SUMIFS(Table2[NewPointsAway],Table2[GameDate], "&lt;=" &amp; $A178, Table2[AwayTeam], AG$1)+SUMIFS(Table2[NewPointsHome],Table2[GameDate], "&lt;=" &amp; $A178, Table2[HomeTeam], AG$1)</f>
        <v>40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42</v>
      </c>
      <c r="C179" s="145">
        <f>SUMIFS(Table2[NewPointsAway],Table2[GameDate], "&lt;=" &amp; $A179, Table2[AwayTeam], C$1)+SUMIFS(Table2[NewPointsHome],Table2[GameDate], "&lt;=" &amp; $A179, Table2[HomeTeam], C$1)</f>
        <v>40</v>
      </c>
      <c r="D179" s="145">
        <f>SUMIFS(Table2[NewPointsAway],Table2[GameDate], "&lt;=" &amp; $A179, Table2[AwayTeam], D$1)+SUMIFS(Table2[NewPointsHome],Table2[GameDate], "&lt;=" &amp; $A179, Table2[HomeTeam], D$1)</f>
        <v>32</v>
      </c>
      <c r="E179" s="145">
        <f>SUMIFS(Table2[NewPointsAway],Table2[GameDate], "&lt;=" &amp; $A179, Table2[AwayTeam], E$1)+SUMIFS(Table2[NewPointsHome],Table2[GameDate], "&lt;=" &amp; $A179, Table2[HomeTeam], E$1)</f>
        <v>44</v>
      </c>
      <c r="F179" s="145">
        <f>SUMIFS(Table2[NewPointsAway],Table2[GameDate], "&lt;=" &amp; $A179, Table2[AwayTeam], F$1)+SUMIFS(Table2[NewPointsHome],Table2[GameDate], "&lt;=" &amp; $A179, Table2[HomeTeam], F$1)</f>
        <v>34</v>
      </c>
      <c r="G179" s="145">
        <f>SUMIFS(Table2[NewPointsAway],Table2[GameDate], "&lt;=" &amp; $A179, Table2[AwayTeam], G$1)+SUMIFS(Table2[NewPointsHome],Table2[GameDate], "&lt;=" &amp; $A179, Table2[HomeTeam], G$1)</f>
        <v>30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55</v>
      </c>
      <c r="J179" s="145">
        <f>SUMIFS(Table2[NewPointsAway],Table2[GameDate], "&lt;=" &amp; $A179, Table2[AwayTeam], J$1)+SUMIFS(Table2[NewPointsHome],Table2[GameDate], "&lt;=" &amp; $A179, Table2[HomeTeam], J$1)</f>
        <v>49</v>
      </c>
      <c r="K179" s="145">
        <f>SUMIFS(Table2[NewPointsAway],Table2[GameDate], "&lt;=" &amp; $A179, Table2[AwayTeam], K$1)+SUMIFS(Table2[NewPointsHome],Table2[GameDate], "&lt;=" &amp; $A179, Table2[HomeTeam], K$1)</f>
        <v>41</v>
      </c>
      <c r="L179" s="145">
        <f>SUMIFS(Table2[NewPointsAway],Table2[GameDate], "&lt;=" &amp; $A179, Table2[AwayTeam], L$1)+SUMIFS(Table2[NewPointsHome],Table2[GameDate], "&lt;=" &amp; $A179, Table2[HomeTeam], L$1)</f>
        <v>38</v>
      </c>
      <c r="M179" s="145">
        <f>SUMIFS(Table2[NewPointsAway],Table2[GameDate], "&lt;=" &amp; $A179, Table2[AwayTeam], M$1)+SUMIFS(Table2[NewPointsHome],Table2[GameDate], "&lt;=" &amp; $A179, Table2[HomeTeam], M$1)</f>
        <v>36</v>
      </c>
      <c r="N179" s="145">
        <f>SUMIFS(Table2[NewPointsAway],Table2[GameDate], "&lt;=" &amp; $A179, Table2[AwayTeam], N$1)+SUMIFS(Table2[NewPointsHome],Table2[GameDate], "&lt;=" &amp; $A179, Table2[HomeTeam], N$1)</f>
        <v>37</v>
      </c>
      <c r="O179" s="145">
        <f>SUMIFS(Table2[NewPointsAway],Table2[GameDate], "&lt;=" &amp; $A179, Table2[AwayTeam], O$1)+SUMIFS(Table2[NewPointsHome],Table2[GameDate], "&lt;=" &amp; $A179, Table2[HomeTeam], O$1)</f>
        <v>45</v>
      </c>
      <c r="P179" s="145">
        <f>SUMIFS(Table2[NewPointsAway],Table2[GameDate], "&lt;=" &amp; $A179, Table2[AwayTeam], P$1)+SUMIFS(Table2[NewPointsHome],Table2[GameDate], "&lt;=" &amp; $A179, Table2[HomeTeam], P$1)</f>
        <v>38</v>
      </c>
      <c r="Q179" s="145">
        <f>SUMIFS(Table2[NewPointsAway],Table2[GameDate], "&lt;=" &amp; $A179, Table2[AwayTeam], Q$1)+SUMIFS(Table2[NewPointsHome],Table2[GameDate], "&lt;=" &amp; $A179, Table2[HomeTeam], Q$1)</f>
        <v>37</v>
      </c>
      <c r="R179" s="145">
        <f>SUMIFS(Table2[NewPointsAway],Table2[GameDate], "&lt;=" &amp; $A179, Table2[AwayTeam], R$1)+SUMIFS(Table2[NewPointsHome],Table2[GameDate], "&lt;=" &amp; $A179, Table2[HomeTeam], R$1)</f>
        <v>30</v>
      </c>
      <c r="S179" s="145">
        <f>SUMIFS(Table2[NewPointsAway],Table2[GameDate], "&lt;=" &amp; $A179, Table2[AwayTeam], S$1)+SUMIFS(Table2[NewPointsHome],Table2[GameDate], "&lt;=" &amp; $A179, Table2[HomeTeam], S$1)</f>
        <v>41</v>
      </c>
      <c r="T179" s="145">
        <f>SUMIFS(Table2[NewPointsAway],Table2[GameDate], "&lt;=" &amp; $A179, Table2[AwayTeam], T$1)+SUMIFS(Table2[NewPointsHome],Table2[GameDate], "&lt;=" &amp; $A179, Table2[HomeTeam], T$1)</f>
        <v>36</v>
      </c>
      <c r="U179" s="145">
        <f>SUMIFS(Table2[NewPointsAway],Table2[GameDate], "&lt;=" &amp; $A179, Table2[AwayTeam], U$1)+SUMIFS(Table2[NewPointsHome],Table2[GameDate], "&lt;=" &amp; $A179, Table2[HomeTeam], U$1)</f>
        <v>34</v>
      </c>
      <c r="V179" s="145">
        <f>SUMIFS(Table2[NewPointsAway],Table2[GameDate], "&lt;=" &amp; $A179, Table2[AwayTeam], V$1)+SUMIFS(Table2[NewPointsHome],Table2[GameDate], "&lt;=" &amp; $A179, Table2[HomeTeam], V$1)</f>
        <v>39</v>
      </c>
      <c r="W179" s="145">
        <f>SUMIFS(Table2[NewPointsAway],Table2[GameDate], "&lt;=" &amp; $A179, Table2[AwayTeam], W$1)+SUMIFS(Table2[NewPointsHome],Table2[GameDate], "&lt;=" &amp; $A179, Table2[HomeTeam], W$1)</f>
        <v>37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37</v>
      </c>
      <c r="Z179" s="145">
        <f>SUMIFS(Table2[NewPointsAway],Table2[GameDate], "&lt;=" &amp; $A179, Table2[AwayTeam], Z$1)+SUMIFS(Table2[NewPointsHome],Table2[GameDate], "&lt;=" &amp; $A179, Table2[HomeTeam], Z$1)</f>
        <v>32</v>
      </c>
      <c r="AA179" s="145">
        <f>SUMIFS(Table2[NewPointsAway],Table2[GameDate], "&lt;=" &amp; $A179, Table2[AwayTeam], AA$1)+SUMIFS(Table2[NewPointsHome],Table2[GameDate], "&lt;=" &amp; $A179, Table2[HomeTeam], AA$1)</f>
        <v>39</v>
      </c>
      <c r="AB179" s="145">
        <f>SUMIFS(Table2[NewPointsAway],Table2[GameDate], "&lt;=" &amp; $A179, Table2[AwayTeam], AB$1)+SUMIFS(Table2[NewPointsHome],Table2[GameDate], "&lt;=" &amp; $A179, Table2[HomeTeam], AB$1)</f>
        <v>35</v>
      </c>
      <c r="AC179" s="145">
        <f>SUMIFS(Table2[NewPointsAway],Table2[GameDate], "&lt;=" &amp; $A179, Table2[AwayTeam], AC$1)+SUMIFS(Table2[NewPointsHome],Table2[GameDate], "&lt;=" &amp; $A179, Table2[HomeTeam], AC$1)</f>
        <v>35</v>
      </c>
      <c r="AD179" s="145">
        <f>SUMIFS(Table2[NewPointsAway],Table2[GameDate], "&lt;=" &amp; $A179, Table2[AwayTeam], AD$1)+SUMIFS(Table2[NewPointsHome],Table2[GameDate], "&lt;=" &amp; $A179, Table2[HomeTeam], AD$1)</f>
        <v>29</v>
      </c>
      <c r="AE179" s="145">
        <f>SUMIFS(Table2[NewPointsAway],Table2[GameDate], "&lt;=" &amp; $A179, Table2[AwayTeam], AE$1)+SUMIFS(Table2[NewPointsHome],Table2[GameDate], "&lt;=" &amp; $A179, Table2[HomeTeam], AE$1)</f>
        <v>41</v>
      </c>
      <c r="AF179" s="145">
        <f>SUMIFS(Table2[NewPointsAway],Table2[GameDate], "&lt;=" &amp; $A179, Table2[AwayTeam], AF$1)+SUMIFS(Table2[NewPointsHome],Table2[GameDate], "&lt;=" &amp; $A179, Table2[HomeTeam], AF$1)</f>
        <v>32</v>
      </c>
      <c r="AG179" s="145">
        <f>SUMIFS(Table2[NewPointsAway],Table2[GameDate], "&lt;=" &amp; $A179, Table2[AwayTeam], AG$1)+SUMIFS(Table2[NewPointsHome],Table2[GameDate], "&lt;=" &amp; $A179, Table2[HomeTeam], AG$1)</f>
        <v>40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42</v>
      </c>
      <c r="C180" s="145">
        <f>SUMIFS(Table2[NewPointsAway],Table2[GameDate], "&lt;=" &amp; $A180, Table2[AwayTeam], C$1)+SUMIFS(Table2[NewPointsHome],Table2[GameDate], "&lt;=" &amp; $A180, Table2[HomeTeam], C$1)</f>
        <v>40</v>
      </c>
      <c r="D180" s="145">
        <f>SUMIFS(Table2[NewPointsAway],Table2[GameDate], "&lt;=" &amp; $A180, Table2[AwayTeam], D$1)+SUMIFS(Table2[NewPointsHome],Table2[GameDate], "&lt;=" &amp; $A180, Table2[HomeTeam], D$1)</f>
        <v>32</v>
      </c>
      <c r="E180" s="145">
        <f>SUMIFS(Table2[NewPointsAway],Table2[GameDate], "&lt;=" &amp; $A180, Table2[AwayTeam], E$1)+SUMIFS(Table2[NewPointsHome],Table2[GameDate], "&lt;=" &amp; $A180, Table2[HomeTeam], E$1)</f>
        <v>44</v>
      </c>
      <c r="F180" s="145">
        <f>SUMIFS(Table2[NewPointsAway],Table2[GameDate], "&lt;=" &amp; $A180, Table2[AwayTeam], F$1)+SUMIFS(Table2[NewPointsHome],Table2[GameDate], "&lt;=" &amp; $A180, Table2[HomeTeam], F$1)</f>
        <v>34</v>
      </c>
      <c r="G180" s="145">
        <f>SUMIFS(Table2[NewPointsAway],Table2[GameDate], "&lt;=" &amp; $A180, Table2[AwayTeam], G$1)+SUMIFS(Table2[NewPointsHome],Table2[GameDate], "&lt;=" &amp; $A180, Table2[HomeTeam], G$1)</f>
        <v>30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55</v>
      </c>
      <c r="J180" s="145">
        <f>SUMIFS(Table2[NewPointsAway],Table2[GameDate], "&lt;=" &amp; $A180, Table2[AwayTeam], J$1)+SUMIFS(Table2[NewPointsHome],Table2[GameDate], "&lt;=" &amp; $A180, Table2[HomeTeam], J$1)</f>
        <v>49</v>
      </c>
      <c r="K180" s="145">
        <f>SUMIFS(Table2[NewPointsAway],Table2[GameDate], "&lt;=" &amp; $A180, Table2[AwayTeam], K$1)+SUMIFS(Table2[NewPointsHome],Table2[GameDate], "&lt;=" &amp; $A180, Table2[HomeTeam], K$1)</f>
        <v>41</v>
      </c>
      <c r="L180" s="145">
        <f>SUMIFS(Table2[NewPointsAway],Table2[GameDate], "&lt;=" &amp; $A180, Table2[AwayTeam], L$1)+SUMIFS(Table2[NewPointsHome],Table2[GameDate], "&lt;=" &amp; $A180, Table2[HomeTeam], L$1)</f>
        <v>38</v>
      </c>
      <c r="M180" s="145">
        <f>SUMIFS(Table2[NewPointsAway],Table2[GameDate], "&lt;=" &amp; $A180, Table2[AwayTeam], M$1)+SUMIFS(Table2[NewPointsHome],Table2[GameDate], "&lt;=" &amp; $A180, Table2[HomeTeam], M$1)</f>
        <v>36</v>
      </c>
      <c r="N180" s="145">
        <f>SUMIFS(Table2[NewPointsAway],Table2[GameDate], "&lt;=" &amp; $A180, Table2[AwayTeam], N$1)+SUMIFS(Table2[NewPointsHome],Table2[GameDate], "&lt;=" &amp; $A180, Table2[HomeTeam], N$1)</f>
        <v>37</v>
      </c>
      <c r="O180" s="145">
        <f>SUMIFS(Table2[NewPointsAway],Table2[GameDate], "&lt;=" &amp; $A180, Table2[AwayTeam], O$1)+SUMIFS(Table2[NewPointsHome],Table2[GameDate], "&lt;=" &amp; $A180, Table2[HomeTeam], O$1)</f>
        <v>45</v>
      </c>
      <c r="P180" s="145">
        <f>SUMIFS(Table2[NewPointsAway],Table2[GameDate], "&lt;=" &amp; $A180, Table2[AwayTeam], P$1)+SUMIFS(Table2[NewPointsHome],Table2[GameDate], "&lt;=" &amp; $A180, Table2[HomeTeam], P$1)</f>
        <v>38</v>
      </c>
      <c r="Q180" s="145">
        <f>SUMIFS(Table2[NewPointsAway],Table2[GameDate], "&lt;=" &amp; $A180, Table2[AwayTeam], Q$1)+SUMIFS(Table2[NewPointsHome],Table2[GameDate], "&lt;=" &amp; $A180, Table2[HomeTeam], Q$1)</f>
        <v>37</v>
      </c>
      <c r="R180" s="145">
        <f>SUMIFS(Table2[NewPointsAway],Table2[GameDate], "&lt;=" &amp; $A180, Table2[AwayTeam], R$1)+SUMIFS(Table2[NewPointsHome],Table2[GameDate], "&lt;=" &amp; $A180, Table2[HomeTeam], R$1)</f>
        <v>30</v>
      </c>
      <c r="S180" s="145">
        <f>SUMIFS(Table2[NewPointsAway],Table2[GameDate], "&lt;=" &amp; $A180, Table2[AwayTeam], S$1)+SUMIFS(Table2[NewPointsHome],Table2[GameDate], "&lt;=" &amp; $A180, Table2[HomeTeam], S$1)</f>
        <v>41</v>
      </c>
      <c r="T180" s="145">
        <f>SUMIFS(Table2[NewPointsAway],Table2[GameDate], "&lt;=" &amp; $A180, Table2[AwayTeam], T$1)+SUMIFS(Table2[NewPointsHome],Table2[GameDate], "&lt;=" &amp; $A180, Table2[HomeTeam], T$1)</f>
        <v>36</v>
      </c>
      <c r="U180" s="145">
        <f>SUMIFS(Table2[NewPointsAway],Table2[GameDate], "&lt;=" &amp; $A180, Table2[AwayTeam], U$1)+SUMIFS(Table2[NewPointsHome],Table2[GameDate], "&lt;=" &amp; $A180, Table2[HomeTeam], U$1)</f>
        <v>34</v>
      </c>
      <c r="V180" s="145">
        <f>SUMIFS(Table2[NewPointsAway],Table2[GameDate], "&lt;=" &amp; $A180, Table2[AwayTeam], V$1)+SUMIFS(Table2[NewPointsHome],Table2[GameDate], "&lt;=" &amp; $A180, Table2[HomeTeam], V$1)</f>
        <v>39</v>
      </c>
      <c r="W180" s="145">
        <f>SUMIFS(Table2[NewPointsAway],Table2[GameDate], "&lt;=" &amp; $A180, Table2[AwayTeam], W$1)+SUMIFS(Table2[NewPointsHome],Table2[GameDate], "&lt;=" &amp; $A180, Table2[HomeTeam], W$1)</f>
        <v>37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37</v>
      </c>
      <c r="Z180" s="145">
        <f>SUMIFS(Table2[NewPointsAway],Table2[GameDate], "&lt;=" &amp; $A180, Table2[AwayTeam], Z$1)+SUMIFS(Table2[NewPointsHome],Table2[GameDate], "&lt;=" &amp; $A180, Table2[HomeTeam], Z$1)</f>
        <v>32</v>
      </c>
      <c r="AA180" s="145">
        <f>SUMIFS(Table2[NewPointsAway],Table2[GameDate], "&lt;=" &amp; $A180, Table2[AwayTeam], AA$1)+SUMIFS(Table2[NewPointsHome],Table2[GameDate], "&lt;=" &amp; $A180, Table2[HomeTeam], AA$1)</f>
        <v>39</v>
      </c>
      <c r="AB180" s="145">
        <f>SUMIFS(Table2[NewPointsAway],Table2[GameDate], "&lt;=" &amp; $A180, Table2[AwayTeam], AB$1)+SUMIFS(Table2[NewPointsHome],Table2[GameDate], "&lt;=" &amp; $A180, Table2[HomeTeam], AB$1)</f>
        <v>35</v>
      </c>
      <c r="AC180" s="145">
        <f>SUMIFS(Table2[NewPointsAway],Table2[GameDate], "&lt;=" &amp; $A180, Table2[AwayTeam], AC$1)+SUMIFS(Table2[NewPointsHome],Table2[GameDate], "&lt;=" &amp; $A180, Table2[HomeTeam], AC$1)</f>
        <v>35</v>
      </c>
      <c r="AD180" s="145">
        <f>SUMIFS(Table2[NewPointsAway],Table2[GameDate], "&lt;=" &amp; $A180, Table2[AwayTeam], AD$1)+SUMIFS(Table2[NewPointsHome],Table2[GameDate], "&lt;=" &amp; $A180, Table2[HomeTeam], AD$1)</f>
        <v>29</v>
      </c>
      <c r="AE180" s="145">
        <f>SUMIFS(Table2[NewPointsAway],Table2[GameDate], "&lt;=" &amp; $A180, Table2[AwayTeam], AE$1)+SUMIFS(Table2[NewPointsHome],Table2[GameDate], "&lt;=" &amp; $A180, Table2[HomeTeam], AE$1)</f>
        <v>41</v>
      </c>
      <c r="AF180" s="145">
        <f>SUMIFS(Table2[NewPointsAway],Table2[GameDate], "&lt;=" &amp; $A180, Table2[AwayTeam], AF$1)+SUMIFS(Table2[NewPointsHome],Table2[GameDate], "&lt;=" &amp; $A180, Table2[HomeTeam], AF$1)</f>
        <v>32</v>
      </c>
      <c r="AG180" s="145">
        <f>SUMIFS(Table2[NewPointsAway],Table2[GameDate], "&lt;=" &amp; $A180, Table2[AwayTeam], AG$1)+SUMIFS(Table2[NewPointsHome],Table2[GameDate], "&lt;=" &amp; $A180, Table2[HomeTeam], AG$1)</f>
        <v>40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42</v>
      </c>
      <c r="C181" s="145">
        <f>SUMIFS(Table2[NewPointsAway],Table2[GameDate], "&lt;=" &amp; $A181, Table2[AwayTeam], C$1)+SUMIFS(Table2[NewPointsHome],Table2[GameDate], "&lt;=" &amp; $A181, Table2[HomeTeam], C$1)</f>
        <v>40</v>
      </c>
      <c r="D181" s="145">
        <f>SUMIFS(Table2[NewPointsAway],Table2[GameDate], "&lt;=" &amp; $A181, Table2[AwayTeam], D$1)+SUMIFS(Table2[NewPointsHome],Table2[GameDate], "&lt;=" &amp; $A181, Table2[HomeTeam], D$1)</f>
        <v>32</v>
      </c>
      <c r="E181" s="145">
        <f>SUMIFS(Table2[NewPointsAway],Table2[GameDate], "&lt;=" &amp; $A181, Table2[AwayTeam], E$1)+SUMIFS(Table2[NewPointsHome],Table2[GameDate], "&lt;=" &amp; $A181, Table2[HomeTeam], E$1)</f>
        <v>44</v>
      </c>
      <c r="F181" s="145">
        <f>SUMIFS(Table2[NewPointsAway],Table2[GameDate], "&lt;=" &amp; $A181, Table2[AwayTeam], F$1)+SUMIFS(Table2[NewPointsHome],Table2[GameDate], "&lt;=" &amp; $A181, Table2[HomeTeam], F$1)</f>
        <v>34</v>
      </c>
      <c r="G181" s="145">
        <f>SUMIFS(Table2[NewPointsAway],Table2[GameDate], "&lt;=" &amp; $A181, Table2[AwayTeam], G$1)+SUMIFS(Table2[NewPointsHome],Table2[GameDate], "&lt;=" &amp; $A181, Table2[HomeTeam], G$1)</f>
        <v>30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55</v>
      </c>
      <c r="J181" s="145">
        <f>SUMIFS(Table2[NewPointsAway],Table2[GameDate], "&lt;=" &amp; $A181, Table2[AwayTeam], J$1)+SUMIFS(Table2[NewPointsHome],Table2[GameDate], "&lt;=" &amp; $A181, Table2[HomeTeam], J$1)</f>
        <v>49</v>
      </c>
      <c r="K181" s="145">
        <f>SUMIFS(Table2[NewPointsAway],Table2[GameDate], "&lt;=" &amp; $A181, Table2[AwayTeam], K$1)+SUMIFS(Table2[NewPointsHome],Table2[GameDate], "&lt;=" &amp; $A181, Table2[HomeTeam], K$1)</f>
        <v>41</v>
      </c>
      <c r="L181" s="145">
        <f>SUMIFS(Table2[NewPointsAway],Table2[GameDate], "&lt;=" &amp; $A181, Table2[AwayTeam], L$1)+SUMIFS(Table2[NewPointsHome],Table2[GameDate], "&lt;=" &amp; $A181, Table2[HomeTeam], L$1)</f>
        <v>38</v>
      </c>
      <c r="M181" s="145">
        <f>SUMIFS(Table2[NewPointsAway],Table2[GameDate], "&lt;=" &amp; $A181, Table2[AwayTeam], M$1)+SUMIFS(Table2[NewPointsHome],Table2[GameDate], "&lt;=" &amp; $A181, Table2[HomeTeam], M$1)</f>
        <v>36</v>
      </c>
      <c r="N181" s="145">
        <f>SUMIFS(Table2[NewPointsAway],Table2[GameDate], "&lt;=" &amp; $A181, Table2[AwayTeam], N$1)+SUMIFS(Table2[NewPointsHome],Table2[GameDate], "&lt;=" &amp; $A181, Table2[HomeTeam], N$1)</f>
        <v>37</v>
      </c>
      <c r="O181" s="145">
        <f>SUMIFS(Table2[NewPointsAway],Table2[GameDate], "&lt;=" &amp; $A181, Table2[AwayTeam], O$1)+SUMIFS(Table2[NewPointsHome],Table2[GameDate], "&lt;=" &amp; $A181, Table2[HomeTeam], O$1)</f>
        <v>45</v>
      </c>
      <c r="P181" s="145">
        <f>SUMIFS(Table2[NewPointsAway],Table2[GameDate], "&lt;=" &amp; $A181, Table2[AwayTeam], P$1)+SUMIFS(Table2[NewPointsHome],Table2[GameDate], "&lt;=" &amp; $A181, Table2[HomeTeam], P$1)</f>
        <v>38</v>
      </c>
      <c r="Q181" s="145">
        <f>SUMIFS(Table2[NewPointsAway],Table2[GameDate], "&lt;=" &amp; $A181, Table2[AwayTeam], Q$1)+SUMIFS(Table2[NewPointsHome],Table2[GameDate], "&lt;=" &amp; $A181, Table2[HomeTeam], Q$1)</f>
        <v>37</v>
      </c>
      <c r="R181" s="145">
        <f>SUMIFS(Table2[NewPointsAway],Table2[GameDate], "&lt;=" &amp; $A181, Table2[AwayTeam], R$1)+SUMIFS(Table2[NewPointsHome],Table2[GameDate], "&lt;=" &amp; $A181, Table2[HomeTeam], R$1)</f>
        <v>30</v>
      </c>
      <c r="S181" s="145">
        <f>SUMIFS(Table2[NewPointsAway],Table2[GameDate], "&lt;=" &amp; $A181, Table2[AwayTeam], S$1)+SUMIFS(Table2[NewPointsHome],Table2[GameDate], "&lt;=" &amp; $A181, Table2[HomeTeam], S$1)</f>
        <v>41</v>
      </c>
      <c r="T181" s="145">
        <f>SUMIFS(Table2[NewPointsAway],Table2[GameDate], "&lt;=" &amp; $A181, Table2[AwayTeam], T$1)+SUMIFS(Table2[NewPointsHome],Table2[GameDate], "&lt;=" &amp; $A181, Table2[HomeTeam], T$1)</f>
        <v>36</v>
      </c>
      <c r="U181" s="145">
        <f>SUMIFS(Table2[NewPointsAway],Table2[GameDate], "&lt;=" &amp; $A181, Table2[AwayTeam], U$1)+SUMIFS(Table2[NewPointsHome],Table2[GameDate], "&lt;=" &amp; $A181, Table2[HomeTeam], U$1)</f>
        <v>34</v>
      </c>
      <c r="V181" s="145">
        <f>SUMIFS(Table2[NewPointsAway],Table2[GameDate], "&lt;=" &amp; $A181, Table2[AwayTeam], V$1)+SUMIFS(Table2[NewPointsHome],Table2[GameDate], "&lt;=" &amp; $A181, Table2[HomeTeam], V$1)</f>
        <v>39</v>
      </c>
      <c r="W181" s="145">
        <f>SUMIFS(Table2[NewPointsAway],Table2[GameDate], "&lt;=" &amp; $A181, Table2[AwayTeam], W$1)+SUMIFS(Table2[NewPointsHome],Table2[GameDate], "&lt;=" &amp; $A181, Table2[HomeTeam], W$1)</f>
        <v>37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37</v>
      </c>
      <c r="Z181" s="145">
        <f>SUMIFS(Table2[NewPointsAway],Table2[GameDate], "&lt;=" &amp; $A181, Table2[AwayTeam], Z$1)+SUMIFS(Table2[NewPointsHome],Table2[GameDate], "&lt;=" &amp; $A181, Table2[HomeTeam], Z$1)</f>
        <v>32</v>
      </c>
      <c r="AA181" s="145">
        <f>SUMIFS(Table2[NewPointsAway],Table2[GameDate], "&lt;=" &amp; $A181, Table2[AwayTeam], AA$1)+SUMIFS(Table2[NewPointsHome],Table2[GameDate], "&lt;=" &amp; $A181, Table2[HomeTeam], AA$1)</f>
        <v>39</v>
      </c>
      <c r="AB181" s="145">
        <f>SUMIFS(Table2[NewPointsAway],Table2[GameDate], "&lt;=" &amp; $A181, Table2[AwayTeam], AB$1)+SUMIFS(Table2[NewPointsHome],Table2[GameDate], "&lt;=" &amp; $A181, Table2[HomeTeam], AB$1)</f>
        <v>35</v>
      </c>
      <c r="AC181" s="145">
        <f>SUMIFS(Table2[NewPointsAway],Table2[GameDate], "&lt;=" &amp; $A181, Table2[AwayTeam], AC$1)+SUMIFS(Table2[NewPointsHome],Table2[GameDate], "&lt;=" &amp; $A181, Table2[HomeTeam], AC$1)</f>
        <v>35</v>
      </c>
      <c r="AD181" s="145">
        <f>SUMIFS(Table2[NewPointsAway],Table2[GameDate], "&lt;=" &amp; $A181, Table2[AwayTeam], AD$1)+SUMIFS(Table2[NewPointsHome],Table2[GameDate], "&lt;=" &amp; $A181, Table2[HomeTeam], AD$1)</f>
        <v>29</v>
      </c>
      <c r="AE181" s="145">
        <f>SUMIFS(Table2[NewPointsAway],Table2[GameDate], "&lt;=" &amp; $A181, Table2[AwayTeam], AE$1)+SUMIFS(Table2[NewPointsHome],Table2[GameDate], "&lt;=" &amp; $A181, Table2[HomeTeam], AE$1)</f>
        <v>41</v>
      </c>
      <c r="AF181" s="145">
        <f>SUMIFS(Table2[NewPointsAway],Table2[GameDate], "&lt;=" &amp; $A181, Table2[AwayTeam], AF$1)+SUMIFS(Table2[NewPointsHome],Table2[GameDate], "&lt;=" &amp; $A181, Table2[HomeTeam], AF$1)</f>
        <v>32</v>
      </c>
      <c r="AG181" s="145">
        <f>SUMIFS(Table2[NewPointsAway],Table2[GameDate], "&lt;=" &amp; $A181, Table2[AwayTeam], AG$1)+SUMIFS(Table2[NewPointsHome],Table2[GameDate], "&lt;=" &amp; $A181, Table2[HomeTeam], AG$1)</f>
        <v>40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42</v>
      </c>
      <c r="C182" s="145">
        <f>SUMIFS(Table2[NewPointsAway],Table2[GameDate], "&lt;=" &amp; $A182, Table2[AwayTeam], C$1)+SUMIFS(Table2[NewPointsHome],Table2[GameDate], "&lt;=" &amp; $A182, Table2[HomeTeam], C$1)</f>
        <v>40</v>
      </c>
      <c r="D182" s="145">
        <f>SUMIFS(Table2[NewPointsAway],Table2[GameDate], "&lt;=" &amp; $A182, Table2[AwayTeam], D$1)+SUMIFS(Table2[NewPointsHome],Table2[GameDate], "&lt;=" &amp; $A182, Table2[HomeTeam], D$1)</f>
        <v>32</v>
      </c>
      <c r="E182" s="145">
        <f>SUMIFS(Table2[NewPointsAway],Table2[GameDate], "&lt;=" &amp; $A182, Table2[AwayTeam], E$1)+SUMIFS(Table2[NewPointsHome],Table2[GameDate], "&lt;=" &amp; $A182, Table2[HomeTeam], E$1)</f>
        <v>44</v>
      </c>
      <c r="F182" s="145">
        <f>SUMIFS(Table2[NewPointsAway],Table2[GameDate], "&lt;=" &amp; $A182, Table2[AwayTeam], F$1)+SUMIFS(Table2[NewPointsHome],Table2[GameDate], "&lt;=" &amp; $A182, Table2[HomeTeam], F$1)</f>
        <v>34</v>
      </c>
      <c r="G182" s="145">
        <f>SUMIFS(Table2[NewPointsAway],Table2[GameDate], "&lt;=" &amp; $A182, Table2[AwayTeam], G$1)+SUMIFS(Table2[NewPointsHome],Table2[GameDate], "&lt;=" &amp; $A182, Table2[HomeTeam], G$1)</f>
        <v>30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55</v>
      </c>
      <c r="J182" s="145">
        <f>SUMIFS(Table2[NewPointsAway],Table2[GameDate], "&lt;=" &amp; $A182, Table2[AwayTeam], J$1)+SUMIFS(Table2[NewPointsHome],Table2[GameDate], "&lt;=" &amp; $A182, Table2[HomeTeam], J$1)</f>
        <v>49</v>
      </c>
      <c r="K182" s="145">
        <f>SUMIFS(Table2[NewPointsAway],Table2[GameDate], "&lt;=" &amp; $A182, Table2[AwayTeam], K$1)+SUMIFS(Table2[NewPointsHome],Table2[GameDate], "&lt;=" &amp; $A182, Table2[HomeTeam], K$1)</f>
        <v>41</v>
      </c>
      <c r="L182" s="145">
        <f>SUMIFS(Table2[NewPointsAway],Table2[GameDate], "&lt;=" &amp; $A182, Table2[AwayTeam], L$1)+SUMIFS(Table2[NewPointsHome],Table2[GameDate], "&lt;=" &amp; $A182, Table2[HomeTeam], L$1)</f>
        <v>38</v>
      </c>
      <c r="M182" s="145">
        <f>SUMIFS(Table2[NewPointsAway],Table2[GameDate], "&lt;=" &amp; $A182, Table2[AwayTeam], M$1)+SUMIFS(Table2[NewPointsHome],Table2[GameDate], "&lt;=" &amp; $A182, Table2[HomeTeam], M$1)</f>
        <v>36</v>
      </c>
      <c r="N182" s="145">
        <f>SUMIFS(Table2[NewPointsAway],Table2[GameDate], "&lt;=" &amp; $A182, Table2[AwayTeam], N$1)+SUMIFS(Table2[NewPointsHome],Table2[GameDate], "&lt;=" &amp; $A182, Table2[HomeTeam], N$1)</f>
        <v>37</v>
      </c>
      <c r="O182" s="145">
        <f>SUMIFS(Table2[NewPointsAway],Table2[GameDate], "&lt;=" &amp; $A182, Table2[AwayTeam], O$1)+SUMIFS(Table2[NewPointsHome],Table2[GameDate], "&lt;=" &amp; $A182, Table2[HomeTeam], O$1)</f>
        <v>45</v>
      </c>
      <c r="P182" s="145">
        <f>SUMIFS(Table2[NewPointsAway],Table2[GameDate], "&lt;=" &amp; $A182, Table2[AwayTeam], P$1)+SUMIFS(Table2[NewPointsHome],Table2[GameDate], "&lt;=" &amp; $A182, Table2[HomeTeam], P$1)</f>
        <v>38</v>
      </c>
      <c r="Q182" s="145">
        <f>SUMIFS(Table2[NewPointsAway],Table2[GameDate], "&lt;=" &amp; $A182, Table2[AwayTeam], Q$1)+SUMIFS(Table2[NewPointsHome],Table2[GameDate], "&lt;=" &amp; $A182, Table2[HomeTeam], Q$1)</f>
        <v>37</v>
      </c>
      <c r="R182" s="145">
        <f>SUMIFS(Table2[NewPointsAway],Table2[GameDate], "&lt;=" &amp; $A182, Table2[AwayTeam], R$1)+SUMIFS(Table2[NewPointsHome],Table2[GameDate], "&lt;=" &amp; $A182, Table2[HomeTeam], R$1)</f>
        <v>30</v>
      </c>
      <c r="S182" s="145">
        <f>SUMIFS(Table2[NewPointsAway],Table2[GameDate], "&lt;=" &amp; $A182, Table2[AwayTeam], S$1)+SUMIFS(Table2[NewPointsHome],Table2[GameDate], "&lt;=" &amp; $A182, Table2[HomeTeam], S$1)</f>
        <v>41</v>
      </c>
      <c r="T182" s="145">
        <f>SUMIFS(Table2[NewPointsAway],Table2[GameDate], "&lt;=" &amp; $A182, Table2[AwayTeam], T$1)+SUMIFS(Table2[NewPointsHome],Table2[GameDate], "&lt;=" &amp; $A182, Table2[HomeTeam], T$1)</f>
        <v>36</v>
      </c>
      <c r="U182" s="145">
        <f>SUMIFS(Table2[NewPointsAway],Table2[GameDate], "&lt;=" &amp; $A182, Table2[AwayTeam], U$1)+SUMIFS(Table2[NewPointsHome],Table2[GameDate], "&lt;=" &amp; $A182, Table2[HomeTeam], U$1)</f>
        <v>34</v>
      </c>
      <c r="V182" s="145">
        <f>SUMIFS(Table2[NewPointsAway],Table2[GameDate], "&lt;=" &amp; $A182, Table2[AwayTeam], V$1)+SUMIFS(Table2[NewPointsHome],Table2[GameDate], "&lt;=" &amp; $A182, Table2[HomeTeam], V$1)</f>
        <v>39</v>
      </c>
      <c r="W182" s="145">
        <f>SUMIFS(Table2[NewPointsAway],Table2[GameDate], "&lt;=" &amp; $A182, Table2[AwayTeam], W$1)+SUMIFS(Table2[NewPointsHome],Table2[GameDate], "&lt;=" &amp; $A182, Table2[HomeTeam], W$1)</f>
        <v>37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37</v>
      </c>
      <c r="Z182" s="145">
        <f>SUMIFS(Table2[NewPointsAway],Table2[GameDate], "&lt;=" &amp; $A182, Table2[AwayTeam], Z$1)+SUMIFS(Table2[NewPointsHome],Table2[GameDate], "&lt;=" &amp; $A182, Table2[HomeTeam], Z$1)</f>
        <v>32</v>
      </c>
      <c r="AA182" s="145">
        <f>SUMIFS(Table2[NewPointsAway],Table2[GameDate], "&lt;=" &amp; $A182, Table2[AwayTeam], AA$1)+SUMIFS(Table2[NewPointsHome],Table2[GameDate], "&lt;=" &amp; $A182, Table2[HomeTeam], AA$1)</f>
        <v>39</v>
      </c>
      <c r="AB182" s="145">
        <f>SUMIFS(Table2[NewPointsAway],Table2[GameDate], "&lt;=" &amp; $A182, Table2[AwayTeam], AB$1)+SUMIFS(Table2[NewPointsHome],Table2[GameDate], "&lt;=" &amp; $A182, Table2[HomeTeam], AB$1)</f>
        <v>35</v>
      </c>
      <c r="AC182" s="145">
        <f>SUMIFS(Table2[NewPointsAway],Table2[GameDate], "&lt;=" &amp; $A182, Table2[AwayTeam], AC$1)+SUMIFS(Table2[NewPointsHome],Table2[GameDate], "&lt;=" &amp; $A182, Table2[HomeTeam], AC$1)</f>
        <v>35</v>
      </c>
      <c r="AD182" s="145">
        <f>SUMIFS(Table2[NewPointsAway],Table2[GameDate], "&lt;=" &amp; $A182, Table2[AwayTeam], AD$1)+SUMIFS(Table2[NewPointsHome],Table2[GameDate], "&lt;=" &amp; $A182, Table2[HomeTeam], AD$1)</f>
        <v>29</v>
      </c>
      <c r="AE182" s="145">
        <f>SUMIFS(Table2[NewPointsAway],Table2[GameDate], "&lt;=" &amp; $A182, Table2[AwayTeam], AE$1)+SUMIFS(Table2[NewPointsHome],Table2[GameDate], "&lt;=" &amp; $A182, Table2[HomeTeam], AE$1)</f>
        <v>41</v>
      </c>
      <c r="AF182" s="145">
        <f>SUMIFS(Table2[NewPointsAway],Table2[GameDate], "&lt;=" &amp; $A182, Table2[AwayTeam], AF$1)+SUMIFS(Table2[NewPointsHome],Table2[GameDate], "&lt;=" &amp; $A182, Table2[HomeTeam], AF$1)</f>
        <v>32</v>
      </c>
      <c r="AG182" s="145">
        <f>SUMIFS(Table2[NewPointsAway],Table2[GameDate], "&lt;=" &amp; $A182, Table2[AwayTeam], AG$1)+SUMIFS(Table2[NewPointsHome],Table2[GameDate], "&lt;=" &amp; $A182, Table2[HomeTeam], AG$1)</f>
        <v>40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42</v>
      </c>
      <c r="C183" s="145">
        <f>SUMIFS(Table2[NewPointsAway],Table2[GameDate], "&lt;=" &amp; $A183, Table2[AwayTeam], C$1)+SUMIFS(Table2[NewPointsHome],Table2[GameDate], "&lt;=" &amp; $A183, Table2[HomeTeam], C$1)</f>
        <v>40</v>
      </c>
      <c r="D183" s="145">
        <f>SUMIFS(Table2[NewPointsAway],Table2[GameDate], "&lt;=" &amp; $A183, Table2[AwayTeam], D$1)+SUMIFS(Table2[NewPointsHome],Table2[GameDate], "&lt;=" &amp; $A183, Table2[HomeTeam], D$1)</f>
        <v>32</v>
      </c>
      <c r="E183" s="145">
        <f>SUMIFS(Table2[NewPointsAway],Table2[GameDate], "&lt;=" &amp; $A183, Table2[AwayTeam], E$1)+SUMIFS(Table2[NewPointsHome],Table2[GameDate], "&lt;=" &amp; $A183, Table2[HomeTeam], E$1)</f>
        <v>44</v>
      </c>
      <c r="F183" s="145">
        <f>SUMIFS(Table2[NewPointsAway],Table2[GameDate], "&lt;=" &amp; $A183, Table2[AwayTeam], F$1)+SUMIFS(Table2[NewPointsHome],Table2[GameDate], "&lt;=" &amp; $A183, Table2[HomeTeam], F$1)</f>
        <v>34</v>
      </c>
      <c r="G183" s="145">
        <f>SUMIFS(Table2[NewPointsAway],Table2[GameDate], "&lt;=" &amp; $A183, Table2[AwayTeam], G$1)+SUMIFS(Table2[NewPointsHome],Table2[GameDate], "&lt;=" &amp; $A183, Table2[HomeTeam], G$1)</f>
        <v>30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55</v>
      </c>
      <c r="J183" s="145">
        <f>SUMIFS(Table2[NewPointsAway],Table2[GameDate], "&lt;=" &amp; $A183, Table2[AwayTeam], J$1)+SUMIFS(Table2[NewPointsHome],Table2[GameDate], "&lt;=" &amp; $A183, Table2[HomeTeam], J$1)</f>
        <v>49</v>
      </c>
      <c r="K183" s="145">
        <f>SUMIFS(Table2[NewPointsAway],Table2[GameDate], "&lt;=" &amp; $A183, Table2[AwayTeam], K$1)+SUMIFS(Table2[NewPointsHome],Table2[GameDate], "&lt;=" &amp; $A183, Table2[HomeTeam], K$1)</f>
        <v>41</v>
      </c>
      <c r="L183" s="145">
        <f>SUMIFS(Table2[NewPointsAway],Table2[GameDate], "&lt;=" &amp; $A183, Table2[AwayTeam], L$1)+SUMIFS(Table2[NewPointsHome],Table2[GameDate], "&lt;=" &amp; $A183, Table2[HomeTeam], L$1)</f>
        <v>38</v>
      </c>
      <c r="M183" s="145">
        <f>SUMIFS(Table2[NewPointsAway],Table2[GameDate], "&lt;=" &amp; $A183, Table2[AwayTeam], M$1)+SUMIFS(Table2[NewPointsHome],Table2[GameDate], "&lt;=" &amp; $A183, Table2[HomeTeam], M$1)</f>
        <v>36</v>
      </c>
      <c r="N183" s="145">
        <f>SUMIFS(Table2[NewPointsAway],Table2[GameDate], "&lt;=" &amp; $A183, Table2[AwayTeam], N$1)+SUMIFS(Table2[NewPointsHome],Table2[GameDate], "&lt;=" &amp; $A183, Table2[HomeTeam], N$1)</f>
        <v>37</v>
      </c>
      <c r="O183" s="145">
        <f>SUMIFS(Table2[NewPointsAway],Table2[GameDate], "&lt;=" &amp; $A183, Table2[AwayTeam], O$1)+SUMIFS(Table2[NewPointsHome],Table2[GameDate], "&lt;=" &amp; $A183, Table2[HomeTeam], O$1)</f>
        <v>45</v>
      </c>
      <c r="P183" s="145">
        <f>SUMIFS(Table2[NewPointsAway],Table2[GameDate], "&lt;=" &amp; $A183, Table2[AwayTeam], P$1)+SUMIFS(Table2[NewPointsHome],Table2[GameDate], "&lt;=" &amp; $A183, Table2[HomeTeam], P$1)</f>
        <v>38</v>
      </c>
      <c r="Q183" s="145">
        <f>SUMIFS(Table2[NewPointsAway],Table2[GameDate], "&lt;=" &amp; $A183, Table2[AwayTeam], Q$1)+SUMIFS(Table2[NewPointsHome],Table2[GameDate], "&lt;=" &amp; $A183, Table2[HomeTeam], Q$1)</f>
        <v>37</v>
      </c>
      <c r="R183" s="145">
        <f>SUMIFS(Table2[NewPointsAway],Table2[GameDate], "&lt;=" &amp; $A183, Table2[AwayTeam], R$1)+SUMIFS(Table2[NewPointsHome],Table2[GameDate], "&lt;=" &amp; $A183, Table2[HomeTeam], R$1)</f>
        <v>30</v>
      </c>
      <c r="S183" s="145">
        <f>SUMIFS(Table2[NewPointsAway],Table2[GameDate], "&lt;=" &amp; $A183, Table2[AwayTeam], S$1)+SUMIFS(Table2[NewPointsHome],Table2[GameDate], "&lt;=" &amp; $A183, Table2[HomeTeam], S$1)</f>
        <v>41</v>
      </c>
      <c r="T183" s="145">
        <f>SUMIFS(Table2[NewPointsAway],Table2[GameDate], "&lt;=" &amp; $A183, Table2[AwayTeam], T$1)+SUMIFS(Table2[NewPointsHome],Table2[GameDate], "&lt;=" &amp; $A183, Table2[HomeTeam], T$1)</f>
        <v>36</v>
      </c>
      <c r="U183" s="145">
        <f>SUMIFS(Table2[NewPointsAway],Table2[GameDate], "&lt;=" &amp; $A183, Table2[AwayTeam], U$1)+SUMIFS(Table2[NewPointsHome],Table2[GameDate], "&lt;=" &amp; $A183, Table2[HomeTeam], U$1)</f>
        <v>34</v>
      </c>
      <c r="V183" s="145">
        <f>SUMIFS(Table2[NewPointsAway],Table2[GameDate], "&lt;=" &amp; $A183, Table2[AwayTeam], V$1)+SUMIFS(Table2[NewPointsHome],Table2[GameDate], "&lt;=" &amp; $A183, Table2[HomeTeam], V$1)</f>
        <v>39</v>
      </c>
      <c r="W183" s="145">
        <f>SUMIFS(Table2[NewPointsAway],Table2[GameDate], "&lt;=" &amp; $A183, Table2[AwayTeam], W$1)+SUMIFS(Table2[NewPointsHome],Table2[GameDate], "&lt;=" &amp; $A183, Table2[HomeTeam], W$1)</f>
        <v>37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37</v>
      </c>
      <c r="Z183" s="145">
        <f>SUMIFS(Table2[NewPointsAway],Table2[GameDate], "&lt;=" &amp; $A183, Table2[AwayTeam], Z$1)+SUMIFS(Table2[NewPointsHome],Table2[GameDate], "&lt;=" &amp; $A183, Table2[HomeTeam], Z$1)</f>
        <v>32</v>
      </c>
      <c r="AA183" s="145">
        <f>SUMIFS(Table2[NewPointsAway],Table2[GameDate], "&lt;=" &amp; $A183, Table2[AwayTeam], AA$1)+SUMIFS(Table2[NewPointsHome],Table2[GameDate], "&lt;=" &amp; $A183, Table2[HomeTeam], AA$1)</f>
        <v>39</v>
      </c>
      <c r="AB183" s="145">
        <f>SUMIFS(Table2[NewPointsAway],Table2[GameDate], "&lt;=" &amp; $A183, Table2[AwayTeam], AB$1)+SUMIFS(Table2[NewPointsHome],Table2[GameDate], "&lt;=" &amp; $A183, Table2[HomeTeam], AB$1)</f>
        <v>35</v>
      </c>
      <c r="AC183" s="145">
        <f>SUMIFS(Table2[NewPointsAway],Table2[GameDate], "&lt;=" &amp; $A183, Table2[AwayTeam], AC$1)+SUMIFS(Table2[NewPointsHome],Table2[GameDate], "&lt;=" &amp; $A183, Table2[HomeTeam], AC$1)</f>
        <v>35</v>
      </c>
      <c r="AD183" s="145">
        <f>SUMIFS(Table2[NewPointsAway],Table2[GameDate], "&lt;=" &amp; $A183, Table2[AwayTeam], AD$1)+SUMIFS(Table2[NewPointsHome],Table2[GameDate], "&lt;=" &amp; $A183, Table2[HomeTeam], AD$1)</f>
        <v>29</v>
      </c>
      <c r="AE183" s="145">
        <f>SUMIFS(Table2[NewPointsAway],Table2[GameDate], "&lt;=" &amp; $A183, Table2[AwayTeam], AE$1)+SUMIFS(Table2[NewPointsHome],Table2[GameDate], "&lt;=" &amp; $A183, Table2[HomeTeam], AE$1)</f>
        <v>41</v>
      </c>
      <c r="AF183" s="145">
        <f>SUMIFS(Table2[NewPointsAway],Table2[GameDate], "&lt;=" &amp; $A183, Table2[AwayTeam], AF$1)+SUMIFS(Table2[NewPointsHome],Table2[GameDate], "&lt;=" &amp; $A183, Table2[HomeTeam], AF$1)</f>
        <v>32</v>
      </c>
      <c r="AG183" s="145">
        <f>SUMIFS(Table2[NewPointsAway],Table2[GameDate], "&lt;=" &amp; $A183, Table2[AwayTeam], AG$1)+SUMIFS(Table2[NewPointsHome],Table2[GameDate], "&lt;=" &amp; $A183, Table2[HomeTeam], AG$1)</f>
        <v>40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42</v>
      </c>
      <c r="C184" s="145">
        <f>SUMIFS(Table2[NewPointsAway],Table2[GameDate], "&lt;=" &amp; $A184, Table2[AwayTeam], C$1)+SUMIFS(Table2[NewPointsHome],Table2[GameDate], "&lt;=" &amp; $A184, Table2[HomeTeam], C$1)</f>
        <v>40</v>
      </c>
      <c r="D184" s="145">
        <f>SUMIFS(Table2[NewPointsAway],Table2[GameDate], "&lt;=" &amp; $A184, Table2[AwayTeam], D$1)+SUMIFS(Table2[NewPointsHome],Table2[GameDate], "&lt;=" &amp; $A184, Table2[HomeTeam], D$1)</f>
        <v>32</v>
      </c>
      <c r="E184" s="145">
        <f>SUMIFS(Table2[NewPointsAway],Table2[GameDate], "&lt;=" &amp; $A184, Table2[AwayTeam], E$1)+SUMIFS(Table2[NewPointsHome],Table2[GameDate], "&lt;=" &amp; $A184, Table2[HomeTeam], E$1)</f>
        <v>44</v>
      </c>
      <c r="F184" s="145">
        <f>SUMIFS(Table2[NewPointsAway],Table2[GameDate], "&lt;=" &amp; $A184, Table2[AwayTeam], F$1)+SUMIFS(Table2[NewPointsHome],Table2[GameDate], "&lt;=" &amp; $A184, Table2[HomeTeam], F$1)</f>
        <v>34</v>
      </c>
      <c r="G184" s="145">
        <f>SUMIFS(Table2[NewPointsAway],Table2[GameDate], "&lt;=" &amp; $A184, Table2[AwayTeam], G$1)+SUMIFS(Table2[NewPointsHome],Table2[GameDate], "&lt;=" &amp; $A184, Table2[HomeTeam], G$1)</f>
        <v>30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55</v>
      </c>
      <c r="J184" s="145">
        <f>SUMIFS(Table2[NewPointsAway],Table2[GameDate], "&lt;=" &amp; $A184, Table2[AwayTeam], J$1)+SUMIFS(Table2[NewPointsHome],Table2[GameDate], "&lt;=" &amp; $A184, Table2[HomeTeam], J$1)</f>
        <v>49</v>
      </c>
      <c r="K184" s="145">
        <f>SUMIFS(Table2[NewPointsAway],Table2[GameDate], "&lt;=" &amp; $A184, Table2[AwayTeam], K$1)+SUMIFS(Table2[NewPointsHome],Table2[GameDate], "&lt;=" &amp; $A184, Table2[HomeTeam], K$1)</f>
        <v>41</v>
      </c>
      <c r="L184" s="145">
        <f>SUMIFS(Table2[NewPointsAway],Table2[GameDate], "&lt;=" &amp; $A184, Table2[AwayTeam], L$1)+SUMIFS(Table2[NewPointsHome],Table2[GameDate], "&lt;=" &amp; $A184, Table2[HomeTeam], L$1)</f>
        <v>38</v>
      </c>
      <c r="M184" s="145">
        <f>SUMIFS(Table2[NewPointsAway],Table2[GameDate], "&lt;=" &amp; $A184, Table2[AwayTeam], M$1)+SUMIFS(Table2[NewPointsHome],Table2[GameDate], "&lt;=" &amp; $A184, Table2[HomeTeam], M$1)</f>
        <v>36</v>
      </c>
      <c r="N184" s="145">
        <f>SUMIFS(Table2[NewPointsAway],Table2[GameDate], "&lt;=" &amp; $A184, Table2[AwayTeam], N$1)+SUMIFS(Table2[NewPointsHome],Table2[GameDate], "&lt;=" &amp; $A184, Table2[HomeTeam], N$1)</f>
        <v>37</v>
      </c>
      <c r="O184" s="145">
        <f>SUMIFS(Table2[NewPointsAway],Table2[GameDate], "&lt;=" &amp; $A184, Table2[AwayTeam], O$1)+SUMIFS(Table2[NewPointsHome],Table2[GameDate], "&lt;=" &amp; $A184, Table2[HomeTeam], O$1)</f>
        <v>45</v>
      </c>
      <c r="P184" s="145">
        <f>SUMIFS(Table2[NewPointsAway],Table2[GameDate], "&lt;=" &amp; $A184, Table2[AwayTeam], P$1)+SUMIFS(Table2[NewPointsHome],Table2[GameDate], "&lt;=" &amp; $A184, Table2[HomeTeam], P$1)</f>
        <v>38</v>
      </c>
      <c r="Q184" s="145">
        <f>SUMIFS(Table2[NewPointsAway],Table2[GameDate], "&lt;=" &amp; $A184, Table2[AwayTeam], Q$1)+SUMIFS(Table2[NewPointsHome],Table2[GameDate], "&lt;=" &amp; $A184, Table2[HomeTeam], Q$1)</f>
        <v>37</v>
      </c>
      <c r="R184" s="145">
        <f>SUMIFS(Table2[NewPointsAway],Table2[GameDate], "&lt;=" &amp; $A184, Table2[AwayTeam], R$1)+SUMIFS(Table2[NewPointsHome],Table2[GameDate], "&lt;=" &amp; $A184, Table2[HomeTeam], R$1)</f>
        <v>30</v>
      </c>
      <c r="S184" s="145">
        <f>SUMIFS(Table2[NewPointsAway],Table2[GameDate], "&lt;=" &amp; $A184, Table2[AwayTeam], S$1)+SUMIFS(Table2[NewPointsHome],Table2[GameDate], "&lt;=" &amp; $A184, Table2[HomeTeam], S$1)</f>
        <v>41</v>
      </c>
      <c r="T184" s="145">
        <f>SUMIFS(Table2[NewPointsAway],Table2[GameDate], "&lt;=" &amp; $A184, Table2[AwayTeam], T$1)+SUMIFS(Table2[NewPointsHome],Table2[GameDate], "&lt;=" &amp; $A184, Table2[HomeTeam], T$1)</f>
        <v>36</v>
      </c>
      <c r="U184" s="145">
        <f>SUMIFS(Table2[NewPointsAway],Table2[GameDate], "&lt;=" &amp; $A184, Table2[AwayTeam], U$1)+SUMIFS(Table2[NewPointsHome],Table2[GameDate], "&lt;=" &amp; $A184, Table2[HomeTeam], U$1)</f>
        <v>34</v>
      </c>
      <c r="V184" s="145">
        <f>SUMIFS(Table2[NewPointsAway],Table2[GameDate], "&lt;=" &amp; $A184, Table2[AwayTeam], V$1)+SUMIFS(Table2[NewPointsHome],Table2[GameDate], "&lt;=" &amp; $A184, Table2[HomeTeam], V$1)</f>
        <v>39</v>
      </c>
      <c r="W184" s="145">
        <f>SUMIFS(Table2[NewPointsAway],Table2[GameDate], "&lt;=" &amp; $A184, Table2[AwayTeam], W$1)+SUMIFS(Table2[NewPointsHome],Table2[GameDate], "&lt;=" &amp; $A184, Table2[HomeTeam], W$1)</f>
        <v>37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37</v>
      </c>
      <c r="Z184" s="145">
        <f>SUMIFS(Table2[NewPointsAway],Table2[GameDate], "&lt;=" &amp; $A184, Table2[AwayTeam], Z$1)+SUMIFS(Table2[NewPointsHome],Table2[GameDate], "&lt;=" &amp; $A184, Table2[HomeTeam], Z$1)</f>
        <v>32</v>
      </c>
      <c r="AA184" s="145">
        <f>SUMIFS(Table2[NewPointsAway],Table2[GameDate], "&lt;=" &amp; $A184, Table2[AwayTeam], AA$1)+SUMIFS(Table2[NewPointsHome],Table2[GameDate], "&lt;=" &amp; $A184, Table2[HomeTeam], AA$1)</f>
        <v>39</v>
      </c>
      <c r="AB184" s="145">
        <f>SUMIFS(Table2[NewPointsAway],Table2[GameDate], "&lt;=" &amp; $A184, Table2[AwayTeam], AB$1)+SUMIFS(Table2[NewPointsHome],Table2[GameDate], "&lt;=" &amp; $A184, Table2[HomeTeam], AB$1)</f>
        <v>35</v>
      </c>
      <c r="AC184" s="145">
        <f>SUMIFS(Table2[NewPointsAway],Table2[GameDate], "&lt;=" &amp; $A184, Table2[AwayTeam], AC$1)+SUMIFS(Table2[NewPointsHome],Table2[GameDate], "&lt;=" &amp; $A184, Table2[HomeTeam], AC$1)</f>
        <v>35</v>
      </c>
      <c r="AD184" s="145">
        <f>SUMIFS(Table2[NewPointsAway],Table2[GameDate], "&lt;=" &amp; $A184, Table2[AwayTeam], AD$1)+SUMIFS(Table2[NewPointsHome],Table2[GameDate], "&lt;=" &amp; $A184, Table2[HomeTeam], AD$1)</f>
        <v>29</v>
      </c>
      <c r="AE184" s="145">
        <f>SUMIFS(Table2[NewPointsAway],Table2[GameDate], "&lt;=" &amp; $A184, Table2[AwayTeam], AE$1)+SUMIFS(Table2[NewPointsHome],Table2[GameDate], "&lt;=" &amp; $A184, Table2[HomeTeam], AE$1)</f>
        <v>41</v>
      </c>
      <c r="AF184" s="145">
        <f>SUMIFS(Table2[NewPointsAway],Table2[GameDate], "&lt;=" &amp; $A184, Table2[AwayTeam], AF$1)+SUMIFS(Table2[NewPointsHome],Table2[GameDate], "&lt;=" &amp; $A184, Table2[HomeTeam], AF$1)</f>
        <v>32</v>
      </c>
      <c r="AG184" s="145">
        <f>SUMIFS(Table2[NewPointsAway],Table2[GameDate], "&lt;=" &amp; $A184, Table2[AwayTeam], AG$1)+SUMIFS(Table2[NewPointsHome],Table2[GameDate], "&lt;=" &amp; $A184, Table2[HomeTeam], AG$1)</f>
        <v>40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42</v>
      </c>
      <c r="C185" s="145">
        <f>SUMIFS(Table2[NewPointsAway],Table2[GameDate], "&lt;=" &amp; $A185, Table2[AwayTeam], C$1)+SUMIFS(Table2[NewPointsHome],Table2[GameDate], "&lt;=" &amp; $A185, Table2[HomeTeam], C$1)</f>
        <v>40</v>
      </c>
      <c r="D185" s="145">
        <f>SUMIFS(Table2[NewPointsAway],Table2[GameDate], "&lt;=" &amp; $A185, Table2[AwayTeam], D$1)+SUMIFS(Table2[NewPointsHome],Table2[GameDate], "&lt;=" &amp; $A185, Table2[HomeTeam], D$1)</f>
        <v>32</v>
      </c>
      <c r="E185" s="145">
        <f>SUMIFS(Table2[NewPointsAway],Table2[GameDate], "&lt;=" &amp; $A185, Table2[AwayTeam], E$1)+SUMIFS(Table2[NewPointsHome],Table2[GameDate], "&lt;=" &amp; $A185, Table2[HomeTeam], E$1)</f>
        <v>44</v>
      </c>
      <c r="F185" s="145">
        <f>SUMIFS(Table2[NewPointsAway],Table2[GameDate], "&lt;=" &amp; $A185, Table2[AwayTeam], F$1)+SUMIFS(Table2[NewPointsHome],Table2[GameDate], "&lt;=" &amp; $A185, Table2[HomeTeam], F$1)</f>
        <v>34</v>
      </c>
      <c r="G185" s="145">
        <f>SUMIFS(Table2[NewPointsAway],Table2[GameDate], "&lt;=" &amp; $A185, Table2[AwayTeam], G$1)+SUMIFS(Table2[NewPointsHome],Table2[GameDate], "&lt;=" &amp; $A185, Table2[HomeTeam], G$1)</f>
        <v>30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55</v>
      </c>
      <c r="J185" s="145">
        <f>SUMIFS(Table2[NewPointsAway],Table2[GameDate], "&lt;=" &amp; $A185, Table2[AwayTeam], J$1)+SUMIFS(Table2[NewPointsHome],Table2[GameDate], "&lt;=" &amp; $A185, Table2[HomeTeam], J$1)</f>
        <v>49</v>
      </c>
      <c r="K185" s="145">
        <f>SUMIFS(Table2[NewPointsAway],Table2[GameDate], "&lt;=" &amp; $A185, Table2[AwayTeam], K$1)+SUMIFS(Table2[NewPointsHome],Table2[GameDate], "&lt;=" &amp; $A185, Table2[HomeTeam], K$1)</f>
        <v>41</v>
      </c>
      <c r="L185" s="145">
        <f>SUMIFS(Table2[NewPointsAway],Table2[GameDate], "&lt;=" &amp; $A185, Table2[AwayTeam], L$1)+SUMIFS(Table2[NewPointsHome],Table2[GameDate], "&lt;=" &amp; $A185, Table2[HomeTeam], L$1)</f>
        <v>38</v>
      </c>
      <c r="M185" s="145">
        <f>SUMIFS(Table2[NewPointsAway],Table2[GameDate], "&lt;=" &amp; $A185, Table2[AwayTeam], M$1)+SUMIFS(Table2[NewPointsHome],Table2[GameDate], "&lt;=" &amp; $A185, Table2[HomeTeam], M$1)</f>
        <v>36</v>
      </c>
      <c r="N185" s="145">
        <f>SUMIFS(Table2[NewPointsAway],Table2[GameDate], "&lt;=" &amp; $A185, Table2[AwayTeam], N$1)+SUMIFS(Table2[NewPointsHome],Table2[GameDate], "&lt;=" &amp; $A185, Table2[HomeTeam], N$1)</f>
        <v>37</v>
      </c>
      <c r="O185" s="145">
        <f>SUMIFS(Table2[NewPointsAway],Table2[GameDate], "&lt;=" &amp; $A185, Table2[AwayTeam], O$1)+SUMIFS(Table2[NewPointsHome],Table2[GameDate], "&lt;=" &amp; $A185, Table2[HomeTeam], O$1)</f>
        <v>45</v>
      </c>
      <c r="P185" s="145">
        <f>SUMIFS(Table2[NewPointsAway],Table2[GameDate], "&lt;=" &amp; $A185, Table2[AwayTeam], P$1)+SUMIFS(Table2[NewPointsHome],Table2[GameDate], "&lt;=" &amp; $A185, Table2[HomeTeam], P$1)</f>
        <v>38</v>
      </c>
      <c r="Q185" s="145">
        <f>SUMIFS(Table2[NewPointsAway],Table2[GameDate], "&lt;=" &amp; $A185, Table2[AwayTeam], Q$1)+SUMIFS(Table2[NewPointsHome],Table2[GameDate], "&lt;=" &amp; $A185, Table2[HomeTeam], Q$1)</f>
        <v>37</v>
      </c>
      <c r="R185" s="145">
        <f>SUMIFS(Table2[NewPointsAway],Table2[GameDate], "&lt;=" &amp; $A185, Table2[AwayTeam], R$1)+SUMIFS(Table2[NewPointsHome],Table2[GameDate], "&lt;=" &amp; $A185, Table2[HomeTeam], R$1)</f>
        <v>30</v>
      </c>
      <c r="S185" s="145">
        <f>SUMIFS(Table2[NewPointsAway],Table2[GameDate], "&lt;=" &amp; $A185, Table2[AwayTeam], S$1)+SUMIFS(Table2[NewPointsHome],Table2[GameDate], "&lt;=" &amp; $A185, Table2[HomeTeam], S$1)</f>
        <v>41</v>
      </c>
      <c r="T185" s="145">
        <f>SUMIFS(Table2[NewPointsAway],Table2[GameDate], "&lt;=" &amp; $A185, Table2[AwayTeam], T$1)+SUMIFS(Table2[NewPointsHome],Table2[GameDate], "&lt;=" &amp; $A185, Table2[HomeTeam], T$1)</f>
        <v>36</v>
      </c>
      <c r="U185" s="145">
        <f>SUMIFS(Table2[NewPointsAway],Table2[GameDate], "&lt;=" &amp; $A185, Table2[AwayTeam], U$1)+SUMIFS(Table2[NewPointsHome],Table2[GameDate], "&lt;=" &amp; $A185, Table2[HomeTeam], U$1)</f>
        <v>34</v>
      </c>
      <c r="V185" s="145">
        <f>SUMIFS(Table2[NewPointsAway],Table2[GameDate], "&lt;=" &amp; $A185, Table2[AwayTeam], V$1)+SUMIFS(Table2[NewPointsHome],Table2[GameDate], "&lt;=" &amp; $A185, Table2[HomeTeam], V$1)</f>
        <v>39</v>
      </c>
      <c r="W185" s="145">
        <f>SUMIFS(Table2[NewPointsAway],Table2[GameDate], "&lt;=" &amp; $A185, Table2[AwayTeam], W$1)+SUMIFS(Table2[NewPointsHome],Table2[GameDate], "&lt;=" &amp; $A185, Table2[HomeTeam], W$1)</f>
        <v>37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37</v>
      </c>
      <c r="Z185" s="145">
        <f>SUMIFS(Table2[NewPointsAway],Table2[GameDate], "&lt;=" &amp; $A185, Table2[AwayTeam], Z$1)+SUMIFS(Table2[NewPointsHome],Table2[GameDate], "&lt;=" &amp; $A185, Table2[HomeTeam], Z$1)</f>
        <v>32</v>
      </c>
      <c r="AA185" s="145">
        <f>SUMIFS(Table2[NewPointsAway],Table2[GameDate], "&lt;=" &amp; $A185, Table2[AwayTeam], AA$1)+SUMIFS(Table2[NewPointsHome],Table2[GameDate], "&lt;=" &amp; $A185, Table2[HomeTeam], AA$1)</f>
        <v>39</v>
      </c>
      <c r="AB185" s="145">
        <f>SUMIFS(Table2[NewPointsAway],Table2[GameDate], "&lt;=" &amp; $A185, Table2[AwayTeam], AB$1)+SUMIFS(Table2[NewPointsHome],Table2[GameDate], "&lt;=" &amp; $A185, Table2[HomeTeam], AB$1)</f>
        <v>35</v>
      </c>
      <c r="AC185" s="145">
        <f>SUMIFS(Table2[NewPointsAway],Table2[GameDate], "&lt;=" &amp; $A185, Table2[AwayTeam], AC$1)+SUMIFS(Table2[NewPointsHome],Table2[GameDate], "&lt;=" &amp; $A185, Table2[HomeTeam], AC$1)</f>
        <v>35</v>
      </c>
      <c r="AD185" s="145">
        <f>SUMIFS(Table2[NewPointsAway],Table2[GameDate], "&lt;=" &amp; $A185, Table2[AwayTeam], AD$1)+SUMIFS(Table2[NewPointsHome],Table2[GameDate], "&lt;=" &amp; $A185, Table2[HomeTeam], AD$1)</f>
        <v>29</v>
      </c>
      <c r="AE185" s="145">
        <f>SUMIFS(Table2[NewPointsAway],Table2[GameDate], "&lt;=" &amp; $A185, Table2[AwayTeam], AE$1)+SUMIFS(Table2[NewPointsHome],Table2[GameDate], "&lt;=" &amp; $A185, Table2[HomeTeam], AE$1)</f>
        <v>41</v>
      </c>
      <c r="AF185" s="145">
        <f>SUMIFS(Table2[NewPointsAway],Table2[GameDate], "&lt;=" &amp; $A185, Table2[AwayTeam], AF$1)+SUMIFS(Table2[NewPointsHome],Table2[GameDate], "&lt;=" &amp; $A185, Table2[HomeTeam], AF$1)</f>
        <v>32</v>
      </c>
      <c r="AG185" s="145">
        <f>SUMIFS(Table2[NewPointsAway],Table2[GameDate], "&lt;=" &amp; $A185, Table2[AwayTeam], AG$1)+SUMIFS(Table2[NewPointsHome],Table2[GameDate], "&lt;=" &amp; $A185, Table2[HomeTeam], AG$1)</f>
        <v>40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42</v>
      </c>
      <c r="C186" s="145">
        <f>SUMIFS(Table2[NewPointsAway],Table2[GameDate], "&lt;=" &amp; $A186, Table2[AwayTeam], C$1)+SUMIFS(Table2[NewPointsHome],Table2[GameDate], "&lt;=" &amp; $A186, Table2[HomeTeam], C$1)</f>
        <v>40</v>
      </c>
      <c r="D186" s="145">
        <f>SUMIFS(Table2[NewPointsAway],Table2[GameDate], "&lt;=" &amp; $A186, Table2[AwayTeam], D$1)+SUMIFS(Table2[NewPointsHome],Table2[GameDate], "&lt;=" &amp; $A186, Table2[HomeTeam], D$1)</f>
        <v>32</v>
      </c>
      <c r="E186" s="145">
        <f>SUMIFS(Table2[NewPointsAway],Table2[GameDate], "&lt;=" &amp; $A186, Table2[AwayTeam], E$1)+SUMIFS(Table2[NewPointsHome],Table2[GameDate], "&lt;=" &amp; $A186, Table2[HomeTeam], E$1)</f>
        <v>44</v>
      </c>
      <c r="F186" s="145">
        <f>SUMIFS(Table2[NewPointsAway],Table2[GameDate], "&lt;=" &amp; $A186, Table2[AwayTeam], F$1)+SUMIFS(Table2[NewPointsHome],Table2[GameDate], "&lt;=" &amp; $A186, Table2[HomeTeam], F$1)</f>
        <v>34</v>
      </c>
      <c r="G186" s="145">
        <f>SUMIFS(Table2[NewPointsAway],Table2[GameDate], "&lt;=" &amp; $A186, Table2[AwayTeam], G$1)+SUMIFS(Table2[NewPointsHome],Table2[GameDate], "&lt;=" &amp; $A186, Table2[HomeTeam], G$1)</f>
        <v>30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55</v>
      </c>
      <c r="J186" s="145">
        <f>SUMIFS(Table2[NewPointsAway],Table2[GameDate], "&lt;=" &amp; $A186, Table2[AwayTeam], J$1)+SUMIFS(Table2[NewPointsHome],Table2[GameDate], "&lt;=" &amp; $A186, Table2[HomeTeam], J$1)</f>
        <v>49</v>
      </c>
      <c r="K186" s="145">
        <f>SUMIFS(Table2[NewPointsAway],Table2[GameDate], "&lt;=" &amp; $A186, Table2[AwayTeam], K$1)+SUMIFS(Table2[NewPointsHome],Table2[GameDate], "&lt;=" &amp; $A186, Table2[HomeTeam], K$1)</f>
        <v>41</v>
      </c>
      <c r="L186" s="145">
        <f>SUMIFS(Table2[NewPointsAway],Table2[GameDate], "&lt;=" &amp; $A186, Table2[AwayTeam], L$1)+SUMIFS(Table2[NewPointsHome],Table2[GameDate], "&lt;=" &amp; $A186, Table2[HomeTeam], L$1)</f>
        <v>38</v>
      </c>
      <c r="M186" s="145">
        <f>SUMIFS(Table2[NewPointsAway],Table2[GameDate], "&lt;=" &amp; $A186, Table2[AwayTeam], M$1)+SUMIFS(Table2[NewPointsHome],Table2[GameDate], "&lt;=" &amp; $A186, Table2[HomeTeam], M$1)</f>
        <v>36</v>
      </c>
      <c r="N186" s="145">
        <f>SUMIFS(Table2[NewPointsAway],Table2[GameDate], "&lt;=" &amp; $A186, Table2[AwayTeam], N$1)+SUMIFS(Table2[NewPointsHome],Table2[GameDate], "&lt;=" &amp; $A186, Table2[HomeTeam], N$1)</f>
        <v>37</v>
      </c>
      <c r="O186" s="145">
        <f>SUMIFS(Table2[NewPointsAway],Table2[GameDate], "&lt;=" &amp; $A186, Table2[AwayTeam], O$1)+SUMIFS(Table2[NewPointsHome],Table2[GameDate], "&lt;=" &amp; $A186, Table2[HomeTeam], O$1)</f>
        <v>45</v>
      </c>
      <c r="P186" s="145">
        <f>SUMIFS(Table2[NewPointsAway],Table2[GameDate], "&lt;=" &amp; $A186, Table2[AwayTeam], P$1)+SUMIFS(Table2[NewPointsHome],Table2[GameDate], "&lt;=" &amp; $A186, Table2[HomeTeam], P$1)</f>
        <v>38</v>
      </c>
      <c r="Q186" s="145">
        <f>SUMIFS(Table2[NewPointsAway],Table2[GameDate], "&lt;=" &amp; $A186, Table2[AwayTeam], Q$1)+SUMIFS(Table2[NewPointsHome],Table2[GameDate], "&lt;=" &amp; $A186, Table2[HomeTeam], Q$1)</f>
        <v>37</v>
      </c>
      <c r="R186" s="145">
        <f>SUMIFS(Table2[NewPointsAway],Table2[GameDate], "&lt;=" &amp; $A186, Table2[AwayTeam], R$1)+SUMIFS(Table2[NewPointsHome],Table2[GameDate], "&lt;=" &amp; $A186, Table2[HomeTeam], R$1)</f>
        <v>30</v>
      </c>
      <c r="S186" s="145">
        <f>SUMIFS(Table2[NewPointsAway],Table2[GameDate], "&lt;=" &amp; $A186, Table2[AwayTeam], S$1)+SUMIFS(Table2[NewPointsHome],Table2[GameDate], "&lt;=" &amp; $A186, Table2[HomeTeam], S$1)</f>
        <v>41</v>
      </c>
      <c r="T186" s="145">
        <f>SUMIFS(Table2[NewPointsAway],Table2[GameDate], "&lt;=" &amp; $A186, Table2[AwayTeam], T$1)+SUMIFS(Table2[NewPointsHome],Table2[GameDate], "&lt;=" &amp; $A186, Table2[HomeTeam], T$1)</f>
        <v>36</v>
      </c>
      <c r="U186" s="145">
        <f>SUMIFS(Table2[NewPointsAway],Table2[GameDate], "&lt;=" &amp; $A186, Table2[AwayTeam], U$1)+SUMIFS(Table2[NewPointsHome],Table2[GameDate], "&lt;=" &amp; $A186, Table2[HomeTeam], U$1)</f>
        <v>34</v>
      </c>
      <c r="V186" s="145">
        <f>SUMIFS(Table2[NewPointsAway],Table2[GameDate], "&lt;=" &amp; $A186, Table2[AwayTeam], V$1)+SUMIFS(Table2[NewPointsHome],Table2[GameDate], "&lt;=" &amp; $A186, Table2[HomeTeam], V$1)</f>
        <v>39</v>
      </c>
      <c r="W186" s="145">
        <f>SUMIFS(Table2[NewPointsAway],Table2[GameDate], "&lt;=" &amp; $A186, Table2[AwayTeam], W$1)+SUMIFS(Table2[NewPointsHome],Table2[GameDate], "&lt;=" &amp; $A186, Table2[HomeTeam], W$1)</f>
        <v>37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37</v>
      </c>
      <c r="Z186" s="145">
        <f>SUMIFS(Table2[NewPointsAway],Table2[GameDate], "&lt;=" &amp; $A186, Table2[AwayTeam], Z$1)+SUMIFS(Table2[NewPointsHome],Table2[GameDate], "&lt;=" &amp; $A186, Table2[HomeTeam], Z$1)</f>
        <v>32</v>
      </c>
      <c r="AA186" s="145">
        <f>SUMIFS(Table2[NewPointsAway],Table2[GameDate], "&lt;=" &amp; $A186, Table2[AwayTeam], AA$1)+SUMIFS(Table2[NewPointsHome],Table2[GameDate], "&lt;=" &amp; $A186, Table2[HomeTeam], AA$1)</f>
        <v>39</v>
      </c>
      <c r="AB186" s="145">
        <f>SUMIFS(Table2[NewPointsAway],Table2[GameDate], "&lt;=" &amp; $A186, Table2[AwayTeam], AB$1)+SUMIFS(Table2[NewPointsHome],Table2[GameDate], "&lt;=" &amp; $A186, Table2[HomeTeam], AB$1)</f>
        <v>35</v>
      </c>
      <c r="AC186" s="145">
        <f>SUMIFS(Table2[NewPointsAway],Table2[GameDate], "&lt;=" &amp; $A186, Table2[AwayTeam], AC$1)+SUMIFS(Table2[NewPointsHome],Table2[GameDate], "&lt;=" &amp; $A186, Table2[HomeTeam], AC$1)</f>
        <v>35</v>
      </c>
      <c r="AD186" s="145">
        <f>SUMIFS(Table2[NewPointsAway],Table2[GameDate], "&lt;=" &amp; $A186, Table2[AwayTeam], AD$1)+SUMIFS(Table2[NewPointsHome],Table2[GameDate], "&lt;=" &amp; $A186, Table2[HomeTeam], AD$1)</f>
        <v>29</v>
      </c>
      <c r="AE186" s="145">
        <f>SUMIFS(Table2[NewPointsAway],Table2[GameDate], "&lt;=" &amp; $A186, Table2[AwayTeam], AE$1)+SUMIFS(Table2[NewPointsHome],Table2[GameDate], "&lt;=" &amp; $A186, Table2[HomeTeam], AE$1)</f>
        <v>41</v>
      </c>
      <c r="AF186" s="145">
        <f>SUMIFS(Table2[NewPointsAway],Table2[GameDate], "&lt;=" &amp; $A186, Table2[AwayTeam], AF$1)+SUMIFS(Table2[NewPointsHome],Table2[GameDate], "&lt;=" &amp; $A186, Table2[HomeTeam], AF$1)</f>
        <v>32</v>
      </c>
      <c r="AG186" s="145">
        <f>SUMIFS(Table2[NewPointsAway],Table2[GameDate], "&lt;=" &amp; $A186, Table2[AwayTeam], AG$1)+SUMIFS(Table2[NewPointsHome],Table2[GameDate], "&lt;=" &amp; $A186, Table2[HomeTeam], AG$1)</f>
        <v>40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42</v>
      </c>
      <c r="C187" s="145">
        <f>SUMIFS(Table2[NewPointsAway],Table2[GameDate], "&lt;=" &amp; $A187, Table2[AwayTeam], C$1)+SUMIFS(Table2[NewPointsHome],Table2[GameDate], "&lt;=" &amp; $A187, Table2[HomeTeam], C$1)</f>
        <v>40</v>
      </c>
      <c r="D187" s="145">
        <f>SUMIFS(Table2[NewPointsAway],Table2[GameDate], "&lt;=" &amp; $A187, Table2[AwayTeam], D$1)+SUMIFS(Table2[NewPointsHome],Table2[GameDate], "&lt;=" &amp; $A187, Table2[HomeTeam], D$1)</f>
        <v>32</v>
      </c>
      <c r="E187" s="145">
        <f>SUMIFS(Table2[NewPointsAway],Table2[GameDate], "&lt;=" &amp; $A187, Table2[AwayTeam], E$1)+SUMIFS(Table2[NewPointsHome],Table2[GameDate], "&lt;=" &amp; $A187, Table2[HomeTeam], E$1)</f>
        <v>44</v>
      </c>
      <c r="F187" s="145">
        <f>SUMIFS(Table2[NewPointsAway],Table2[GameDate], "&lt;=" &amp; $A187, Table2[AwayTeam], F$1)+SUMIFS(Table2[NewPointsHome],Table2[GameDate], "&lt;=" &amp; $A187, Table2[HomeTeam], F$1)</f>
        <v>34</v>
      </c>
      <c r="G187" s="145">
        <f>SUMIFS(Table2[NewPointsAway],Table2[GameDate], "&lt;=" &amp; $A187, Table2[AwayTeam], G$1)+SUMIFS(Table2[NewPointsHome],Table2[GameDate], "&lt;=" &amp; $A187, Table2[HomeTeam], G$1)</f>
        <v>30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55</v>
      </c>
      <c r="J187" s="145">
        <f>SUMIFS(Table2[NewPointsAway],Table2[GameDate], "&lt;=" &amp; $A187, Table2[AwayTeam], J$1)+SUMIFS(Table2[NewPointsHome],Table2[GameDate], "&lt;=" &amp; $A187, Table2[HomeTeam], J$1)</f>
        <v>49</v>
      </c>
      <c r="K187" s="145">
        <f>SUMIFS(Table2[NewPointsAway],Table2[GameDate], "&lt;=" &amp; $A187, Table2[AwayTeam], K$1)+SUMIFS(Table2[NewPointsHome],Table2[GameDate], "&lt;=" &amp; $A187, Table2[HomeTeam], K$1)</f>
        <v>41</v>
      </c>
      <c r="L187" s="145">
        <f>SUMIFS(Table2[NewPointsAway],Table2[GameDate], "&lt;=" &amp; $A187, Table2[AwayTeam], L$1)+SUMIFS(Table2[NewPointsHome],Table2[GameDate], "&lt;=" &amp; $A187, Table2[HomeTeam], L$1)</f>
        <v>38</v>
      </c>
      <c r="M187" s="145">
        <f>SUMIFS(Table2[NewPointsAway],Table2[GameDate], "&lt;=" &amp; $A187, Table2[AwayTeam], M$1)+SUMIFS(Table2[NewPointsHome],Table2[GameDate], "&lt;=" &amp; $A187, Table2[HomeTeam], M$1)</f>
        <v>36</v>
      </c>
      <c r="N187" s="145">
        <f>SUMIFS(Table2[NewPointsAway],Table2[GameDate], "&lt;=" &amp; $A187, Table2[AwayTeam], N$1)+SUMIFS(Table2[NewPointsHome],Table2[GameDate], "&lt;=" &amp; $A187, Table2[HomeTeam], N$1)</f>
        <v>37</v>
      </c>
      <c r="O187" s="145">
        <f>SUMIFS(Table2[NewPointsAway],Table2[GameDate], "&lt;=" &amp; $A187, Table2[AwayTeam], O$1)+SUMIFS(Table2[NewPointsHome],Table2[GameDate], "&lt;=" &amp; $A187, Table2[HomeTeam], O$1)</f>
        <v>45</v>
      </c>
      <c r="P187" s="145">
        <f>SUMIFS(Table2[NewPointsAway],Table2[GameDate], "&lt;=" &amp; $A187, Table2[AwayTeam], P$1)+SUMIFS(Table2[NewPointsHome],Table2[GameDate], "&lt;=" &amp; $A187, Table2[HomeTeam], P$1)</f>
        <v>38</v>
      </c>
      <c r="Q187" s="145">
        <f>SUMIFS(Table2[NewPointsAway],Table2[GameDate], "&lt;=" &amp; $A187, Table2[AwayTeam], Q$1)+SUMIFS(Table2[NewPointsHome],Table2[GameDate], "&lt;=" &amp; $A187, Table2[HomeTeam], Q$1)</f>
        <v>37</v>
      </c>
      <c r="R187" s="145">
        <f>SUMIFS(Table2[NewPointsAway],Table2[GameDate], "&lt;=" &amp; $A187, Table2[AwayTeam], R$1)+SUMIFS(Table2[NewPointsHome],Table2[GameDate], "&lt;=" &amp; $A187, Table2[HomeTeam], R$1)</f>
        <v>30</v>
      </c>
      <c r="S187" s="145">
        <f>SUMIFS(Table2[NewPointsAway],Table2[GameDate], "&lt;=" &amp; $A187, Table2[AwayTeam], S$1)+SUMIFS(Table2[NewPointsHome],Table2[GameDate], "&lt;=" &amp; $A187, Table2[HomeTeam], S$1)</f>
        <v>41</v>
      </c>
      <c r="T187" s="145">
        <f>SUMIFS(Table2[NewPointsAway],Table2[GameDate], "&lt;=" &amp; $A187, Table2[AwayTeam], T$1)+SUMIFS(Table2[NewPointsHome],Table2[GameDate], "&lt;=" &amp; $A187, Table2[HomeTeam], T$1)</f>
        <v>36</v>
      </c>
      <c r="U187" s="145">
        <f>SUMIFS(Table2[NewPointsAway],Table2[GameDate], "&lt;=" &amp; $A187, Table2[AwayTeam], U$1)+SUMIFS(Table2[NewPointsHome],Table2[GameDate], "&lt;=" &amp; $A187, Table2[HomeTeam], U$1)</f>
        <v>34</v>
      </c>
      <c r="V187" s="145">
        <f>SUMIFS(Table2[NewPointsAway],Table2[GameDate], "&lt;=" &amp; $A187, Table2[AwayTeam], V$1)+SUMIFS(Table2[NewPointsHome],Table2[GameDate], "&lt;=" &amp; $A187, Table2[HomeTeam], V$1)</f>
        <v>39</v>
      </c>
      <c r="W187" s="145">
        <f>SUMIFS(Table2[NewPointsAway],Table2[GameDate], "&lt;=" &amp; $A187, Table2[AwayTeam], W$1)+SUMIFS(Table2[NewPointsHome],Table2[GameDate], "&lt;=" &amp; $A187, Table2[HomeTeam], W$1)</f>
        <v>37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37</v>
      </c>
      <c r="Z187" s="145">
        <f>SUMIFS(Table2[NewPointsAway],Table2[GameDate], "&lt;=" &amp; $A187, Table2[AwayTeam], Z$1)+SUMIFS(Table2[NewPointsHome],Table2[GameDate], "&lt;=" &amp; $A187, Table2[HomeTeam], Z$1)</f>
        <v>32</v>
      </c>
      <c r="AA187" s="145">
        <f>SUMIFS(Table2[NewPointsAway],Table2[GameDate], "&lt;=" &amp; $A187, Table2[AwayTeam], AA$1)+SUMIFS(Table2[NewPointsHome],Table2[GameDate], "&lt;=" &amp; $A187, Table2[HomeTeam], AA$1)</f>
        <v>39</v>
      </c>
      <c r="AB187" s="145">
        <f>SUMIFS(Table2[NewPointsAway],Table2[GameDate], "&lt;=" &amp; $A187, Table2[AwayTeam], AB$1)+SUMIFS(Table2[NewPointsHome],Table2[GameDate], "&lt;=" &amp; $A187, Table2[HomeTeam], AB$1)</f>
        <v>35</v>
      </c>
      <c r="AC187" s="145">
        <f>SUMIFS(Table2[NewPointsAway],Table2[GameDate], "&lt;=" &amp; $A187, Table2[AwayTeam], AC$1)+SUMIFS(Table2[NewPointsHome],Table2[GameDate], "&lt;=" &amp; $A187, Table2[HomeTeam], AC$1)</f>
        <v>35</v>
      </c>
      <c r="AD187" s="145">
        <f>SUMIFS(Table2[NewPointsAway],Table2[GameDate], "&lt;=" &amp; $A187, Table2[AwayTeam], AD$1)+SUMIFS(Table2[NewPointsHome],Table2[GameDate], "&lt;=" &amp; $A187, Table2[HomeTeam], AD$1)</f>
        <v>29</v>
      </c>
      <c r="AE187" s="145">
        <f>SUMIFS(Table2[NewPointsAway],Table2[GameDate], "&lt;=" &amp; $A187, Table2[AwayTeam], AE$1)+SUMIFS(Table2[NewPointsHome],Table2[GameDate], "&lt;=" &amp; $A187, Table2[HomeTeam], AE$1)</f>
        <v>41</v>
      </c>
      <c r="AF187" s="145">
        <f>SUMIFS(Table2[NewPointsAway],Table2[GameDate], "&lt;=" &amp; $A187, Table2[AwayTeam], AF$1)+SUMIFS(Table2[NewPointsHome],Table2[GameDate], "&lt;=" &amp; $A187, Table2[HomeTeam], AF$1)</f>
        <v>32</v>
      </c>
      <c r="AG187" s="145">
        <f>SUMIFS(Table2[NewPointsAway],Table2[GameDate], "&lt;=" &amp; $A187, Table2[AwayTeam], AG$1)+SUMIFS(Table2[NewPointsHome],Table2[GameDate], "&lt;=" &amp; $A187, Table2[HomeTeam], AG$1)</f>
        <v>40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42</v>
      </c>
      <c r="C188" s="145">
        <f>SUMIFS(Table2[NewPointsAway],Table2[GameDate], "&lt;=" &amp; $A188, Table2[AwayTeam], C$1)+SUMIFS(Table2[NewPointsHome],Table2[GameDate], "&lt;=" &amp; $A188, Table2[HomeTeam], C$1)</f>
        <v>40</v>
      </c>
      <c r="D188" s="145">
        <f>SUMIFS(Table2[NewPointsAway],Table2[GameDate], "&lt;=" &amp; $A188, Table2[AwayTeam], D$1)+SUMIFS(Table2[NewPointsHome],Table2[GameDate], "&lt;=" &amp; $A188, Table2[HomeTeam], D$1)</f>
        <v>32</v>
      </c>
      <c r="E188" s="145">
        <f>SUMIFS(Table2[NewPointsAway],Table2[GameDate], "&lt;=" &amp; $A188, Table2[AwayTeam], E$1)+SUMIFS(Table2[NewPointsHome],Table2[GameDate], "&lt;=" &amp; $A188, Table2[HomeTeam], E$1)</f>
        <v>44</v>
      </c>
      <c r="F188" s="145">
        <f>SUMIFS(Table2[NewPointsAway],Table2[GameDate], "&lt;=" &amp; $A188, Table2[AwayTeam], F$1)+SUMIFS(Table2[NewPointsHome],Table2[GameDate], "&lt;=" &amp; $A188, Table2[HomeTeam], F$1)</f>
        <v>34</v>
      </c>
      <c r="G188" s="145">
        <f>SUMIFS(Table2[NewPointsAway],Table2[GameDate], "&lt;=" &amp; $A188, Table2[AwayTeam], G$1)+SUMIFS(Table2[NewPointsHome],Table2[GameDate], "&lt;=" &amp; $A188, Table2[HomeTeam], G$1)</f>
        <v>30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55</v>
      </c>
      <c r="J188" s="145">
        <f>SUMIFS(Table2[NewPointsAway],Table2[GameDate], "&lt;=" &amp; $A188, Table2[AwayTeam], J$1)+SUMIFS(Table2[NewPointsHome],Table2[GameDate], "&lt;=" &amp; $A188, Table2[HomeTeam], J$1)</f>
        <v>49</v>
      </c>
      <c r="K188" s="145">
        <f>SUMIFS(Table2[NewPointsAway],Table2[GameDate], "&lt;=" &amp; $A188, Table2[AwayTeam], K$1)+SUMIFS(Table2[NewPointsHome],Table2[GameDate], "&lt;=" &amp; $A188, Table2[HomeTeam], K$1)</f>
        <v>41</v>
      </c>
      <c r="L188" s="145">
        <f>SUMIFS(Table2[NewPointsAway],Table2[GameDate], "&lt;=" &amp; $A188, Table2[AwayTeam], L$1)+SUMIFS(Table2[NewPointsHome],Table2[GameDate], "&lt;=" &amp; $A188, Table2[HomeTeam], L$1)</f>
        <v>38</v>
      </c>
      <c r="M188" s="145">
        <f>SUMIFS(Table2[NewPointsAway],Table2[GameDate], "&lt;=" &amp; $A188, Table2[AwayTeam], M$1)+SUMIFS(Table2[NewPointsHome],Table2[GameDate], "&lt;=" &amp; $A188, Table2[HomeTeam], M$1)</f>
        <v>36</v>
      </c>
      <c r="N188" s="145">
        <f>SUMIFS(Table2[NewPointsAway],Table2[GameDate], "&lt;=" &amp; $A188, Table2[AwayTeam], N$1)+SUMIFS(Table2[NewPointsHome],Table2[GameDate], "&lt;=" &amp; $A188, Table2[HomeTeam], N$1)</f>
        <v>37</v>
      </c>
      <c r="O188" s="145">
        <f>SUMIFS(Table2[NewPointsAway],Table2[GameDate], "&lt;=" &amp; $A188, Table2[AwayTeam], O$1)+SUMIFS(Table2[NewPointsHome],Table2[GameDate], "&lt;=" &amp; $A188, Table2[HomeTeam], O$1)</f>
        <v>45</v>
      </c>
      <c r="P188" s="145">
        <f>SUMIFS(Table2[NewPointsAway],Table2[GameDate], "&lt;=" &amp; $A188, Table2[AwayTeam], P$1)+SUMIFS(Table2[NewPointsHome],Table2[GameDate], "&lt;=" &amp; $A188, Table2[HomeTeam], P$1)</f>
        <v>38</v>
      </c>
      <c r="Q188" s="145">
        <f>SUMIFS(Table2[NewPointsAway],Table2[GameDate], "&lt;=" &amp; $A188, Table2[AwayTeam], Q$1)+SUMIFS(Table2[NewPointsHome],Table2[GameDate], "&lt;=" &amp; $A188, Table2[HomeTeam], Q$1)</f>
        <v>37</v>
      </c>
      <c r="R188" s="145">
        <f>SUMIFS(Table2[NewPointsAway],Table2[GameDate], "&lt;=" &amp; $A188, Table2[AwayTeam], R$1)+SUMIFS(Table2[NewPointsHome],Table2[GameDate], "&lt;=" &amp; $A188, Table2[HomeTeam], R$1)</f>
        <v>30</v>
      </c>
      <c r="S188" s="145">
        <f>SUMIFS(Table2[NewPointsAway],Table2[GameDate], "&lt;=" &amp; $A188, Table2[AwayTeam], S$1)+SUMIFS(Table2[NewPointsHome],Table2[GameDate], "&lt;=" &amp; $A188, Table2[HomeTeam], S$1)</f>
        <v>41</v>
      </c>
      <c r="T188" s="145">
        <f>SUMIFS(Table2[NewPointsAway],Table2[GameDate], "&lt;=" &amp; $A188, Table2[AwayTeam], T$1)+SUMIFS(Table2[NewPointsHome],Table2[GameDate], "&lt;=" &amp; $A188, Table2[HomeTeam], T$1)</f>
        <v>36</v>
      </c>
      <c r="U188" s="145">
        <f>SUMIFS(Table2[NewPointsAway],Table2[GameDate], "&lt;=" &amp; $A188, Table2[AwayTeam], U$1)+SUMIFS(Table2[NewPointsHome],Table2[GameDate], "&lt;=" &amp; $A188, Table2[HomeTeam], U$1)</f>
        <v>34</v>
      </c>
      <c r="V188" s="145">
        <f>SUMIFS(Table2[NewPointsAway],Table2[GameDate], "&lt;=" &amp; $A188, Table2[AwayTeam], V$1)+SUMIFS(Table2[NewPointsHome],Table2[GameDate], "&lt;=" &amp; $A188, Table2[HomeTeam], V$1)</f>
        <v>39</v>
      </c>
      <c r="W188" s="145">
        <f>SUMIFS(Table2[NewPointsAway],Table2[GameDate], "&lt;=" &amp; $A188, Table2[AwayTeam], W$1)+SUMIFS(Table2[NewPointsHome],Table2[GameDate], "&lt;=" &amp; $A188, Table2[HomeTeam], W$1)</f>
        <v>37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37</v>
      </c>
      <c r="Z188" s="145">
        <f>SUMIFS(Table2[NewPointsAway],Table2[GameDate], "&lt;=" &amp; $A188, Table2[AwayTeam], Z$1)+SUMIFS(Table2[NewPointsHome],Table2[GameDate], "&lt;=" &amp; $A188, Table2[HomeTeam], Z$1)</f>
        <v>32</v>
      </c>
      <c r="AA188" s="145">
        <f>SUMIFS(Table2[NewPointsAway],Table2[GameDate], "&lt;=" &amp; $A188, Table2[AwayTeam], AA$1)+SUMIFS(Table2[NewPointsHome],Table2[GameDate], "&lt;=" &amp; $A188, Table2[HomeTeam], AA$1)</f>
        <v>39</v>
      </c>
      <c r="AB188" s="145">
        <f>SUMIFS(Table2[NewPointsAway],Table2[GameDate], "&lt;=" &amp; $A188, Table2[AwayTeam], AB$1)+SUMIFS(Table2[NewPointsHome],Table2[GameDate], "&lt;=" &amp; $A188, Table2[HomeTeam], AB$1)</f>
        <v>35</v>
      </c>
      <c r="AC188" s="145">
        <f>SUMIFS(Table2[NewPointsAway],Table2[GameDate], "&lt;=" &amp; $A188, Table2[AwayTeam], AC$1)+SUMIFS(Table2[NewPointsHome],Table2[GameDate], "&lt;=" &amp; $A188, Table2[HomeTeam], AC$1)</f>
        <v>35</v>
      </c>
      <c r="AD188" s="145">
        <f>SUMIFS(Table2[NewPointsAway],Table2[GameDate], "&lt;=" &amp; $A188, Table2[AwayTeam], AD$1)+SUMIFS(Table2[NewPointsHome],Table2[GameDate], "&lt;=" &amp; $A188, Table2[HomeTeam], AD$1)</f>
        <v>29</v>
      </c>
      <c r="AE188" s="145">
        <f>SUMIFS(Table2[NewPointsAway],Table2[GameDate], "&lt;=" &amp; $A188, Table2[AwayTeam], AE$1)+SUMIFS(Table2[NewPointsHome],Table2[GameDate], "&lt;=" &amp; $A188, Table2[HomeTeam], AE$1)</f>
        <v>41</v>
      </c>
      <c r="AF188" s="145">
        <f>SUMIFS(Table2[NewPointsAway],Table2[GameDate], "&lt;=" &amp; $A188, Table2[AwayTeam], AF$1)+SUMIFS(Table2[NewPointsHome],Table2[GameDate], "&lt;=" &amp; $A188, Table2[HomeTeam], AF$1)</f>
        <v>32</v>
      </c>
      <c r="AG188" s="145">
        <f>SUMIFS(Table2[NewPointsAway],Table2[GameDate], "&lt;=" &amp; $A188, Table2[AwayTeam], AG$1)+SUMIFS(Table2[NewPointsHome],Table2[GameDate], "&lt;=" &amp; $A188, Table2[HomeTeam], AG$1)</f>
        <v>40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42</v>
      </c>
      <c r="C189" s="145">
        <f>SUMIFS(Table2[NewPointsAway],Table2[GameDate], "&lt;=" &amp; $A189, Table2[AwayTeam], C$1)+SUMIFS(Table2[NewPointsHome],Table2[GameDate], "&lt;=" &amp; $A189, Table2[HomeTeam], C$1)</f>
        <v>40</v>
      </c>
      <c r="D189" s="145">
        <f>SUMIFS(Table2[NewPointsAway],Table2[GameDate], "&lt;=" &amp; $A189, Table2[AwayTeam], D$1)+SUMIFS(Table2[NewPointsHome],Table2[GameDate], "&lt;=" &amp; $A189, Table2[HomeTeam], D$1)</f>
        <v>32</v>
      </c>
      <c r="E189" s="145">
        <f>SUMIFS(Table2[NewPointsAway],Table2[GameDate], "&lt;=" &amp; $A189, Table2[AwayTeam], E$1)+SUMIFS(Table2[NewPointsHome],Table2[GameDate], "&lt;=" &amp; $A189, Table2[HomeTeam], E$1)</f>
        <v>44</v>
      </c>
      <c r="F189" s="145">
        <f>SUMIFS(Table2[NewPointsAway],Table2[GameDate], "&lt;=" &amp; $A189, Table2[AwayTeam], F$1)+SUMIFS(Table2[NewPointsHome],Table2[GameDate], "&lt;=" &amp; $A189, Table2[HomeTeam], F$1)</f>
        <v>34</v>
      </c>
      <c r="G189" s="145">
        <f>SUMIFS(Table2[NewPointsAway],Table2[GameDate], "&lt;=" &amp; $A189, Table2[AwayTeam], G$1)+SUMIFS(Table2[NewPointsHome],Table2[GameDate], "&lt;=" &amp; $A189, Table2[HomeTeam], G$1)</f>
        <v>30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55</v>
      </c>
      <c r="J189" s="145">
        <f>SUMIFS(Table2[NewPointsAway],Table2[GameDate], "&lt;=" &amp; $A189, Table2[AwayTeam], J$1)+SUMIFS(Table2[NewPointsHome],Table2[GameDate], "&lt;=" &amp; $A189, Table2[HomeTeam], J$1)</f>
        <v>49</v>
      </c>
      <c r="K189" s="145">
        <f>SUMIFS(Table2[NewPointsAway],Table2[GameDate], "&lt;=" &amp; $A189, Table2[AwayTeam], K$1)+SUMIFS(Table2[NewPointsHome],Table2[GameDate], "&lt;=" &amp; $A189, Table2[HomeTeam], K$1)</f>
        <v>41</v>
      </c>
      <c r="L189" s="145">
        <f>SUMIFS(Table2[NewPointsAway],Table2[GameDate], "&lt;=" &amp; $A189, Table2[AwayTeam], L$1)+SUMIFS(Table2[NewPointsHome],Table2[GameDate], "&lt;=" &amp; $A189, Table2[HomeTeam], L$1)</f>
        <v>38</v>
      </c>
      <c r="M189" s="145">
        <f>SUMIFS(Table2[NewPointsAway],Table2[GameDate], "&lt;=" &amp; $A189, Table2[AwayTeam], M$1)+SUMIFS(Table2[NewPointsHome],Table2[GameDate], "&lt;=" &amp; $A189, Table2[HomeTeam], M$1)</f>
        <v>36</v>
      </c>
      <c r="N189" s="145">
        <f>SUMIFS(Table2[NewPointsAway],Table2[GameDate], "&lt;=" &amp; $A189, Table2[AwayTeam], N$1)+SUMIFS(Table2[NewPointsHome],Table2[GameDate], "&lt;=" &amp; $A189, Table2[HomeTeam], N$1)</f>
        <v>37</v>
      </c>
      <c r="O189" s="145">
        <f>SUMIFS(Table2[NewPointsAway],Table2[GameDate], "&lt;=" &amp; $A189, Table2[AwayTeam], O$1)+SUMIFS(Table2[NewPointsHome],Table2[GameDate], "&lt;=" &amp; $A189, Table2[HomeTeam], O$1)</f>
        <v>45</v>
      </c>
      <c r="P189" s="145">
        <f>SUMIFS(Table2[NewPointsAway],Table2[GameDate], "&lt;=" &amp; $A189, Table2[AwayTeam], P$1)+SUMIFS(Table2[NewPointsHome],Table2[GameDate], "&lt;=" &amp; $A189, Table2[HomeTeam], P$1)</f>
        <v>38</v>
      </c>
      <c r="Q189" s="145">
        <f>SUMIFS(Table2[NewPointsAway],Table2[GameDate], "&lt;=" &amp; $A189, Table2[AwayTeam], Q$1)+SUMIFS(Table2[NewPointsHome],Table2[GameDate], "&lt;=" &amp; $A189, Table2[HomeTeam], Q$1)</f>
        <v>37</v>
      </c>
      <c r="R189" s="145">
        <f>SUMIFS(Table2[NewPointsAway],Table2[GameDate], "&lt;=" &amp; $A189, Table2[AwayTeam], R$1)+SUMIFS(Table2[NewPointsHome],Table2[GameDate], "&lt;=" &amp; $A189, Table2[HomeTeam], R$1)</f>
        <v>30</v>
      </c>
      <c r="S189" s="145">
        <f>SUMIFS(Table2[NewPointsAway],Table2[GameDate], "&lt;=" &amp; $A189, Table2[AwayTeam], S$1)+SUMIFS(Table2[NewPointsHome],Table2[GameDate], "&lt;=" &amp; $A189, Table2[HomeTeam], S$1)</f>
        <v>41</v>
      </c>
      <c r="T189" s="145">
        <f>SUMIFS(Table2[NewPointsAway],Table2[GameDate], "&lt;=" &amp; $A189, Table2[AwayTeam], T$1)+SUMIFS(Table2[NewPointsHome],Table2[GameDate], "&lt;=" &amp; $A189, Table2[HomeTeam], T$1)</f>
        <v>36</v>
      </c>
      <c r="U189" s="145">
        <f>SUMIFS(Table2[NewPointsAway],Table2[GameDate], "&lt;=" &amp; $A189, Table2[AwayTeam], U$1)+SUMIFS(Table2[NewPointsHome],Table2[GameDate], "&lt;=" &amp; $A189, Table2[HomeTeam], U$1)</f>
        <v>34</v>
      </c>
      <c r="V189" s="145">
        <f>SUMIFS(Table2[NewPointsAway],Table2[GameDate], "&lt;=" &amp; $A189, Table2[AwayTeam], V$1)+SUMIFS(Table2[NewPointsHome],Table2[GameDate], "&lt;=" &amp; $A189, Table2[HomeTeam], V$1)</f>
        <v>39</v>
      </c>
      <c r="W189" s="145">
        <f>SUMIFS(Table2[NewPointsAway],Table2[GameDate], "&lt;=" &amp; $A189, Table2[AwayTeam], W$1)+SUMIFS(Table2[NewPointsHome],Table2[GameDate], "&lt;=" &amp; $A189, Table2[HomeTeam], W$1)</f>
        <v>37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37</v>
      </c>
      <c r="Z189" s="145">
        <f>SUMIFS(Table2[NewPointsAway],Table2[GameDate], "&lt;=" &amp; $A189, Table2[AwayTeam], Z$1)+SUMIFS(Table2[NewPointsHome],Table2[GameDate], "&lt;=" &amp; $A189, Table2[HomeTeam], Z$1)</f>
        <v>32</v>
      </c>
      <c r="AA189" s="145">
        <f>SUMIFS(Table2[NewPointsAway],Table2[GameDate], "&lt;=" &amp; $A189, Table2[AwayTeam], AA$1)+SUMIFS(Table2[NewPointsHome],Table2[GameDate], "&lt;=" &amp; $A189, Table2[HomeTeam], AA$1)</f>
        <v>39</v>
      </c>
      <c r="AB189" s="145">
        <f>SUMIFS(Table2[NewPointsAway],Table2[GameDate], "&lt;=" &amp; $A189, Table2[AwayTeam], AB$1)+SUMIFS(Table2[NewPointsHome],Table2[GameDate], "&lt;=" &amp; $A189, Table2[HomeTeam], AB$1)</f>
        <v>35</v>
      </c>
      <c r="AC189" s="145">
        <f>SUMIFS(Table2[NewPointsAway],Table2[GameDate], "&lt;=" &amp; $A189, Table2[AwayTeam], AC$1)+SUMIFS(Table2[NewPointsHome],Table2[GameDate], "&lt;=" &amp; $A189, Table2[HomeTeam], AC$1)</f>
        <v>35</v>
      </c>
      <c r="AD189" s="145">
        <f>SUMIFS(Table2[NewPointsAway],Table2[GameDate], "&lt;=" &amp; $A189, Table2[AwayTeam], AD$1)+SUMIFS(Table2[NewPointsHome],Table2[GameDate], "&lt;=" &amp; $A189, Table2[HomeTeam], AD$1)</f>
        <v>29</v>
      </c>
      <c r="AE189" s="145">
        <f>SUMIFS(Table2[NewPointsAway],Table2[GameDate], "&lt;=" &amp; $A189, Table2[AwayTeam], AE$1)+SUMIFS(Table2[NewPointsHome],Table2[GameDate], "&lt;=" &amp; $A189, Table2[HomeTeam], AE$1)</f>
        <v>41</v>
      </c>
      <c r="AF189" s="145">
        <f>SUMIFS(Table2[NewPointsAway],Table2[GameDate], "&lt;=" &amp; $A189, Table2[AwayTeam], AF$1)+SUMIFS(Table2[NewPointsHome],Table2[GameDate], "&lt;=" &amp; $A189, Table2[HomeTeam], AF$1)</f>
        <v>32</v>
      </c>
      <c r="AG189" s="145">
        <f>SUMIFS(Table2[NewPointsAway],Table2[GameDate], "&lt;=" &amp; $A189, Table2[AwayTeam], AG$1)+SUMIFS(Table2[NewPointsHome],Table2[GameDate], "&lt;=" &amp; $A189, Table2[HomeTeam], AG$1)</f>
        <v>40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42</v>
      </c>
      <c r="C190" s="145">
        <f>SUMIFS(Table2[NewPointsAway],Table2[GameDate], "&lt;=" &amp; $A190, Table2[AwayTeam], C$1)+SUMIFS(Table2[NewPointsHome],Table2[GameDate], "&lt;=" &amp; $A190, Table2[HomeTeam], C$1)</f>
        <v>40</v>
      </c>
      <c r="D190" s="145">
        <f>SUMIFS(Table2[NewPointsAway],Table2[GameDate], "&lt;=" &amp; $A190, Table2[AwayTeam], D$1)+SUMIFS(Table2[NewPointsHome],Table2[GameDate], "&lt;=" &amp; $A190, Table2[HomeTeam], D$1)</f>
        <v>32</v>
      </c>
      <c r="E190" s="145">
        <f>SUMIFS(Table2[NewPointsAway],Table2[GameDate], "&lt;=" &amp; $A190, Table2[AwayTeam], E$1)+SUMIFS(Table2[NewPointsHome],Table2[GameDate], "&lt;=" &amp; $A190, Table2[HomeTeam], E$1)</f>
        <v>44</v>
      </c>
      <c r="F190" s="145">
        <f>SUMIFS(Table2[NewPointsAway],Table2[GameDate], "&lt;=" &amp; $A190, Table2[AwayTeam], F$1)+SUMIFS(Table2[NewPointsHome],Table2[GameDate], "&lt;=" &amp; $A190, Table2[HomeTeam], F$1)</f>
        <v>34</v>
      </c>
      <c r="G190" s="145">
        <f>SUMIFS(Table2[NewPointsAway],Table2[GameDate], "&lt;=" &amp; $A190, Table2[AwayTeam], G$1)+SUMIFS(Table2[NewPointsHome],Table2[GameDate], "&lt;=" &amp; $A190, Table2[HomeTeam], G$1)</f>
        <v>30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55</v>
      </c>
      <c r="J190" s="145">
        <f>SUMIFS(Table2[NewPointsAway],Table2[GameDate], "&lt;=" &amp; $A190, Table2[AwayTeam], J$1)+SUMIFS(Table2[NewPointsHome],Table2[GameDate], "&lt;=" &amp; $A190, Table2[HomeTeam], J$1)</f>
        <v>49</v>
      </c>
      <c r="K190" s="145">
        <f>SUMIFS(Table2[NewPointsAway],Table2[GameDate], "&lt;=" &amp; $A190, Table2[AwayTeam], K$1)+SUMIFS(Table2[NewPointsHome],Table2[GameDate], "&lt;=" &amp; $A190, Table2[HomeTeam], K$1)</f>
        <v>41</v>
      </c>
      <c r="L190" s="145">
        <f>SUMIFS(Table2[NewPointsAway],Table2[GameDate], "&lt;=" &amp; $A190, Table2[AwayTeam], L$1)+SUMIFS(Table2[NewPointsHome],Table2[GameDate], "&lt;=" &amp; $A190, Table2[HomeTeam], L$1)</f>
        <v>38</v>
      </c>
      <c r="M190" s="145">
        <f>SUMIFS(Table2[NewPointsAway],Table2[GameDate], "&lt;=" &amp; $A190, Table2[AwayTeam], M$1)+SUMIFS(Table2[NewPointsHome],Table2[GameDate], "&lt;=" &amp; $A190, Table2[HomeTeam], M$1)</f>
        <v>36</v>
      </c>
      <c r="N190" s="145">
        <f>SUMIFS(Table2[NewPointsAway],Table2[GameDate], "&lt;=" &amp; $A190, Table2[AwayTeam], N$1)+SUMIFS(Table2[NewPointsHome],Table2[GameDate], "&lt;=" &amp; $A190, Table2[HomeTeam], N$1)</f>
        <v>37</v>
      </c>
      <c r="O190" s="145">
        <f>SUMIFS(Table2[NewPointsAway],Table2[GameDate], "&lt;=" &amp; $A190, Table2[AwayTeam], O$1)+SUMIFS(Table2[NewPointsHome],Table2[GameDate], "&lt;=" &amp; $A190, Table2[HomeTeam], O$1)</f>
        <v>45</v>
      </c>
      <c r="P190" s="145">
        <f>SUMIFS(Table2[NewPointsAway],Table2[GameDate], "&lt;=" &amp; $A190, Table2[AwayTeam], P$1)+SUMIFS(Table2[NewPointsHome],Table2[GameDate], "&lt;=" &amp; $A190, Table2[HomeTeam], P$1)</f>
        <v>38</v>
      </c>
      <c r="Q190" s="145">
        <f>SUMIFS(Table2[NewPointsAway],Table2[GameDate], "&lt;=" &amp; $A190, Table2[AwayTeam], Q$1)+SUMIFS(Table2[NewPointsHome],Table2[GameDate], "&lt;=" &amp; $A190, Table2[HomeTeam], Q$1)</f>
        <v>37</v>
      </c>
      <c r="R190" s="145">
        <f>SUMIFS(Table2[NewPointsAway],Table2[GameDate], "&lt;=" &amp; $A190, Table2[AwayTeam], R$1)+SUMIFS(Table2[NewPointsHome],Table2[GameDate], "&lt;=" &amp; $A190, Table2[HomeTeam], R$1)</f>
        <v>30</v>
      </c>
      <c r="S190" s="145">
        <f>SUMIFS(Table2[NewPointsAway],Table2[GameDate], "&lt;=" &amp; $A190, Table2[AwayTeam], S$1)+SUMIFS(Table2[NewPointsHome],Table2[GameDate], "&lt;=" &amp; $A190, Table2[HomeTeam], S$1)</f>
        <v>41</v>
      </c>
      <c r="T190" s="145">
        <f>SUMIFS(Table2[NewPointsAway],Table2[GameDate], "&lt;=" &amp; $A190, Table2[AwayTeam], T$1)+SUMIFS(Table2[NewPointsHome],Table2[GameDate], "&lt;=" &amp; $A190, Table2[HomeTeam], T$1)</f>
        <v>36</v>
      </c>
      <c r="U190" s="145">
        <f>SUMIFS(Table2[NewPointsAway],Table2[GameDate], "&lt;=" &amp; $A190, Table2[AwayTeam], U$1)+SUMIFS(Table2[NewPointsHome],Table2[GameDate], "&lt;=" &amp; $A190, Table2[HomeTeam], U$1)</f>
        <v>34</v>
      </c>
      <c r="V190" s="145">
        <f>SUMIFS(Table2[NewPointsAway],Table2[GameDate], "&lt;=" &amp; $A190, Table2[AwayTeam], V$1)+SUMIFS(Table2[NewPointsHome],Table2[GameDate], "&lt;=" &amp; $A190, Table2[HomeTeam], V$1)</f>
        <v>39</v>
      </c>
      <c r="W190" s="145">
        <f>SUMIFS(Table2[NewPointsAway],Table2[GameDate], "&lt;=" &amp; $A190, Table2[AwayTeam], W$1)+SUMIFS(Table2[NewPointsHome],Table2[GameDate], "&lt;=" &amp; $A190, Table2[HomeTeam], W$1)</f>
        <v>37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37</v>
      </c>
      <c r="Z190" s="145">
        <f>SUMIFS(Table2[NewPointsAway],Table2[GameDate], "&lt;=" &amp; $A190, Table2[AwayTeam], Z$1)+SUMIFS(Table2[NewPointsHome],Table2[GameDate], "&lt;=" &amp; $A190, Table2[HomeTeam], Z$1)</f>
        <v>32</v>
      </c>
      <c r="AA190" s="145">
        <f>SUMIFS(Table2[NewPointsAway],Table2[GameDate], "&lt;=" &amp; $A190, Table2[AwayTeam], AA$1)+SUMIFS(Table2[NewPointsHome],Table2[GameDate], "&lt;=" &amp; $A190, Table2[HomeTeam], AA$1)</f>
        <v>39</v>
      </c>
      <c r="AB190" s="145">
        <f>SUMIFS(Table2[NewPointsAway],Table2[GameDate], "&lt;=" &amp; $A190, Table2[AwayTeam], AB$1)+SUMIFS(Table2[NewPointsHome],Table2[GameDate], "&lt;=" &amp; $A190, Table2[HomeTeam], AB$1)</f>
        <v>35</v>
      </c>
      <c r="AC190" s="145">
        <f>SUMIFS(Table2[NewPointsAway],Table2[GameDate], "&lt;=" &amp; $A190, Table2[AwayTeam], AC$1)+SUMIFS(Table2[NewPointsHome],Table2[GameDate], "&lt;=" &amp; $A190, Table2[HomeTeam], AC$1)</f>
        <v>35</v>
      </c>
      <c r="AD190" s="145">
        <f>SUMIFS(Table2[NewPointsAway],Table2[GameDate], "&lt;=" &amp; $A190, Table2[AwayTeam], AD$1)+SUMIFS(Table2[NewPointsHome],Table2[GameDate], "&lt;=" &amp; $A190, Table2[HomeTeam], AD$1)</f>
        <v>29</v>
      </c>
      <c r="AE190" s="145">
        <f>SUMIFS(Table2[NewPointsAway],Table2[GameDate], "&lt;=" &amp; $A190, Table2[AwayTeam], AE$1)+SUMIFS(Table2[NewPointsHome],Table2[GameDate], "&lt;=" &amp; $A190, Table2[HomeTeam], AE$1)</f>
        <v>41</v>
      </c>
      <c r="AF190" s="145">
        <f>SUMIFS(Table2[NewPointsAway],Table2[GameDate], "&lt;=" &amp; $A190, Table2[AwayTeam], AF$1)+SUMIFS(Table2[NewPointsHome],Table2[GameDate], "&lt;=" &amp; $A190, Table2[HomeTeam], AF$1)</f>
        <v>32</v>
      </c>
      <c r="AG190" s="145">
        <f>SUMIFS(Table2[NewPointsAway],Table2[GameDate], "&lt;=" &amp; $A190, Table2[AwayTeam], AG$1)+SUMIFS(Table2[NewPointsHome],Table2[GameDate], "&lt;=" &amp; $A190, Table2[HomeTeam], AG$1)</f>
        <v>40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42</v>
      </c>
      <c r="C191" s="145">
        <f>SUMIFS(Table2[NewPointsAway],Table2[GameDate], "&lt;=" &amp; $A191, Table2[AwayTeam], C$1)+SUMIFS(Table2[NewPointsHome],Table2[GameDate], "&lt;=" &amp; $A191, Table2[HomeTeam], C$1)</f>
        <v>40</v>
      </c>
      <c r="D191" s="145">
        <f>SUMIFS(Table2[NewPointsAway],Table2[GameDate], "&lt;=" &amp; $A191, Table2[AwayTeam], D$1)+SUMIFS(Table2[NewPointsHome],Table2[GameDate], "&lt;=" &amp; $A191, Table2[HomeTeam], D$1)</f>
        <v>32</v>
      </c>
      <c r="E191" s="145">
        <f>SUMIFS(Table2[NewPointsAway],Table2[GameDate], "&lt;=" &amp; $A191, Table2[AwayTeam], E$1)+SUMIFS(Table2[NewPointsHome],Table2[GameDate], "&lt;=" &amp; $A191, Table2[HomeTeam], E$1)</f>
        <v>44</v>
      </c>
      <c r="F191" s="145">
        <f>SUMIFS(Table2[NewPointsAway],Table2[GameDate], "&lt;=" &amp; $A191, Table2[AwayTeam], F$1)+SUMIFS(Table2[NewPointsHome],Table2[GameDate], "&lt;=" &amp; $A191, Table2[HomeTeam], F$1)</f>
        <v>34</v>
      </c>
      <c r="G191" s="145">
        <f>SUMIFS(Table2[NewPointsAway],Table2[GameDate], "&lt;=" &amp; $A191, Table2[AwayTeam], G$1)+SUMIFS(Table2[NewPointsHome],Table2[GameDate], "&lt;=" &amp; $A191, Table2[HomeTeam], G$1)</f>
        <v>30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55</v>
      </c>
      <c r="J191" s="145">
        <f>SUMIFS(Table2[NewPointsAway],Table2[GameDate], "&lt;=" &amp; $A191, Table2[AwayTeam], J$1)+SUMIFS(Table2[NewPointsHome],Table2[GameDate], "&lt;=" &amp; $A191, Table2[HomeTeam], J$1)</f>
        <v>49</v>
      </c>
      <c r="K191" s="145">
        <f>SUMIFS(Table2[NewPointsAway],Table2[GameDate], "&lt;=" &amp; $A191, Table2[AwayTeam], K$1)+SUMIFS(Table2[NewPointsHome],Table2[GameDate], "&lt;=" &amp; $A191, Table2[HomeTeam], K$1)</f>
        <v>41</v>
      </c>
      <c r="L191" s="145">
        <f>SUMIFS(Table2[NewPointsAway],Table2[GameDate], "&lt;=" &amp; $A191, Table2[AwayTeam], L$1)+SUMIFS(Table2[NewPointsHome],Table2[GameDate], "&lt;=" &amp; $A191, Table2[HomeTeam], L$1)</f>
        <v>38</v>
      </c>
      <c r="M191" s="145">
        <f>SUMIFS(Table2[NewPointsAway],Table2[GameDate], "&lt;=" &amp; $A191, Table2[AwayTeam], M$1)+SUMIFS(Table2[NewPointsHome],Table2[GameDate], "&lt;=" &amp; $A191, Table2[HomeTeam], M$1)</f>
        <v>36</v>
      </c>
      <c r="N191" s="145">
        <f>SUMIFS(Table2[NewPointsAway],Table2[GameDate], "&lt;=" &amp; $A191, Table2[AwayTeam], N$1)+SUMIFS(Table2[NewPointsHome],Table2[GameDate], "&lt;=" &amp; $A191, Table2[HomeTeam], N$1)</f>
        <v>37</v>
      </c>
      <c r="O191" s="145">
        <f>SUMIFS(Table2[NewPointsAway],Table2[GameDate], "&lt;=" &amp; $A191, Table2[AwayTeam], O$1)+SUMIFS(Table2[NewPointsHome],Table2[GameDate], "&lt;=" &amp; $A191, Table2[HomeTeam], O$1)</f>
        <v>45</v>
      </c>
      <c r="P191" s="145">
        <f>SUMIFS(Table2[NewPointsAway],Table2[GameDate], "&lt;=" &amp; $A191, Table2[AwayTeam], P$1)+SUMIFS(Table2[NewPointsHome],Table2[GameDate], "&lt;=" &amp; $A191, Table2[HomeTeam], P$1)</f>
        <v>38</v>
      </c>
      <c r="Q191" s="145">
        <f>SUMIFS(Table2[NewPointsAway],Table2[GameDate], "&lt;=" &amp; $A191, Table2[AwayTeam], Q$1)+SUMIFS(Table2[NewPointsHome],Table2[GameDate], "&lt;=" &amp; $A191, Table2[HomeTeam], Q$1)</f>
        <v>37</v>
      </c>
      <c r="R191" s="145">
        <f>SUMIFS(Table2[NewPointsAway],Table2[GameDate], "&lt;=" &amp; $A191, Table2[AwayTeam], R$1)+SUMIFS(Table2[NewPointsHome],Table2[GameDate], "&lt;=" &amp; $A191, Table2[HomeTeam], R$1)</f>
        <v>30</v>
      </c>
      <c r="S191" s="145">
        <f>SUMIFS(Table2[NewPointsAway],Table2[GameDate], "&lt;=" &amp; $A191, Table2[AwayTeam], S$1)+SUMIFS(Table2[NewPointsHome],Table2[GameDate], "&lt;=" &amp; $A191, Table2[HomeTeam], S$1)</f>
        <v>41</v>
      </c>
      <c r="T191" s="145">
        <f>SUMIFS(Table2[NewPointsAway],Table2[GameDate], "&lt;=" &amp; $A191, Table2[AwayTeam], T$1)+SUMIFS(Table2[NewPointsHome],Table2[GameDate], "&lt;=" &amp; $A191, Table2[HomeTeam], T$1)</f>
        <v>36</v>
      </c>
      <c r="U191" s="145">
        <f>SUMIFS(Table2[NewPointsAway],Table2[GameDate], "&lt;=" &amp; $A191, Table2[AwayTeam], U$1)+SUMIFS(Table2[NewPointsHome],Table2[GameDate], "&lt;=" &amp; $A191, Table2[HomeTeam], U$1)</f>
        <v>34</v>
      </c>
      <c r="V191" s="145">
        <f>SUMIFS(Table2[NewPointsAway],Table2[GameDate], "&lt;=" &amp; $A191, Table2[AwayTeam], V$1)+SUMIFS(Table2[NewPointsHome],Table2[GameDate], "&lt;=" &amp; $A191, Table2[HomeTeam], V$1)</f>
        <v>39</v>
      </c>
      <c r="W191" s="145">
        <f>SUMIFS(Table2[NewPointsAway],Table2[GameDate], "&lt;=" &amp; $A191, Table2[AwayTeam], W$1)+SUMIFS(Table2[NewPointsHome],Table2[GameDate], "&lt;=" &amp; $A191, Table2[HomeTeam], W$1)</f>
        <v>37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37</v>
      </c>
      <c r="Z191" s="145">
        <f>SUMIFS(Table2[NewPointsAway],Table2[GameDate], "&lt;=" &amp; $A191, Table2[AwayTeam], Z$1)+SUMIFS(Table2[NewPointsHome],Table2[GameDate], "&lt;=" &amp; $A191, Table2[HomeTeam], Z$1)</f>
        <v>32</v>
      </c>
      <c r="AA191" s="145">
        <f>SUMIFS(Table2[NewPointsAway],Table2[GameDate], "&lt;=" &amp; $A191, Table2[AwayTeam], AA$1)+SUMIFS(Table2[NewPointsHome],Table2[GameDate], "&lt;=" &amp; $A191, Table2[HomeTeam], AA$1)</f>
        <v>39</v>
      </c>
      <c r="AB191" s="145">
        <f>SUMIFS(Table2[NewPointsAway],Table2[GameDate], "&lt;=" &amp; $A191, Table2[AwayTeam], AB$1)+SUMIFS(Table2[NewPointsHome],Table2[GameDate], "&lt;=" &amp; $A191, Table2[HomeTeam], AB$1)</f>
        <v>35</v>
      </c>
      <c r="AC191" s="145">
        <f>SUMIFS(Table2[NewPointsAway],Table2[GameDate], "&lt;=" &amp; $A191, Table2[AwayTeam], AC$1)+SUMIFS(Table2[NewPointsHome],Table2[GameDate], "&lt;=" &amp; $A191, Table2[HomeTeam], AC$1)</f>
        <v>35</v>
      </c>
      <c r="AD191" s="145">
        <f>SUMIFS(Table2[NewPointsAway],Table2[GameDate], "&lt;=" &amp; $A191, Table2[AwayTeam], AD$1)+SUMIFS(Table2[NewPointsHome],Table2[GameDate], "&lt;=" &amp; $A191, Table2[HomeTeam], AD$1)</f>
        <v>29</v>
      </c>
      <c r="AE191" s="145">
        <f>SUMIFS(Table2[NewPointsAway],Table2[GameDate], "&lt;=" &amp; $A191, Table2[AwayTeam], AE$1)+SUMIFS(Table2[NewPointsHome],Table2[GameDate], "&lt;=" &amp; $A191, Table2[HomeTeam], AE$1)</f>
        <v>41</v>
      </c>
      <c r="AF191" s="145">
        <f>SUMIFS(Table2[NewPointsAway],Table2[GameDate], "&lt;=" &amp; $A191, Table2[AwayTeam], AF$1)+SUMIFS(Table2[NewPointsHome],Table2[GameDate], "&lt;=" &amp; $A191, Table2[HomeTeam], AF$1)</f>
        <v>32</v>
      </c>
      <c r="AG191" s="145">
        <f>SUMIFS(Table2[NewPointsAway],Table2[GameDate], "&lt;=" &amp; $A191, Table2[AwayTeam], AG$1)+SUMIFS(Table2[NewPointsHome],Table2[GameDate], "&lt;=" &amp; $A191, Table2[HomeTeam], AG$1)</f>
        <v>40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42</v>
      </c>
      <c r="C192" s="145">
        <f>SUMIFS(Table2[NewPointsAway],Table2[GameDate], "&lt;=" &amp; $A192, Table2[AwayTeam], C$1)+SUMIFS(Table2[NewPointsHome],Table2[GameDate], "&lt;=" &amp; $A192, Table2[HomeTeam], C$1)</f>
        <v>40</v>
      </c>
      <c r="D192" s="145">
        <f>SUMIFS(Table2[NewPointsAway],Table2[GameDate], "&lt;=" &amp; $A192, Table2[AwayTeam], D$1)+SUMIFS(Table2[NewPointsHome],Table2[GameDate], "&lt;=" &amp; $A192, Table2[HomeTeam], D$1)</f>
        <v>32</v>
      </c>
      <c r="E192" s="145">
        <f>SUMIFS(Table2[NewPointsAway],Table2[GameDate], "&lt;=" &amp; $A192, Table2[AwayTeam], E$1)+SUMIFS(Table2[NewPointsHome],Table2[GameDate], "&lt;=" &amp; $A192, Table2[HomeTeam], E$1)</f>
        <v>44</v>
      </c>
      <c r="F192" s="145">
        <f>SUMIFS(Table2[NewPointsAway],Table2[GameDate], "&lt;=" &amp; $A192, Table2[AwayTeam], F$1)+SUMIFS(Table2[NewPointsHome],Table2[GameDate], "&lt;=" &amp; $A192, Table2[HomeTeam], F$1)</f>
        <v>34</v>
      </c>
      <c r="G192" s="145">
        <f>SUMIFS(Table2[NewPointsAway],Table2[GameDate], "&lt;=" &amp; $A192, Table2[AwayTeam], G$1)+SUMIFS(Table2[NewPointsHome],Table2[GameDate], "&lt;=" &amp; $A192, Table2[HomeTeam], G$1)</f>
        <v>30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55</v>
      </c>
      <c r="J192" s="145">
        <f>SUMIFS(Table2[NewPointsAway],Table2[GameDate], "&lt;=" &amp; $A192, Table2[AwayTeam], J$1)+SUMIFS(Table2[NewPointsHome],Table2[GameDate], "&lt;=" &amp; $A192, Table2[HomeTeam], J$1)</f>
        <v>49</v>
      </c>
      <c r="K192" s="145">
        <f>SUMIFS(Table2[NewPointsAway],Table2[GameDate], "&lt;=" &amp; $A192, Table2[AwayTeam], K$1)+SUMIFS(Table2[NewPointsHome],Table2[GameDate], "&lt;=" &amp; $A192, Table2[HomeTeam], K$1)</f>
        <v>41</v>
      </c>
      <c r="L192" s="145">
        <f>SUMIFS(Table2[NewPointsAway],Table2[GameDate], "&lt;=" &amp; $A192, Table2[AwayTeam], L$1)+SUMIFS(Table2[NewPointsHome],Table2[GameDate], "&lt;=" &amp; $A192, Table2[HomeTeam], L$1)</f>
        <v>38</v>
      </c>
      <c r="M192" s="145">
        <f>SUMIFS(Table2[NewPointsAway],Table2[GameDate], "&lt;=" &amp; $A192, Table2[AwayTeam], M$1)+SUMIFS(Table2[NewPointsHome],Table2[GameDate], "&lt;=" &amp; $A192, Table2[HomeTeam], M$1)</f>
        <v>36</v>
      </c>
      <c r="N192" s="145">
        <f>SUMIFS(Table2[NewPointsAway],Table2[GameDate], "&lt;=" &amp; $A192, Table2[AwayTeam], N$1)+SUMIFS(Table2[NewPointsHome],Table2[GameDate], "&lt;=" &amp; $A192, Table2[HomeTeam], N$1)</f>
        <v>37</v>
      </c>
      <c r="O192" s="145">
        <f>SUMIFS(Table2[NewPointsAway],Table2[GameDate], "&lt;=" &amp; $A192, Table2[AwayTeam], O$1)+SUMIFS(Table2[NewPointsHome],Table2[GameDate], "&lt;=" &amp; $A192, Table2[HomeTeam], O$1)</f>
        <v>45</v>
      </c>
      <c r="P192" s="145">
        <f>SUMIFS(Table2[NewPointsAway],Table2[GameDate], "&lt;=" &amp; $A192, Table2[AwayTeam], P$1)+SUMIFS(Table2[NewPointsHome],Table2[GameDate], "&lt;=" &amp; $A192, Table2[HomeTeam], P$1)</f>
        <v>38</v>
      </c>
      <c r="Q192" s="145">
        <f>SUMIFS(Table2[NewPointsAway],Table2[GameDate], "&lt;=" &amp; $A192, Table2[AwayTeam], Q$1)+SUMIFS(Table2[NewPointsHome],Table2[GameDate], "&lt;=" &amp; $A192, Table2[HomeTeam], Q$1)</f>
        <v>37</v>
      </c>
      <c r="R192" s="145">
        <f>SUMIFS(Table2[NewPointsAway],Table2[GameDate], "&lt;=" &amp; $A192, Table2[AwayTeam], R$1)+SUMIFS(Table2[NewPointsHome],Table2[GameDate], "&lt;=" &amp; $A192, Table2[HomeTeam], R$1)</f>
        <v>30</v>
      </c>
      <c r="S192" s="145">
        <f>SUMIFS(Table2[NewPointsAway],Table2[GameDate], "&lt;=" &amp; $A192, Table2[AwayTeam], S$1)+SUMIFS(Table2[NewPointsHome],Table2[GameDate], "&lt;=" &amp; $A192, Table2[HomeTeam], S$1)</f>
        <v>41</v>
      </c>
      <c r="T192" s="145">
        <f>SUMIFS(Table2[NewPointsAway],Table2[GameDate], "&lt;=" &amp; $A192, Table2[AwayTeam], T$1)+SUMIFS(Table2[NewPointsHome],Table2[GameDate], "&lt;=" &amp; $A192, Table2[HomeTeam], T$1)</f>
        <v>36</v>
      </c>
      <c r="U192" s="145">
        <f>SUMIFS(Table2[NewPointsAway],Table2[GameDate], "&lt;=" &amp; $A192, Table2[AwayTeam], U$1)+SUMIFS(Table2[NewPointsHome],Table2[GameDate], "&lt;=" &amp; $A192, Table2[HomeTeam], U$1)</f>
        <v>34</v>
      </c>
      <c r="V192" s="145">
        <f>SUMIFS(Table2[NewPointsAway],Table2[GameDate], "&lt;=" &amp; $A192, Table2[AwayTeam], V$1)+SUMIFS(Table2[NewPointsHome],Table2[GameDate], "&lt;=" &amp; $A192, Table2[HomeTeam], V$1)</f>
        <v>39</v>
      </c>
      <c r="W192" s="145">
        <f>SUMIFS(Table2[NewPointsAway],Table2[GameDate], "&lt;=" &amp; $A192, Table2[AwayTeam], W$1)+SUMIFS(Table2[NewPointsHome],Table2[GameDate], "&lt;=" &amp; $A192, Table2[HomeTeam], W$1)</f>
        <v>37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37</v>
      </c>
      <c r="Z192" s="145">
        <f>SUMIFS(Table2[NewPointsAway],Table2[GameDate], "&lt;=" &amp; $A192, Table2[AwayTeam], Z$1)+SUMIFS(Table2[NewPointsHome],Table2[GameDate], "&lt;=" &amp; $A192, Table2[HomeTeam], Z$1)</f>
        <v>32</v>
      </c>
      <c r="AA192" s="145">
        <f>SUMIFS(Table2[NewPointsAway],Table2[GameDate], "&lt;=" &amp; $A192, Table2[AwayTeam], AA$1)+SUMIFS(Table2[NewPointsHome],Table2[GameDate], "&lt;=" &amp; $A192, Table2[HomeTeam], AA$1)</f>
        <v>39</v>
      </c>
      <c r="AB192" s="145">
        <f>SUMIFS(Table2[NewPointsAway],Table2[GameDate], "&lt;=" &amp; $A192, Table2[AwayTeam], AB$1)+SUMIFS(Table2[NewPointsHome],Table2[GameDate], "&lt;=" &amp; $A192, Table2[HomeTeam], AB$1)</f>
        <v>35</v>
      </c>
      <c r="AC192" s="145">
        <f>SUMIFS(Table2[NewPointsAway],Table2[GameDate], "&lt;=" &amp; $A192, Table2[AwayTeam], AC$1)+SUMIFS(Table2[NewPointsHome],Table2[GameDate], "&lt;=" &amp; $A192, Table2[HomeTeam], AC$1)</f>
        <v>35</v>
      </c>
      <c r="AD192" s="145">
        <f>SUMIFS(Table2[NewPointsAway],Table2[GameDate], "&lt;=" &amp; $A192, Table2[AwayTeam], AD$1)+SUMIFS(Table2[NewPointsHome],Table2[GameDate], "&lt;=" &amp; $A192, Table2[HomeTeam], AD$1)</f>
        <v>29</v>
      </c>
      <c r="AE192" s="145">
        <f>SUMIFS(Table2[NewPointsAway],Table2[GameDate], "&lt;=" &amp; $A192, Table2[AwayTeam], AE$1)+SUMIFS(Table2[NewPointsHome],Table2[GameDate], "&lt;=" &amp; $A192, Table2[HomeTeam], AE$1)</f>
        <v>41</v>
      </c>
      <c r="AF192" s="145">
        <f>SUMIFS(Table2[NewPointsAway],Table2[GameDate], "&lt;=" &amp; $A192, Table2[AwayTeam], AF$1)+SUMIFS(Table2[NewPointsHome],Table2[GameDate], "&lt;=" &amp; $A192, Table2[HomeTeam], AF$1)</f>
        <v>32</v>
      </c>
      <c r="AG192" s="145">
        <f>SUMIFS(Table2[NewPointsAway],Table2[GameDate], "&lt;=" &amp; $A192, Table2[AwayTeam], AG$1)+SUMIFS(Table2[NewPointsHome],Table2[GameDate], "&lt;=" &amp; $A192, Table2[HomeTeam], AG$1)</f>
        <v>40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42</v>
      </c>
      <c r="C193" s="145">
        <f>SUMIFS(Table2[NewPointsAway],Table2[GameDate], "&lt;=" &amp; $A193, Table2[AwayTeam], C$1)+SUMIFS(Table2[NewPointsHome],Table2[GameDate], "&lt;=" &amp; $A193, Table2[HomeTeam], C$1)</f>
        <v>40</v>
      </c>
      <c r="D193" s="145">
        <f>SUMIFS(Table2[NewPointsAway],Table2[GameDate], "&lt;=" &amp; $A193, Table2[AwayTeam], D$1)+SUMIFS(Table2[NewPointsHome],Table2[GameDate], "&lt;=" &amp; $A193, Table2[HomeTeam], D$1)</f>
        <v>32</v>
      </c>
      <c r="E193" s="145">
        <f>SUMIFS(Table2[NewPointsAway],Table2[GameDate], "&lt;=" &amp; $A193, Table2[AwayTeam], E$1)+SUMIFS(Table2[NewPointsHome],Table2[GameDate], "&lt;=" &amp; $A193, Table2[HomeTeam], E$1)</f>
        <v>44</v>
      </c>
      <c r="F193" s="145">
        <f>SUMIFS(Table2[NewPointsAway],Table2[GameDate], "&lt;=" &amp; $A193, Table2[AwayTeam], F$1)+SUMIFS(Table2[NewPointsHome],Table2[GameDate], "&lt;=" &amp; $A193, Table2[HomeTeam], F$1)</f>
        <v>34</v>
      </c>
      <c r="G193" s="145">
        <f>SUMIFS(Table2[NewPointsAway],Table2[GameDate], "&lt;=" &amp; $A193, Table2[AwayTeam], G$1)+SUMIFS(Table2[NewPointsHome],Table2[GameDate], "&lt;=" &amp; $A193, Table2[HomeTeam], G$1)</f>
        <v>30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55</v>
      </c>
      <c r="J193" s="145">
        <f>SUMIFS(Table2[NewPointsAway],Table2[GameDate], "&lt;=" &amp; $A193, Table2[AwayTeam], J$1)+SUMIFS(Table2[NewPointsHome],Table2[GameDate], "&lt;=" &amp; $A193, Table2[HomeTeam], J$1)</f>
        <v>49</v>
      </c>
      <c r="K193" s="145">
        <f>SUMIFS(Table2[NewPointsAway],Table2[GameDate], "&lt;=" &amp; $A193, Table2[AwayTeam], K$1)+SUMIFS(Table2[NewPointsHome],Table2[GameDate], "&lt;=" &amp; $A193, Table2[HomeTeam], K$1)</f>
        <v>41</v>
      </c>
      <c r="L193" s="145">
        <f>SUMIFS(Table2[NewPointsAway],Table2[GameDate], "&lt;=" &amp; $A193, Table2[AwayTeam], L$1)+SUMIFS(Table2[NewPointsHome],Table2[GameDate], "&lt;=" &amp; $A193, Table2[HomeTeam], L$1)</f>
        <v>38</v>
      </c>
      <c r="M193" s="145">
        <f>SUMIFS(Table2[NewPointsAway],Table2[GameDate], "&lt;=" &amp; $A193, Table2[AwayTeam], M$1)+SUMIFS(Table2[NewPointsHome],Table2[GameDate], "&lt;=" &amp; $A193, Table2[HomeTeam], M$1)</f>
        <v>36</v>
      </c>
      <c r="N193" s="145">
        <f>SUMIFS(Table2[NewPointsAway],Table2[GameDate], "&lt;=" &amp; $A193, Table2[AwayTeam], N$1)+SUMIFS(Table2[NewPointsHome],Table2[GameDate], "&lt;=" &amp; $A193, Table2[HomeTeam], N$1)</f>
        <v>37</v>
      </c>
      <c r="O193" s="145">
        <f>SUMIFS(Table2[NewPointsAway],Table2[GameDate], "&lt;=" &amp; $A193, Table2[AwayTeam], O$1)+SUMIFS(Table2[NewPointsHome],Table2[GameDate], "&lt;=" &amp; $A193, Table2[HomeTeam], O$1)</f>
        <v>45</v>
      </c>
      <c r="P193" s="145">
        <f>SUMIFS(Table2[NewPointsAway],Table2[GameDate], "&lt;=" &amp; $A193, Table2[AwayTeam], P$1)+SUMIFS(Table2[NewPointsHome],Table2[GameDate], "&lt;=" &amp; $A193, Table2[HomeTeam], P$1)</f>
        <v>38</v>
      </c>
      <c r="Q193" s="145">
        <f>SUMIFS(Table2[NewPointsAway],Table2[GameDate], "&lt;=" &amp; $A193, Table2[AwayTeam], Q$1)+SUMIFS(Table2[NewPointsHome],Table2[GameDate], "&lt;=" &amp; $A193, Table2[HomeTeam], Q$1)</f>
        <v>37</v>
      </c>
      <c r="R193" s="145">
        <f>SUMIFS(Table2[NewPointsAway],Table2[GameDate], "&lt;=" &amp; $A193, Table2[AwayTeam], R$1)+SUMIFS(Table2[NewPointsHome],Table2[GameDate], "&lt;=" &amp; $A193, Table2[HomeTeam], R$1)</f>
        <v>30</v>
      </c>
      <c r="S193" s="145">
        <f>SUMIFS(Table2[NewPointsAway],Table2[GameDate], "&lt;=" &amp; $A193, Table2[AwayTeam], S$1)+SUMIFS(Table2[NewPointsHome],Table2[GameDate], "&lt;=" &amp; $A193, Table2[HomeTeam], S$1)</f>
        <v>41</v>
      </c>
      <c r="T193" s="145">
        <f>SUMIFS(Table2[NewPointsAway],Table2[GameDate], "&lt;=" &amp; $A193, Table2[AwayTeam], T$1)+SUMIFS(Table2[NewPointsHome],Table2[GameDate], "&lt;=" &amp; $A193, Table2[HomeTeam], T$1)</f>
        <v>36</v>
      </c>
      <c r="U193" s="145">
        <f>SUMIFS(Table2[NewPointsAway],Table2[GameDate], "&lt;=" &amp; $A193, Table2[AwayTeam], U$1)+SUMIFS(Table2[NewPointsHome],Table2[GameDate], "&lt;=" &amp; $A193, Table2[HomeTeam], U$1)</f>
        <v>34</v>
      </c>
      <c r="V193" s="145">
        <f>SUMIFS(Table2[NewPointsAway],Table2[GameDate], "&lt;=" &amp; $A193, Table2[AwayTeam], V$1)+SUMIFS(Table2[NewPointsHome],Table2[GameDate], "&lt;=" &amp; $A193, Table2[HomeTeam], V$1)</f>
        <v>39</v>
      </c>
      <c r="W193" s="145">
        <f>SUMIFS(Table2[NewPointsAway],Table2[GameDate], "&lt;=" &amp; $A193, Table2[AwayTeam], W$1)+SUMIFS(Table2[NewPointsHome],Table2[GameDate], "&lt;=" &amp; $A193, Table2[HomeTeam], W$1)</f>
        <v>37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37</v>
      </c>
      <c r="Z193" s="145">
        <f>SUMIFS(Table2[NewPointsAway],Table2[GameDate], "&lt;=" &amp; $A193, Table2[AwayTeam], Z$1)+SUMIFS(Table2[NewPointsHome],Table2[GameDate], "&lt;=" &amp; $A193, Table2[HomeTeam], Z$1)</f>
        <v>32</v>
      </c>
      <c r="AA193" s="145">
        <f>SUMIFS(Table2[NewPointsAway],Table2[GameDate], "&lt;=" &amp; $A193, Table2[AwayTeam], AA$1)+SUMIFS(Table2[NewPointsHome],Table2[GameDate], "&lt;=" &amp; $A193, Table2[HomeTeam], AA$1)</f>
        <v>39</v>
      </c>
      <c r="AB193" s="145">
        <f>SUMIFS(Table2[NewPointsAway],Table2[GameDate], "&lt;=" &amp; $A193, Table2[AwayTeam], AB$1)+SUMIFS(Table2[NewPointsHome],Table2[GameDate], "&lt;=" &amp; $A193, Table2[HomeTeam], AB$1)</f>
        <v>35</v>
      </c>
      <c r="AC193" s="145">
        <f>SUMIFS(Table2[NewPointsAway],Table2[GameDate], "&lt;=" &amp; $A193, Table2[AwayTeam], AC$1)+SUMIFS(Table2[NewPointsHome],Table2[GameDate], "&lt;=" &amp; $A193, Table2[HomeTeam], AC$1)</f>
        <v>35</v>
      </c>
      <c r="AD193" s="145">
        <f>SUMIFS(Table2[NewPointsAway],Table2[GameDate], "&lt;=" &amp; $A193, Table2[AwayTeam], AD$1)+SUMIFS(Table2[NewPointsHome],Table2[GameDate], "&lt;=" &amp; $A193, Table2[HomeTeam], AD$1)</f>
        <v>29</v>
      </c>
      <c r="AE193" s="145">
        <f>SUMIFS(Table2[NewPointsAway],Table2[GameDate], "&lt;=" &amp; $A193, Table2[AwayTeam], AE$1)+SUMIFS(Table2[NewPointsHome],Table2[GameDate], "&lt;=" &amp; $A193, Table2[HomeTeam], AE$1)</f>
        <v>41</v>
      </c>
      <c r="AF193" s="145">
        <f>SUMIFS(Table2[NewPointsAway],Table2[GameDate], "&lt;=" &amp; $A193, Table2[AwayTeam], AF$1)+SUMIFS(Table2[NewPointsHome],Table2[GameDate], "&lt;=" &amp; $A193, Table2[HomeTeam], AF$1)</f>
        <v>32</v>
      </c>
      <c r="AG193" s="145">
        <f>SUMIFS(Table2[NewPointsAway],Table2[GameDate], "&lt;=" &amp; $A193, Table2[AwayTeam], AG$1)+SUMIFS(Table2[NewPointsHome],Table2[GameDate], "&lt;=" &amp; $A193, Table2[HomeTeam], AG$1)</f>
        <v>40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42</v>
      </c>
      <c r="C194" s="145">
        <f>SUMIFS(Table2[NewPointsAway],Table2[GameDate], "&lt;=" &amp; $A194, Table2[AwayTeam], C$1)+SUMIFS(Table2[NewPointsHome],Table2[GameDate], "&lt;=" &amp; $A194, Table2[HomeTeam], C$1)</f>
        <v>40</v>
      </c>
      <c r="D194" s="145">
        <f>SUMIFS(Table2[NewPointsAway],Table2[GameDate], "&lt;=" &amp; $A194, Table2[AwayTeam], D$1)+SUMIFS(Table2[NewPointsHome],Table2[GameDate], "&lt;=" &amp; $A194, Table2[HomeTeam], D$1)</f>
        <v>32</v>
      </c>
      <c r="E194" s="145">
        <f>SUMIFS(Table2[NewPointsAway],Table2[GameDate], "&lt;=" &amp; $A194, Table2[AwayTeam], E$1)+SUMIFS(Table2[NewPointsHome],Table2[GameDate], "&lt;=" &amp; $A194, Table2[HomeTeam], E$1)</f>
        <v>44</v>
      </c>
      <c r="F194" s="145">
        <f>SUMIFS(Table2[NewPointsAway],Table2[GameDate], "&lt;=" &amp; $A194, Table2[AwayTeam], F$1)+SUMIFS(Table2[NewPointsHome],Table2[GameDate], "&lt;=" &amp; $A194, Table2[HomeTeam], F$1)</f>
        <v>34</v>
      </c>
      <c r="G194" s="145">
        <f>SUMIFS(Table2[NewPointsAway],Table2[GameDate], "&lt;=" &amp; $A194, Table2[AwayTeam], G$1)+SUMIFS(Table2[NewPointsHome],Table2[GameDate], "&lt;=" &amp; $A194, Table2[HomeTeam], G$1)</f>
        <v>30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55</v>
      </c>
      <c r="J194" s="145">
        <f>SUMIFS(Table2[NewPointsAway],Table2[GameDate], "&lt;=" &amp; $A194, Table2[AwayTeam], J$1)+SUMIFS(Table2[NewPointsHome],Table2[GameDate], "&lt;=" &amp; $A194, Table2[HomeTeam], J$1)</f>
        <v>49</v>
      </c>
      <c r="K194" s="145">
        <f>SUMIFS(Table2[NewPointsAway],Table2[GameDate], "&lt;=" &amp; $A194, Table2[AwayTeam], K$1)+SUMIFS(Table2[NewPointsHome],Table2[GameDate], "&lt;=" &amp; $A194, Table2[HomeTeam], K$1)</f>
        <v>41</v>
      </c>
      <c r="L194" s="145">
        <f>SUMIFS(Table2[NewPointsAway],Table2[GameDate], "&lt;=" &amp; $A194, Table2[AwayTeam], L$1)+SUMIFS(Table2[NewPointsHome],Table2[GameDate], "&lt;=" &amp; $A194, Table2[HomeTeam], L$1)</f>
        <v>38</v>
      </c>
      <c r="M194" s="145">
        <f>SUMIFS(Table2[NewPointsAway],Table2[GameDate], "&lt;=" &amp; $A194, Table2[AwayTeam], M$1)+SUMIFS(Table2[NewPointsHome],Table2[GameDate], "&lt;=" &amp; $A194, Table2[HomeTeam], M$1)</f>
        <v>36</v>
      </c>
      <c r="N194" s="145">
        <f>SUMIFS(Table2[NewPointsAway],Table2[GameDate], "&lt;=" &amp; $A194, Table2[AwayTeam], N$1)+SUMIFS(Table2[NewPointsHome],Table2[GameDate], "&lt;=" &amp; $A194, Table2[HomeTeam], N$1)</f>
        <v>37</v>
      </c>
      <c r="O194" s="145">
        <f>SUMIFS(Table2[NewPointsAway],Table2[GameDate], "&lt;=" &amp; $A194, Table2[AwayTeam], O$1)+SUMIFS(Table2[NewPointsHome],Table2[GameDate], "&lt;=" &amp; $A194, Table2[HomeTeam], O$1)</f>
        <v>45</v>
      </c>
      <c r="P194" s="145">
        <f>SUMIFS(Table2[NewPointsAway],Table2[GameDate], "&lt;=" &amp; $A194, Table2[AwayTeam], P$1)+SUMIFS(Table2[NewPointsHome],Table2[GameDate], "&lt;=" &amp; $A194, Table2[HomeTeam], P$1)</f>
        <v>38</v>
      </c>
      <c r="Q194" s="145">
        <f>SUMIFS(Table2[NewPointsAway],Table2[GameDate], "&lt;=" &amp; $A194, Table2[AwayTeam], Q$1)+SUMIFS(Table2[NewPointsHome],Table2[GameDate], "&lt;=" &amp; $A194, Table2[HomeTeam], Q$1)</f>
        <v>37</v>
      </c>
      <c r="R194" s="145">
        <f>SUMIFS(Table2[NewPointsAway],Table2[GameDate], "&lt;=" &amp; $A194, Table2[AwayTeam], R$1)+SUMIFS(Table2[NewPointsHome],Table2[GameDate], "&lt;=" &amp; $A194, Table2[HomeTeam], R$1)</f>
        <v>30</v>
      </c>
      <c r="S194" s="145">
        <f>SUMIFS(Table2[NewPointsAway],Table2[GameDate], "&lt;=" &amp; $A194, Table2[AwayTeam], S$1)+SUMIFS(Table2[NewPointsHome],Table2[GameDate], "&lt;=" &amp; $A194, Table2[HomeTeam], S$1)</f>
        <v>41</v>
      </c>
      <c r="T194" s="145">
        <f>SUMIFS(Table2[NewPointsAway],Table2[GameDate], "&lt;=" &amp; $A194, Table2[AwayTeam], T$1)+SUMIFS(Table2[NewPointsHome],Table2[GameDate], "&lt;=" &amp; $A194, Table2[HomeTeam], T$1)</f>
        <v>36</v>
      </c>
      <c r="U194" s="145">
        <f>SUMIFS(Table2[NewPointsAway],Table2[GameDate], "&lt;=" &amp; $A194, Table2[AwayTeam], U$1)+SUMIFS(Table2[NewPointsHome],Table2[GameDate], "&lt;=" &amp; $A194, Table2[HomeTeam], U$1)</f>
        <v>34</v>
      </c>
      <c r="V194" s="145">
        <f>SUMIFS(Table2[NewPointsAway],Table2[GameDate], "&lt;=" &amp; $A194, Table2[AwayTeam], V$1)+SUMIFS(Table2[NewPointsHome],Table2[GameDate], "&lt;=" &amp; $A194, Table2[HomeTeam], V$1)</f>
        <v>39</v>
      </c>
      <c r="W194" s="145">
        <f>SUMIFS(Table2[NewPointsAway],Table2[GameDate], "&lt;=" &amp; $A194, Table2[AwayTeam], W$1)+SUMIFS(Table2[NewPointsHome],Table2[GameDate], "&lt;=" &amp; $A194, Table2[HomeTeam], W$1)</f>
        <v>37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37</v>
      </c>
      <c r="Z194" s="145">
        <f>SUMIFS(Table2[NewPointsAway],Table2[GameDate], "&lt;=" &amp; $A194, Table2[AwayTeam], Z$1)+SUMIFS(Table2[NewPointsHome],Table2[GameDate], "&lt;=" &amp; $A194, Table2[HomeTeam], Z$1)</f>
        <v>32</v>
      </c>
      <c r="AA194" s="145">
        <f>SUMIFS(Table2[NewPointsAway],Table2[GameDate], "&lt;=" &amp; $A194, Table2[AwayTeam], AA$1)+SUMIFS(Table2[NewPointsHome],Table2[GameDate], "&lt;=" &amp; $A194, Table2[HomeTeam], AA$1)</f>
        <v>39</v>
      </c>
      <c r="AB194" s="145">
        <f>SUMIFS(Table2[NewPointsAway],Table2[GameDate], "&lt;=" &amp; $A194, Table2[AwayTeam], AB$1)+SUMIFS(Table2[NewPointsHome],Table2[GameDate], "&lt;=" &amp; $A194, Table2[HomeTeam], AB$1)</f>
        <v>35</v>
      </c>
      <c r="AC194" s="145">
        <f>SUMIFS(Table2[NewPointsAway],Table2[GameDate], "&lt;=" &amp; $A194, Table2[AwayTeam], AC$1)+SUMIFS(Table2[NewPointsHome],Table2[GameDate], "&lt;=" &amp; $A194, Table2[HomeTeam], AC$1)</f>
        <v>35</v>
      </c>
      <c r="AD194" s="145">
        <f>SUMIFS(Table2[NewPointsAway],Table2[GameDate], "&lt;=" &amp; $A194, Table2[AwayTeam], AD$1)+SUMIFS(Table2[NewPointsHome],Table2[GameDate], "&lt;=" &amp; $A194, Table2[HomeTeam], AD$1)</f>
        <v>29</v>
      </c>
      <c r="AE194" s="145">
        <f>SUMIFS(Table2[NewPointsAway],Table2[GameDate], "&lt;=" &amp; $A194, Table2[AwayTeam], AE$1)+SUMIFS(Table2[NewPointsHome],Table2[GameDate], "&lt;=" &amp; $A194, Table2[HomeTeam], AE$1)</f>
        <v>41</v>
      </c>
      <c r="AF194" s="145">
        <f>SUMIFS(Table2[NewPointsAway],Table2[GameDate], "&lt;=" &amp; $A194, Table2[AwayTeam], AF$1)+SUMIFS(Table2[NewPointsHome],Table2[GameDate], "&lt;=" &amp; $A194, Table2[HomeTeam], AF$1)</f>
        <v>32</v>
      </c>
      <c r="AG194" s="145">
        <f>SUMIFS(Table2[NewPointsAway],Table2[GameDate], "&lt;=" &amp; $A194, Table2[AwayTeam], AG$1)+SUMIFS(Table2[NewPointsHome],Table2[GameDate], "&lt;=" &amp; $A194, Table2[HomeTeam], AG$1)</f>
        <v>40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42</v>
      </c>
      <c r="C195" s="145">
        <f>SUMIFS(Table2[NewPointsAway],Table2[GameDate], "&lt;=" &amp; $A195, Table2[AwayTeam], C$1)+SUMIFS(Table2[NewPointsHome],Table2[GameDate], "&lt;=" &amp; $A195, Table2[HomeTeam], C$1)</f>
        <v>40</v>
      </c>
      <c r="D195" s="145">
        <f>SUMIFS(Table2[NewPointsAway],Table2[GameDate], "&lt;=" &amp; $A195, Table2[AwayTeam], D$1)+SUMIFS(Table2[NewPointsHome],Table2[GameDate], "&lt;=" &amp; $A195, Table2[HomeTeam], D$1)</f>
        <v>32</v>
      </c>
      <c r="E195" s="145">
        <f>SUMIFS(Table2[NewPointsAway],Table2[GameDate], "&lt;=" &amp; $A195, Table2[AwayTeam], E$1)+SUMIFS(Table2[NewPointsHome],Table2[GameDate], "&lt;=" &amp; $A195, Table2[HomeTeam], E$1)</f>
        <v>44</v>
      </c>
      <c r="F195" s="145">
        <f>SUMIFS(Table2[NewPointsAway],Table2[GameDate], "&lt;=" &amp; $A195, Table2[AwayTeam], F$1)+SUMIFS(Table2[NewPointsHome],Table2[GameDate], "&lt;=" &amp; $A195, Table2[HomeTeam], F$1)</f>
        <v>34</v>
      </c>
      <c r="G195" s="145">
        <f>SUMIFS(Table2[NewPointsAway],Table2[GameDate], "&lt;=" &amp; $A195, Table2[AwayTeam], G$1)+SUMIFS(Table2[NewPointsHome],Table2[GameDate], "&lt;=" &amp; $A195, Table2[HomeTeam], G$1)</f>
        <v>30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55</v>
      </c>
      <c r="J195" s="145">
        <f>SUMIFS(Table2[NewPointsAway],Table2[GameDate], "&lt;=" &amp; $A195, Table2[AwayTeam], J$1)+SUMIFS(Table2[NewPointsHome],Table2[GameDate], "&lt;=" &amp; $A195, Table2[HomeTeam], J$1)</f>
        <v>49</v>
      </c>
      <c r="K195" s="145">
        <f>SUMIFS(Table2[NewPointsAway],Table2[GameDate], "&lt;=" &amp; $A195, Table2[AwayTeam], K$1)+SUMIFS(Table2[NewPointsHome],Table2[GameDate], "&lt;=" &amp; $A195, Table2[HomeTeam], K$1)</f>
        <v>41</v>
      </c>
      <c r="L195" s="145">
        <f>SUMIFS(Table2[NewPointsAway],Table2[GameDate], "&lt;=" &amp; $A195, Table2[AwayTeam], L$1)+SUMIFS(Table2[NewPointsHome],Table2[GameDate], "&lt;=" &amp; $A195, Table2[HomeTeam], L$1)</f>
        <v>38</v>
      </c>
      <c r="M195" s="145">
        <f>SUMIFS(Table2[NewPointsAway],Table2[GameDate], "&lt;=" &amp; $A195, Table2[AwayTeam], M$1)+SUMIFS(Table2[NewPointsHome],Table2[GameDate], "&lt;=" &amp; $A195, Table2[HomeTeam], M$1)</f>
        <v>36</v>
      </c>
      <c r="N195" s="145">
        <f>SUMIFS(Table2[NewPointsAway],Table2[GameDate], "&lt;=" &amp; $A195, Table2[AwayTeam], N$1)+SUMIFS(Table2[NewPointsHome],Table2[GameDate], "&lt;=" &amp; $A195, Table2[HomeTeam], N$1)</f>
        <v>37</v>
      </c>
      <c r="O195" s="145">
        <f>SUMIFS(Table2[NewPointsAway],Table2[GameDate], "&lt;=" &amp; $A195, Table2[AwayTeam], O$1)+SUMIFS(Table2[NewPointsHome],Table2[GameDate], "&lt;=" &amp; $A195, Table2[HomeTeam], O$1)</f>
        <v>45</v>
      </c>
      <c r="P195" s="145">
        <f>SUMIFS(Table2[NewPointsAway],Table2[GameDate], "&lt;=" &amp; $A195, Table2[AwayTeam], P$1)+SUMIFS(Table2[NewPointsHome],Table2[GameDate], "&lt;=" &amp; $A195, Table2[HomeTeam], P$1)</f>
        <v>38</v>
      </c>
      <c r="Q195" s="145">
        <f>SUMIFS(Table2[NewPointsAway],Table2[GameDate], "&lt;=" &amp; $A195, Table2[AwayTeam], Q$1)+SUMIFS(Table2[NewPointsHome],Table2[GameDate], "&lt;=" &amp; $A195, Table2[HomeTeam], Q$1)</f>
        <v>37</v>
      </c>
      <c r="R195" s="145">
        <f>SUMIFS(Table2[NewPointsAway],Table2[GameDate], "&lt;=" &amp; $A195, Table2[AwayTeam], R$1)+SUMIFS(Table2[NewPointsHome],Table2[GameDate], "&lt;=" &amp; $A195, Table2[HomeTeam], R$1)</f>
        <v>30</v>
      </c>
      <c r="S195" s="145">
        <f>SUMIFS(Table2[NewPointsAway],Table2[GameDate], "&lt;=" &amp; $A195, Table2[AwayTeam], S$1)+SUMIFS(Table2[NewPointsHome],Table2[GameDate], "&lt;=" &amp; $A195, Table2[HomeTeam], S$1)</f>
        <v>41</v>
      </c>
      <c r="T195" s="145">
        <f>SUMIFS(Table2[NewPointsAway],Table2[GameDate], "&lt;=" &amp; $A195, Table2[AwayTeam], T$1)+SUMIFS(Table2[NewPointsHome],Table2[GameDate], "&lt;=" &amp; $A195, Table2[HomeTeam], T$1)</f>
        <v>36</v>
      </c>
      <c r="U195" s="145">
        <f>SUMIFS(Table2[NewPointsAway],Table2[GameDate], "&lt;=" &amp; $A195, Table2[AwayTeam], U$1)+SUMIFS(Table2[NewPointsHome],Table2[GameDate], "&lt;=" &amp; $A195, Table2[HomeTeam], U$1)</f>
        <v>34</v>
      </c>
      <c r="V195" s="145">
        <f>SUMIFS(Table2[NewPointsAway],Table2[GameDate], "&lt;=" &amp; $A195, Table2[AwayTeam], V$1)+SUMIFS(Table2[NewPointsHome],Table2[GameDate], "&lt;=" &amp; $A195, Table2[HomeTeam], V$1)</f>
        <v>39</v>
      </c>
      <c r="W195" s="145">
        <f>SUMIFS(Table2[NewPointsAway],Table2[GameDate], "&lt;=" &amp; $A195, Table2[AwayTeam], W$1)+SUMIFS(Table2[NewPointsHome],Table2[GameDate], "&lt;=" &amp; $A195, Table2[HomeTeam], W$1)</f>
        <v>37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37</v>
      </c>
      <c r="Z195" s="145">
        <f>SUMIFS(Table2[NewPointsAway],Table2[GameDate], "&lt;=" &amp; $A195, Table2[AwayTeam], Z$1)+SUMIFS(Table2[NewPointsHome],Table2[GameDate], "&lt;=" &amp; $A195, Table2[HomeTeam], Z$1)</f>
        <v>32</v>
      </c>
      <c r="AA195" s="145">
        <f>SUMIFS(Table2[NewPointsAway],Table2[GameDate], "&lt;=" &amp; $A195, Table2[AwayTeam], AA$1)+SUMIFS(Table2[NewPointsHome],Table2[GameDate], "&lt;=" &amp; $A195, Table2[HomeTeam], AA$1)</f>
        <v>39</v>
      </c>
      <c r="AB195" s="145">
        <f>SUMIFS(Table2[NewPointsAway],Table2[GameDate], "&lt;=" &amp; $A195, Table2[AwayTeam], AB$1)+SUMIFS(Table2[NewPointsHome],Table2[GameDate], "&lt;=" &amp; $A195, Table2[HomeTeam], AB$1)</f>
        <v>35</v>
      </c>
      <c r="AC195" s="145">
        <f>SUMIFS(Table2[NewPointsAway],Table2[GameDate], "&lt;=" &amp; $A195, Table2[AwayTeam], AC$1)+SUMIFS(Table2[NewPointsHome],Table2[GameDate], "&lt;=" &amp; $A195, Table2[HomeTeam], AC$1)</f>
        <v>35</v>
      </c>
      <c r="AD195" s="145">
        <f>SUMIFS(Table2[NewPointsAway],Table2[GameDate], "&lt;=" &amp; $A195, Table2[AwayTeam], AD$1)+SUMIFS(Table2[NewPointsHome],Table2[GameDate], "&lt;=" &amp; $A195, Table2[HomeTeam], AD$1)</f>
        <v>29</v>
      </c>
      <c r="AE195" s="145">
        <f>SUMIFS(Table2[NewPointsAway],Table2[GameDate], "&lt;=" &amp; $A195, Table2[AwayTeam], AE$1)+SUMIFS(Table2[NewPointsHome],Table2[GameDate], "&lt;=" &amp; $A195, Table2[HomeTeam], AE$1)</f>
        <v>41</v>
      </c>
      <c r="AF195" s="145">
        <f>SUMIFS(Table2[NewPointsAway],Table2[GameDate], "&lt;=" &amp; $A195, Table2[AwayTeam], AF$1)+SUMIFS(Table2[NewPointsHome],Table2[GameDate], "&lt;=" &amp; $A195, Table2[HomeTeam], AF$1)</f>
        <v>32</v>
      </c>
      <c r="AG195" s="145">
        <f>SUMIFS(Table2[NewPointsAway],Table2[GameDate], "&lt;=" &amp; $A195, Table2[AwayTeam], AG$1)+SUMIFS(Table2[NewPointsHome],Table2[GameDate], "&lt;=" &amp; $A195, Table2[HomeTeam], AG$1)</f>
        <v>40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42</v>
      </c>
      <c r="C196" s="145">
        <f>SUMIFS(Table2[NewPointsAway],Table2[GameDate], "&lt;=" &amp; $A196, Table2[AwayTeam], C$1)+SUMIFS(Table2[NewPointsHome],Table2[GameDate], "&lt;=" &amp; $A196, Table2[HomeTeam], C$1)</f>
        <v>40</v>
      </c>
      <c r="D196" s="145">
        <f>SUMIFS(Table2[NewPointsAway],Table2[GameDate], "&lt;=" &amp; $A196, Table2[AwayTeam], D$1)+SUMIFS(Table2[NewPointsHome],Table2[GameDate], "&lt;=" &amp; $A196, Table2[HomeTeam], D$1)</f>
        <v>32</v>
      </c>
      <c r="E196" s="145">
        <f>SUMIFS(Table2[NewPointsAway],Table2[GameDate], "&lt;=" &amp; $A196, Table2[AwayTeam], E$1)+SUMIFS(Table2[NewPointsHome],Table2[GameDate], "&lt;=" &amp; $A196, Table2[HomeTeam], E$1)</f>
        <v>44</v>
      </c>
      <c r="F196" s="145">
        <f>SUMIFS(Table2[NewPointsAway],Table2[GameDate], "&lt;=" &amp; $A196, Table2[AwayTeam], F$1)+SUMIFS(Table2[NewPointsHome],Table2[GameDate], "&lt;=" &amp; $A196, Table2[HomeTeam], F$1)</f>
        <v>34</v>
      </c>
      <c r="G196" s="145">
        <f>SUMIFS(Table2[NewPointsAway],Table2[GameDate], "&lt;=" &amp; $A196, Table2[AwayTeam], G$1)+SUMIFS(Table2[NewPointsHome],Table2[GameDate], "&lt;=" &amp; $A196, Table2[HomeTeam], G$1)</f>
        <v>30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55</v>
      </c>
      <c r="J196" s="145">
        <f>SUMIFS(Table2[NewPointsAway],Table2[GameDate], "&lt;=" &amp; $A196, Table2[AwayTeam], J$1)+SUMIFS(Table2[NewPointsHome],Table2[GameDate], "&lt;=" &amp; $A196, Table2[HomeTeam], J$1)</f>
        <v>49</v>
      </c>
      <c r="K196" s="145">
        <f>SUMIFS(Table2[NewPointsAway],Table2[GameDate], "&lt;=" &amp; $A196, Table2[AwayTeam], K$1)+SUMIFS(Table2[NewPointsHome],Table2[GameDate], "&lt;=" &amp; $A196, Table2[HomeTeam], K$1)</f>
        <v>41</v>
      </c>
      <c r="L196" s="145">
        <f>SUMIFS(Table2[NewPointsAway],Table2[GameDate], "&lt;=" &amp; $A196, Table2[AwayTeam], L$1)+SUMIFS(Table2[NewPointsHome],Table2[GameDate], "&lt;=" &amp; $A196, Table2[HomeTeam], L$1)</f>
        <v>38</v>
      </c>
      <c r="M196" s="145">
        <f>SUMIFS(Table2[NewPointsAway],Table2[GameDate], "&lt;=" &amp; $A196, Table2[AwayTeam], M$1)+SUMIFS(Table2[NewPointsHome],Table2[GameDate], "&lt;=" &amp; $A196, Table2[HomeTeam], M$1)</f>
        <v>36</v>
      </c>
      <c r="N196" s="145">
        <f>SUMIFS(Table2[NewPointsAway],Table2[GameDate], "&lt;=" &amp; $A196, Table2[AwayTeam], N$1)+SUMIFS(Table2[NewPointsHome],Table2[GameDate], "&lt;=" &amp; $A196, Table2[HomeTeam], N$1)</f>
        <v>37</v>
      </c>
      <c r="O196" s="145">
        <f>SUMIFS(Table2[NewPointsAway],Table2[GameDate], "&lt;=" &amp; $A196, Table2[AwayTeam], O$1)+SUMIFS(Table2[NewPointsHome],Table2[GameDate], "&lt;=" &amp; $A196, Table2[HomeTeam], O$1)</f>
        <v>45</v>
      </c>
      <c r="P196" s="145">
        <f>SUMIFS(Table2[NewPointsAway],Table2[GameDate], "&lt;=" &amp; $A196, Table2[AwayTeam], P$1)+SUMIFS(Table2[NewPointsHome],Table2[GameDate], "&lt;=" &amp; $A196, Table2[HomeTeam], P$1)</f>
        <v>38</v>
      </c>
      <c r="Q196" s="145">
        <f>SUMIFS(Table2[NewPointsAway],Table2[GameDate], "&lt;=" &amp; $A196, Table2[AwayTeam], Q$1)+SUMIFS(Table2[NewPointsHome],Table2[GameDate], "&lt;=" &amp; $A196, Table2[HomeTeam], Q$1)</f>
        <v>37</v>
      </c>
      <c r="R196" s="145">
        <f>SUMIFS(Table2[NewPointsAway],Table2[GameDate], "&lt;=" &amp; $A196, Table2[AwayTeam], R$1)+SUMIFS(Table2[NewPointsHome],Table2[GameDate], "&lt;=" &amp; $A196, Table2[HomeTeam], R$1)</f>
        <v>30</v>
      </c>
      <c r="S196" s="145">
        <f>SUMIFS(Table2[NewPointsAway],Table2[GameDate], "&lt;=" &amp; $A196, Table2[AwayTeam], S$1)+SUMIFS(Table2[NewPointsHome],Table2[GameDate], "&lt;=" &amp; $A196, Table2[HomeTeam], S$1)</f>
        <v>41</v>
      </c>
      <c r="T196" s="145">
        <f>SUMIFS(Table2[NewPointsAway],Table2[GameDate], "&lt;=" &amp; $A196, Table2[AwayTeam], T$1)+SUMIFS(Table2[NewPointsHome],Table2[GameDate], "&lt;=" &amp; $A196, Table2[HomeTeam], T$1)</f>
        <v>36</v>
      </c>
      <c r="U196" s="145">
        <f>SUMIFS(Table2[NewPointsAway],Table2[GameDate], "&lt;=" &amp; $A196, Table2[AwayTeam], U$1)+SUMIFS(Table2[NewPointsHome],Table2[GameDate], "&lt;=" &amp; $A196, Table2[HomeTeam], U$1)</f>
        <v>34</v>
      </c>
      <c r="V196" s="145">
        <f>SUMIFS(Table2[NewPointsAway],Table2[GameDate], "&lt;=" &amp; $A196, Table2[AwayTeam], V$1)+SUMIFS(Table2[NewPointsHome],Table2[GameDate], "&lt;=" &amp; $A196, Table2[HomeTeam], V$1)</f>
        <v>39</v>
      </c>
      <c r="W196" s="145">
        <f>SUMIFS(Table2[NewPointsAway],Table2[GameDate], "&lt;=" &amp; $A196, Table2[AwayTeam], W$1)+SUMIFS(Table2[NewPointsHome],Table2[GameDate], "&lt;=" &amp; $A196, Table2[HomeTeam], W$1)</f>
        <v>37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37</v>
      </c>
      <c r="Z196" s="145">
        <f>SUMIFS(Table2[NewPointsAway],Table2[GameDate], "&lt;=" &amp; $A196, Table2[AwayTeam], Z$1)+SUMIFS(Table2[NewPointsHome],Table2[GameDate], "&lt;=" &amp; $A196, Table2[HomeTeam], Z$1)</f>
        <v>32</v>
      </c>
      <c r="AA196" s="145">
        <f>SUMIFS(Table2[NewPointsAway],Table2[GameDate], "&lt;=" &amp; $A196, Table2[AwayTeam], AA$1)+SUMIFS(Table2[NewPointsHome],Table2[GameDate], "&lt;=" &amp; $A196, Table2[HomeTeam], AA$1)</f>
        <v>39</v>
      </c>
      <c r="AB196" s="145">
        <f>SUMIFS(Table2[NewPointsAway],Table2[GameDate], "&lt;=" &amp; $A196, Table2[AwayTeam], AB$1)+SUMIFS(Table2[NewPointsHome],Table2[GameDate], "&lt;=" &amp; $A196, Table2[HomeTeam], AB$1)</f>
        <v>35</v>
      </c>
      <c r="AC196" s="145">
        <f>SUMIFS(Table2[NewPointsAway],Table2[GameDate], "&lt;=" &amp; $A196, Table2[AwayTeam], AC$1)+SUMIFS(Table2[NewPointsHome],Table2[GameDate], "&lt;=" &amp; $A196, Table2[HomeTeam], AC$1)</f>
        <v>35</v>
      </c>
      <c r="AD196" s="145">
        <f>SUMIFS(Table2[NewPointsAway],Table2[GameDate], "&lt;=" &amp; $A196, Table2[AwayTeam], AD$1)+SUMIFS(Table2[NewPointsHome],Table2[GameDate], "&lt;=" &amp; $A196, Table2[HomeTeam], AD$1)</f>
        <v>29</v>
      </c>
      <c r="AE196" s="145">
        <f>SUMIFS(Table2[NewPointsAway],Table2[GameDate], "&lt;=" &amp; $A196, Table2[AwayTeam], AE$1)+SUMIFS(Table2[NewPointsHome],Table2[GameDate], "&lt;=" &amp; $A196, Table2[HomeTeam], AE$1)</f>
        <v>41</v>
      </c>
      <c r="AF196" s="145">
        <f>SUMIFS(Table2[NewPointsAway],Table2[GameDate], "&lt;=" &amp; $A196, Table2[AwayTeam], AF$1)+SUMIFS(Table2[NewPointsHome],Table2[GameDate], "&lt;=" &amp; $A196, Table2[HomeTeam], AF$1)</f>
        <v>32</v>
      </c>
      <c r="AG196" s="145">
        <f>SUMIFS(Table2[NewPointsAway],Table2[GameDate], "&lt;=" &amp; $A196, Table2[AwayTeam], AG$1)+SUMIFS(Table2[NewPointsHome],Table2[GameDate], "&lt;=" &amp; $A196, Table2[HomeTeam], AG$1)</f>
        <v>40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42</v>
      </c>
      <c r="C197" s="145">
        <f>SUMIFS(Table2[NewPointsAway],Table2[GameDate], "&lt;=" &amp; $A197, Table2[AwayTeam], C$1)+SUMIFS(Table2[NewPointsHome],Table2[GameDate], "&lt;=" &amp; $A197, Table2[HomeTeam], C$1)</f>
        <v>40</v>
      </c>
      <c r="D197" s="145">
        <f>SUMIFS(Table2[NewPointsAway],Table2[GameDate], "&lt;=" &amp; $A197, Table2[AwayTeam], D$1)+SUMIFS(Table2[NewPointsHome],Table2[GameDate], "&lt;=" &amp; $A197, Table2[HomeTeam], D$1)</f>
        <v>32</v>
      </c>
      <c r="E197" s="145">
        <f>SUMIFS(Table2[NewPointsAway],Table2[GameDate], "&lt;=" &amp; $A197, Table2[AwayTeam], E$1)+SUMIFS(Table2[NewPointsHome],Table2[GameDate], "&lt;=" &amp; $A197, Table2[HomeTeam], E$1)</f>
        <v>44</v>
      </c>
      <c r="F197" s="145">
        <f>SUMIFS(Table2[NewPointsAway],Table2[GameDate], "&lt;=" &amp; $A197, Table2[AwayTeam], F$1)+SUMIFS(Table2[NewPointsHome],Table2[GameDate], "&lt;=" &amp; $A197, Table2[HomeTeam], F$1)</f>
        <v>34</v>
      </c>
      <c r="G197" s="145">
        <f>SUMIFS(Table2[NewPointsAway],Table2[GameDate], "&lt;=" &amp; $A197, Table2[AwayTeam], G$1)+SUMIFS(Table2[NewPointsHome],Table2[GameDate], "&lt;=" &amp; $A197, Table2[HomeTeam], G$1)</f>
        <v>30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55</v>
      </c>
      <c r="J197" s="145">
        <f>SUMIFS(Table2[NewPointsAway],Table2[GameDate], "&lt;=" &amp; $A197, Table2[AwayTeam], J$1)+SUMIFS(Table2[NewPointsHome],Table2[GameDate], "&lt;=" &amp; $A197, Table2[HomeTeam], J$1)</f>
        <v>49</v>
      </c>
      <c r="K197" s="145">
        <f>SUMIFS(Table2[NewPointsAway],Table2[GameDate], "&lt;=" &amp; $A197, Table2[AwayTeam], K$1)+SUMIFS(Table2[NewPointsHome],Table2[GameDate], "&lt;=" &amp; $A197, Table2[HomeTeam], K$1)</f>
        <v>41</v>
      </c>
      <c r="L197" s="145">
        <f>SUMIFS(Table2[NewPointsAway],Table2[GameDate], "&lt;=" &amp; $A197, Table2[AwayTeam], L$1)+SUMIFS(Table2[NewPointsHome],Table2[GameDate], "&lt;=" &amp; $A197, Table2[HomeTeam], L$1)</f>
        <v>38</v>
      </c>
      <c r="M197" s="145">
        <f>SUMIFS(Table2[NewPointsAway],Table2[GameDate], "&lt;=" &amp; $A197, Table2[AwayTeam], M$1)+SUMIFS(Table2[NewPointsHome],Table2[GameDate], "&lt;=" &amp; $A197, Table2[HomeTeam], M$1)</f>
        <v>36</v>
      </c>
      <c r="N197" s="145">
        <f>SUMIFS(Table2[NewPointsAway],Table2[GameDate], "&lt;=" &amp; $A197, Table2[AwayTeam], N$1)+SUMIFS(Table2[NewPointsHome],Table2[GameDate], "&lt;=" &amp; $A197, Table2[HomeTeam], N$1)</f>
        <v>37</v>
      </c>
      <c r="O197" s="145">
        <f>SUMIFS(Table2[NewPointsAway],Table2[GameDate], "&lt;=" &amp; $A197, Table2[AwayTeam], O$1)+SUMIFS(Table2[NewPointsHome],Table2[GameDate], "&lt;=" &amp; $A197, Table2[HomeTeam], O$1)</f>
        <v>45</v>
      </c>
      <c r="P197" s="145">
        <f>SUMIFS(Table2[NewPointsAway],Table2[GameDate], "&lt;=" &amp; $A197, Table2[AwayTeam], P$1)+SUMIFS(Table2[NewPointsHome],Table2[GameDate], "&lt;=" &amp; $A197, Table2[HomeTeam], P$1)</f>
        <v>38</v>
      </c>
      <c r="Q197" s="145">
        <f>SUMIFS(Table2[NewPointsAway],Table2[GameDate], "&lt;=" &amp; $A197, Table2[AwayTeam], Q$1)+SUMIFS(Table2[NewPointsHome],Table2[GameDate], "&lt;=" &amp; $A197, Table2[HomeTeam], Q$1)</f>
        <v>37</v>
      </c>
      <c r="R197" s="145">
        <f>SUMIFS(Table2[NewPointsAway],Table2[GameDate], "&lt;=" &amp; $A197, Table2[AwayTeam], R$1)+SUMIFS(Table2[NewPointsHome],Table2[GameDate], "&lt;=" &amp; $A197, Table2[HomeTeam], R$1)</f>
        <v>30</v>
      </c>
      <c r="S197" s="145">
        <f>SUMIFS(Table2[NewPointsAway],Table2[GameDate], "&lt;=" &amp; $A197, Table2[AwayTeam], S$1)+SUMIFS(Table2[NewPointsHome],Table2[GameDate], "&lt;=" &amp; $A197, Table2[HomeTeam], S$1)</f>
        <v>41</v>
      </c>
      <c r="T197" s="145">
        <f>SUMIFS(Table2[NewPointsAway],Table2[GameDate], "&lt;=" &amp; $A197, Table2[AwayTeam], T$1)+SUMIFS(Table2[NewPointsHome],Table2[GameDate], "&lt;=" &amp; $A197, Table2[HomeTeam], T$1)</f>
        <v>36</v>
      </c>
      <c r="U197" s="145">
        <f>SUMIFS(Table2[NewPointsAway],Table2[GameDate], "&lt;=" &amp; $A197, Table2[AwayTeam], U$1)+SUMIFS(Table2[NewPointsHome],Table2[GameDate], "&lt;=" &amp; $A197, Table2[HomeTeam], U$1)</f>
        <v>34</v>
      </c>
      <c r="V197" s="145">
        <f>SUMIFS(Table2[NewPointsAway],Table2[GameDate], "&lt;=" &amp; $A197, Table2[AwayTeam], V$1)+SUMIFS(Table2[NewPointsHome],Table2[GameDate], "&lt;=" &amp; $A197, Table2[HomeTeam], V$1)</f>
        <v>39</v>
      </c>
      <c r="W197" s="145">
        <f>SUMIFS(Table2[NewPointsAway],Table2[GameDate], "&lt;=" &amp; $A197, Table2[AwayTeam], W$1)+SUMIFS(Table2[NewPointsHome],Table2[GameDate], "&lt;=" &amp; $A197, Table2[HomeTeam], W$1)</f>
        <v>37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37</v>
      </c>
      <c r="Z197" s="145">
        <f>SUMIFS(Table2[NewPointsAway],Table2[GameDate], "&lt;=" &amp; $A197, Table2[AwayTeam], Z$1)+SUMIFS(Table2[NewPointsHome],Table2[GameDate], "&lt;=" &amp; $A197, Table2[HomeTeam], Z$1)</f>
        <v>32</v>
      </c>
      <c r="AA197" s="145">
        <f>SUMIFS(Table2[NewPointsAway],Table2[GameDate], "&lt;=" &amp; $A197, Table2[AwayTeam], AA$1)+SUMIFS(Table2[NewPointsHome],Table2[GameDate], "&lt;=" &amp; $A197, Table2[HomeTeam], AA$1)</f>
        <v>39</v>
      </c>
      <c r="AB197" s="145">
        <f>SUMIFS(Table2[NewPointsAway],Table2[GameDate], "&lt;=" &amp; $A197, Table2[AwayTeam], AB$1)+SUMIFS(Table2[NewPointsHome],Table2[GameDate], "&lt;=" &amp; $A197, Table2[HomeTeam], AB$1)</f>
        <v>35</v>
      </c>
      <c r="AC197" s="145">
        <f>SUMIFS(Table2[NewPointsAway],Table2[GameDate], "&lt;=" &amp; $A197, Table2[AwayTeam], AC$1)+SUMIFS(Table2[NewPointsHome],Table2[GameDate], "&lt;=" &amp; $A197, Table2[HomeTeam], AC$1)</f>
        <v>35</v>
      </c>
      <c r="AD197" s="145">
        <f>SUMIFS(Table2[NewPointsAway],Table2[GameDate], "&lt;=" &amp; $A197, Table2[AwayTeam], AD$1)+SUMIFS(Table2[NewPointsHome],Table2[GameDate], "&lt;=" &amp; $A197, Table2[HomeTeam], AD$1)</f>
        <v>29</v>
      </c>
      <c r="AE197" s="145">
        <f>SUMIFS(Table2[NewPointsAway],Table2[GameDate], "&lt;=" &amp; $A197, Table2[AwayTeam], AE$1)+SUMIFS(Table2[NewPointsHome],Table2[GameDate], "&lt;=" &amp; $A197, Table2[HomeTeam], AE$1)</f>
        <v>41</v>
      </c>
      <c r="AF197" s="145">
        <f>SUMIFS(Table2[NewPointsAway],Table2[GameDate], "&lt;=" &amp; $A197, Table2[AwayTeam], AF$1)+SUMIFS(Table2[NewPointsHome],Table2[GameDate], "&lt;=" &amp; $A197, Table2[HomeTeam], AF$1)</f>
        <v>32</v>
      </c>
      <c r="AG197" s="145">
        <f>SUMIFS(Table2[NewPointsAway],Table2[GameDate], "&lt;=" &amp; $A197, Table2[AwayTeam], AG$1)+SUMIFS(Table2[NewPointsHome],Table2[GameDate], "&lt;=" &amp; $A197, Table2[HomeTeam], AG$1)</f>
        <v>40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42</v>
      </c>
      <c r="C198" s="145">
        <f>SUMIFS(Table2[NewPointsAway],Table2[GameDate], "&lt;=" &amp; $A198, Table2[AwayTeam], C$1)+SUMIFS(Table2[NewPointsHome],Table2[GameDate], "&lt;=" &amp; $A198, Table2[HomeTeam], C$1)</f>
        <v>40</v>
      </c>
      <c r="D198" s="145">
        <f>SUMIFS(Table2[NewPointsAway],Table2[GameDate], "&lt;=" &amp; $A198, Table2[AwayTeam], D$1)+SUMIFS(Table2[NewPointsHome],Table2[GameDate], "&lt;=" &amp; $A198, Table2[HomeTeam], D$1)</f>
        <v>32</v>
      </c>
      <c r="E198" s="145">
        <f>SUMIFS(Table2[NewPointsAway],Table2[GameDate], "&lt;=" &amp; $A198, Table2[AwayTeam], E$1)+SUMIFS(Table2[NewPointsHome],Table2[GameDate], "&lt;=" &amp; $A198, Table2[HomeTeam], E$1)</f>
        <v>44</v>
      </c>
      <c r="F198" s="145">
        <f>SUMIFS(Table2[NewPointsAway],Table2[GameDate], "&lt;=" &amp; $A198, Table2[AwayTeam], F$1)+SUMIFS(Table2[NewPointsHome],Table2[GameDate], "&lt;=" &amp; $A198, Table2[HomeTeam], F$1)</f>
        <v>34</v>
      </c>
      <c r="G198" s="145">
        <f>SUMIFS(Table2[NewPointsAway],Table2[GameDate], "&lt;=" &amp; $A198, Table2[AwayTeam], G$1)+SUMIFS(Table2[NewPointsHome],Table2[GameDate], "&lt;=" &amp; $A198, Table2[HomeTeam], G$1)</f>
        <v>30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55</v>
      </c>
      <c r="J198" s="145">
        <f>SUMIFS(Table2[NewPointsAway],Table2[GameDate], "&lt;=" &amp; $A198, Table2[AwayTeam], J$1)+SUMIFS(Table2[NewPointsHome],Table2[GameDate], "&lt;=" &amp; $A198, Table2[HomeTeam], J$1)</f>
        <v>49</v>
      </c>
      <c r="K198" s="145">
        <f>SUMIFS(Table2[NewPointsAway],Table2[GameDate], "&lt;=" &amp; $A198, Table2[AwayTeam], K$1)+SUMIFS(Table2[NewPointsHome],Table2[GameDate], "&lt;=" &amp; $A198, Table2[HomeTeam], K$1)</f>
        <v>41</v>
      </c>
      <c r="L198" s="145">
        <f>SUMIFS(Table2[NewPointsAway],Table2[GameDate], "&lt;=" &amp; $A198, Table2[AwayTeam], L$1)+SUMIFS(Table2[NewPointsHome],Table2[GameDate], "&lt;=" &amp; $A198, Table2[HomeTeam], L$1)</f>
        <v>38</v>
      </c>
      <c r="M198" s="145">
        <f>SUMIFS(Table2[NewPointsAway],Table2[GameDate], "&lt;=" &amp; $A198, Table2[AwayTeam], M$1)+SUMIFS(Table2[NewPointsHome],Table2[GameDate], "&lt;=" &amp; $A198, Table2[HomeTeam], M$1)</f>
        <v>36</v>
      </c>
      <c r="N198" s="145">
        <f>SUMIFS(Table2[NewPointsAway],Table2[GameDate], "&lt;=" &amp; $A198, Table2[AwayTeam], N$1)+SUMIFS(Table2[NewPointsHome],Table2[GameDate], "&lt;=" &amp; $A198, Table2[HomeTeam], N$1)</f>
        <v>37</v>
      </c>
      <c r="O198" s="145">
        <f>SUMIFS(Table2[NewPointsAway],Table2[GameDate], "&lt;=" &amp; $A198, Table2[AwayTeam], O$1)+SUMIFS(Table2[NewPointsHome],Table2[GameDate], "&lt;=" &amp; $A198, Table2[HomeTeam], O$1)</f>
        <v>45</v>
      </c>
      <c r="P198" s="145">
        <f>SUMIFS(Table2[NewPointsAway],Table2[GameDate], "&lt;=" &amp; $A198, Table2[AwayTeam], P$1)+SUMIFS(Table2[NewPointsHome],Table2[GameDate], "&lt;=" &amp; $A198, Table2[HomeTeam], P$1)</f>
        <v>38</v>
      </c>
      <c r="Q198" s="145">
        <f>SUMIFS(Table2[NewPointsAway],Table2[GameDate], "&lt;=" &amp; $A198, Table2[AwayTeam], Q$1)+SUMIFS(Table2[NewPointsHome],Table2[GameDate], "&lt;=" &amp; $A198, Table2[HomeTeam], Q$1)</f>
        <v>37</v>
      </c>
      <c r="R198" s="145">
        <f>SUMIFS(Table2[NewPointsAway],Table2[GameDate], "&lt;=" &amp; $A198, Table2[AwayTeam], R$1)+SUMIFS(Table2[NewPointsHome],Table2[GameDate], "&lt;=" &amp; $A198, Table2[HomeTeam], R$1)</f>
        <v>30</v>
      </c>
      <c r="S198" s="145">
        <f>SUMIFS(Table2[NewPointsAway],Table2[GameDate], "&lt;=" &amp; $A198, Table2[AwayTeam], S$1)+SUMIFS(Table2[NewPointsHome],Table2[GameDate], "&lt;=" &amp; $A198, Table2[HomeTeam], S$1)</f>
        <v>41</v>
      </c>
      <c r="T198" s="145">
        <f>SUMIFS(Table2[NewPointsAway],Table2[GameDate], "&lt;=" &amp; $A198, Table2[AwayTeam], T$1)+SUMIFS(Table2[NewPointsHome],Table2[GameDate], "&lt;=" &amp; $A198, Table2[HomeTeam], T$1)</f>
        <v>36</v>
      </c>
      <c r="U198" s="145">
        <f>SUMIFS(Table2[NewPointsAway],Table2[GameDate], "&lt;=" &amp; $A198, Table2[AwayTeam], U$1)+SUMIFS(Table2[NewPointsHome],Table2[GameDate], "&lt;=" &amp; $A198, Table2[HomeTeam], U$1)</f>
        <v>34</v>
      </c>
      <c r="V198" s="145">
        <f>SUMIFS(Table2[NewPointsAway],Table2[GameDate], "&lt;=" &amp; $A198, Table2[AwayTeam], V$1)+SUMIFS(Table2[NewPointsHome],Table2[GameDate], "&lt;=" &amp; $A198, Table2[HomeTeam], V$1)</f>
        <v>39</v>
      </c>
      <c r="W198" s="145">
        <f>SUMIFS(Table2[NewPointsAway],Table2[GameDate], "&lt;=" &amp; $A198, Table2[AwayTeam], W$1)+SUMIFS(Table2[NewPointsHome],Table2[GameDate], "&lt;=" &amp; $A198, Table2[HomeTeam], W$1)</f>
        <v>37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37</v>
      </c>
      <c r="Z198" s="145">
        <f>SUMIFS(Table2[NewPointsAway],Table2[GameDate], "&lt;=" &amp; $A198, Table2[AwayTeam], Z$1)+SUMIFS(Table2[NewPointsHome],Table2[GameDate], "&lt;=" &amp; $A198, Table2[HomeTeam], Z$1)</f>
        <v>32</v>
      </c>
      <c r="AA198" s="145">
        <f>SUMIFS(Table2[NewPointsAway],Table2[GameDate], "&lt;=" &amp; $A198, Table2[AwayTeam], AA$1)+SUMIFS(Table2[NewPointsHome],Table2[GameDate], "&lt;=" &amp; $A198, Table2[HomeTeam], AA$1)</f>
        <v>39</v>
      </c>
      <c r="AB198" s="145">
        <f>SUMIFS(Table2[NewPointsAway],Table2[GameDate], "&lt;=" &amp; $A198, Table2[AwayTeam], AB$1)+SUMIFS(Table2[NewPointsHome],Table2[GameDate], "&lt;=" &amp; $A198, Table2[HomeTeam], AB$1)</f>
        <v>35</v>
      </c>
      <c r="AC198" s="145">
        <f>SUMIFS(Table2[NewPointsAway],Table2[GameDate], "&lt;=" &amp; $A198, Table2[AwayTeam], AC$1)+SUMIFS(Table2[NewPointsHome],Table2[GameDate], "&lt;=" &amp; $A198, Table2[HomeTeam], AC$1)</f>
        <v>35</v>
      </c>
      <c r="AD198" s="145">
        <f>SUMIFS(Table2[NewPointsAway],Table2[GameDate], "&lt;=" &amp; $A198, Table2[AwayTeam], AD$1)+SUMIFS(Table2[NewPointsHome],Table2[GameDate], "&lt;=" &amp; $A198, Table2[HomeTeam], AD$1)</f>
        <v>29</v>
      </c>
      <c r="AE198" s="145">
        <f>SUMIFS(Table2[NewPointsAway],Table2[GameDate], "&lt;=" &amp; $A198, Table2[AwayTeam], AE$1)+SUMIFS(Table2[NewPointsHome],Table2[GameDate], "&lt;=" &amp; $A198, Table2[HomeTeam], AE$1)</f>
        <v>41</v>
      </c>
      <c r="AF198" s="145">
        <f>SUMIFS(Table2[NewPointsAway],Table2[GameDate], "&lt;=" &amp; $A198, Table2[AwayTeam], AF$1)+SUMIFS(Table2[NewPointsHome],Table2[GameDate], "&lt;=" &amp; $A198, Table2[HomeTeam], AF$1)</f>
        <v>32</v>
      </c>
      <c r="AG198" s="145">
        <f>SUMIFS(Table2[NewPointsAway],Table2[GameDate], "&lt;=" &amp; $A198, Table2[AwayTeam], AG$1)+SUMIFS(Table2[NewPointsHome],Table2[GameDate], "&lt;=" &amp; $A198, Table2[HomeTeam], AG$1)</f>
        <v>40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42</v>
      </c>
      <c r="C199" s="145">
        <f>SUMIFS(Table2[NewPointsAway],Table2[GameDate], "&lt;=" &amp; $A199, Table2[AwayTeam], C$1)+SUMIFS(Table2[NewPointsHome],Table2[GameDate], "&lt;=" &amp; $A199, Table2[HomeTeam], C$1)</f>
        <v>40</v>
      </c>
      <c r="D199" s="145">
        <f>SUMIFS(Table2[NewPointsAway],Table2[GameDate], "&lt;=" &amp; $A199, Table2[AwayTeam], D$1)+SUMIFS(Table2[NewPointsHome],Table2[GameDate], "&lt;=" &amp; $A199, Table2[HomeTeam], D$1)</f>
        <v>32</v>
      </c>
      <c r="E199" s="145">
        <f>SUMIFS(Table2[NewPointsAway],Table2[GameDate], "&lt;=" &amp; $A199, Table2[AwayTeam], E$1)+SUMIFS(Table2[NewPointsHome],Table2[GameDate], "&lt;=" &amp; $A199, Table2[HomeTeam], E$1)</f>
        <v>44</v>
      </c>
      <c r="F199" s="145">
        <f>SUMIFS(Table2[NewPointsAway],Table2[GameDate], "&lt;=" &amp; $A199, Table2[AwayTeam], F$1)+SUMIFS(Table2[NewPointsHome],Table2[GameDate], "&lt;=" &amp; $A199, Table2[HomeTeam], F$1)</f>
        <v>34</v>
      </c>
      <c r="G199" s="145">
        <f>SUMIFS(Table2[NewPointsAway],Table2[GameDate], "&lt;=" &amp; $A199, Table2[AwayTeam], G$1)+SUMIFS(Table2[NewPointsHome],Table2[GameDate], "&lt;=" &amp; $A199, Table2[HomeTeam], G$1)</f>
        <v>30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55</v>
      </c>
      <c r="J199" s="145">
        <f>SUMIFS(Table2[NewPointsAway],Table2[GameDate], "&lt;=" &amp; $A199, Table2[AwayTeam], J$1)+SUMIFS(Table2[NewPointsHome],Table2[GameDate], "&lt;=" &amp; $A199, Table2[HomeTeam], J$1)</f>
        <v>49</v>
      </c>
      <c r="K199" s="145">
        <f>SUMIFS(Table2[NewPointsAway],Table2[GameDate], "&lt;=" &amp; $A199, Table2[AwayTeam], K$1)+SUMIFS(Table2[NewPointsHome],Table2[GameDate], "&lt;=" &amp; $A199, Table2[HomeTeam], K$1)</f>
        <v>41</v>
      </c>
      <c r="L199" s="145">
        <f>SUMIFS(Table2[NewPointsAway],Table2[GameDate], "&lt;=" &amp; $A199, Table2[AwayTeam], L$1)+SUMIFS(Table2[NewPointsHome],Table2[GameDate], "&lt;=" &amp; $A199, Table2[HomeTeam], L$1)</f>
        <v>38</v>
      </c>
      <c r="M199" s="145">
        <f>SUMIFS(Table2[NewPointsAway],Table2[GameDate], "&lt;=" &amp; $A199, Table2[AwayTeam], M$1)+SUMIFS(Table2[NewPointsHome],Table2[GameDate], "&lt;=" &amp; $A199, Table2[HomeTeam], M$1)</f>
        <v>36</v>
      </c>
      <c r="N199" s="145">
        <f>SUMIFS(Table2[NewPointsAway],Table2[GameDate], "&lt;=" &amp; $A199, Table2[AwayTeam], N$1)+SUMIFS(Table2[NewPointsHome],Table2[GameDate], "&lt;=" &amp; $A199, Table2[HomeTeam], N$1)</f>
        <v>37</v>
      </c>
      <c r="O199" s="145">
        <f>SUMIFS(Table2[NewPointsAway],Table2[GameDate], "&lt;=" &amp; $A199, Table2[AwayTeam], O$1)+SUMIFS(Table2[NewPointsHome],Table2[GameDate], "&lt;=" &amp; $A199, Table2[HomeTeam], O$1)</f>
        <v>45</v>
      </c>
      <c r="P199" s="145">
        <f>SUMIFS(Table2[NewPointsAway],Table2[GameDate], "&lt;=" &amp; $A199, Table2[AwayTeam], P$1)+SUMIFS(Table2[NewPointsHome],Table2[GameDate], "&lt;=" &amp; $A199, Table2[HomeTeam], P$1)</f>
        <v>38</v>
      </c>
      <c r="Q199" s="145">
        <f>SUMIFS(Table2[NewPointsAway],Table2[GameDate], "&lt;=" &amp; $A199, Table2[AwayTeam], Q$1)+SUMIFS(Table2[NewPointsHome],Table2[GameDate], "&lt;=" &amp; $A199, Table2[HomeTeam], Q$1)</f>
        <v>37</v>
      </c>
      <c r="R199" s="145">
        <f>SUMIFS(Table2[NewPointsAway],Table2[GameDate], "&lt;=" &amp; $A199, Table2[AwayTeam], R$1)+SUMIFS(Table2[NewPointsHome],Table2[GameDate], "&lt;=" &amp; $A199, Table2[HomeTeam], R$1)</f>
        <v>30</v>
      </c>
      <c r="S199" s="145">
        <f>SUMIFS(Table2[NewPointsAway],Table2[GameDate], "&lt;=" &amp; $A199, Table2[AwayTeam], S$1)+SUMIFS(Table2[NewPointsHome],Table2[GameDate], "&lt;=" &amp; $A199, Table2[HomeTeam], S$1)</f>
        <v>41</v>
      </c>
      <c r="T199" s="145">
        <f>SUMIFS(Table2[NewPointsAway],Table2[GameDate], "&lt;=" &amp; $A199, Table2[AwayTeam], T$1)+SUMIFS(Table2[NewPointsHome],Table2[GameDate], "&lt;=" &amp; $A199, Table2[HomeTeam], T$1)</f>
        <v>36</v>
      </c>
      <c r="U199" s="145">
        <f>SUMIFS(Table2[NewPointsAway],Table2[GameDate], "&lt;=" &amp; $A199, Table2[AwayTeam], U$1)+SUMIFS(Table2[NewPointsHome],Table2[GameDate], "&lt;=" &amp; $A199, Table2[HomeTeam], U$1)</f>
        <v>34</v>
      </c>
      <c r="V199" s="145">
        <f>SUMIFS(Table2[NewPointsAway],Table2[GameDate], "&lt;=" &amp; $A199, Table2[AwayTeam], V$1)+SUMIFS(Table2[NewPointsHome],Table2[GameDate], "&lt;=" &amp; $A199, Table2[HomeTeam], V$1)</f>
        <v>39</v>
      </c>
      <c r="W199" s="145">
        <f>SUMIFS(Table2[NewPointsAway],Table2[GameDate], "&lt;=" &amp; $A199, Table2[AwayTeam], W$1)+SUMIFS(Table2[NewPointsHome],Table2[GameDate], "&lt;=" &amp; $A199, Table2[HomeTeam], W$1)</f>
        <v>37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37</v>
      </c>
      <c r="Z199" s="145">
        <f>SUMIFS(Table2[NewPointsAway],Table2[GameDate], "&lt;=" &amp; $A199, Table2[AwayTeam], Z$1)+SUMIFS(Table2[NewPointsHome],Table2[GameDate], "&lt;=" &amp; $A199, Table2[HomeTeam], Z$1)</f>
        <v>32</v>
      </c>
      <c r="AA199" s="145">
        <f>SUMIFS(Table2[NewPointsAway],Table2[GameDate], "&lt;=" &amp; $A199, Table2[AwayTeam], AA$1)+SUMIFS(Table2[NewPointsHome],Table2[GameDate], "&lt;=" &amp; $A199, Table2[HomeTeam], AA$1)</f>
        <v>39</v>
      </c>
      <c r="AB199" s="145">
        <f>SUMIFS(Table2[NewPointsAway],Table2[GameDate], "&lt;=" &amp; $A199, Table2[AwayTeam], AB$1)+SUMIFS(Table2[NewPointsHome],Table2[GameDate], "&lt;=" &amp; $A199, Table2[HomeTeam], AB$1)</f>
        <v>35</v>
      </c>
      <c r="AC199" s="145">
        <f>SUMIFS(Table2[NewPointsAway],Table2[GameDate], "&lt;=" &amp; $A199, Table2[AwayTeam], AC$1)+SUMIFS(Table2[NewPointsHome],Table2[GameDate], "&lt;=" &amp; $A199, Table2[HomeTeam], AC$1)</f>
        <v>35</v>
      </c>
      <c r="AD199" s="145">
        <f>SUMIFS(Table2[NewPointsAway],Table2[GameDate], "&lt;=" &amp; $A199, Table2[AwayTeam], AD$1)+SUMIFS(Table2[NewPointsHome],Table2[GameDate], "&lt;=" &amp; $A199, Table2[HomeTeam], AD$1)</f>
        <v>29</v>
      </c>
      <c r="AE199" s="145">
        <f>SUMIFS(Table2[NewPointsAway],Table2[GameDate], "&lt;=" &amp; $A199, Table2[AwayTeam], AE$1)+SUMIFS(Table2[NewPointsHome],Table2[GameDate], "&lt;=" &amp; $A199, Table2[HomeTeam], AE$1)</f>
        <v>41</v>
      </c>
      <c r="AF199" s="145">
        <f>SUMIFS(Table2[NewPointsAway],Table2[GameDate], "&lt;=" &amp; $A199, Table2[AwayTeam], AF$1)+SUMIFS(Table2[NewPointsHome],Table2[GameDate], "&lt;=" &amp; $A199, Table2[HomeTeam], AF$1)</f>
        <v>32</v>
      </c>
      <c r="AG199" s="145">
        <f>SUMIFS(Table2[NewPointsAway],Table2[GameDate], "&lt;=" &amp; $A199, Table2[AwayTeam], AG$1)+SUMIFS(Table2[NewPointsHome],Table2[GameDate], "&lt;=" &amp; $A199, Table2[HomeTeam], AG$1)</f>
        <v>40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42</v>
      </c>
      <c r="C200" s="145">
        <f>SUMIFS(Table2[NewPointsAway],Table2[GameDate], "&lt;=" &amp; $A200, Table2[AwayTeam], C$1)+SUMIFS(Table2[NewPointsHome],Table2[GameDate], "&lt;=" &amp; $A200, Table2[HomeTeam], C$1)</f>
        <v>40</v>
      </c>
      <c r="D200" s="145">
        <f>SUMIFS(Table2[NewPointsAway],Table2[GameDate], "&lt;=" &amp; $A200, Table2[AwayTeam], D$1)+SUMIFS(Table2[NewPointsHome],Table2[GameDate], "&lt;=" &amp; $A200, Table2[HomeTeam], D$1)</f>
        <v>32</v>
      </c>
      <c r="E200" s="145">
        <f>SUMIFS(Table2[NewPointsAway],Table2[GameDate], "&lt;=" &amp; $A200, Table2[AwayTeam], E$1)+SUMIFS(Table2[NewPointsHome],Table2[GameDate], "&lt;=" &amp; $A200, Table2[HomeTeam], E$1)</f>
        <v>44</v>
      </c>
      <c r="F200" s="145">
        <f>SUMIFS(Table2[NewPointsAway],Table2[GameDate], "&lt;=" &amp; $A200, Table2[AwayTeam], F$1)+SUMIFS(Table2[NewPointsHome],Table2[GameDate], "&lt;=" &amp; $A200, Table2[HomeTeam], F$1)</f>
        <v>34</v>
      </c>
      <c r="G200" s="145">
        <f>SUMIFS(Table2[NewPointsAway],Table2[GameDate], "&lt;=" &amp; $A200, Table2[AwayTeam], G$1)+SUMIFS(Table2[NewPointsHome],Table2[GameDate], "&lt;=" &amp; $A200, Table2[HomeTeam], G$1)</f>
        <v>30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55</v>
      </c>
      <c r="J200" s="145">
        <f>SUMIFS(Table2[NewPointsAway],Table2[GameDate], "&lt;=" &amp; $A200, Table2[AwayTeam], J$1)+SUMIFS(Table2[NewPointsHome],Table2[GameDate], "&lt;=" &amp; $A200, Table2[HomeTeam], J$1)</f>
        <v>49</v>
      </c>
      <c r="K200" s="145">
        <f>SUMIFS(Table2[NewPointsAway],Table2[GameDate], "&lt;=" &amp; $A200, Table2[AwayTeam], K$1)+SUMIFS(Table2[NewPointsHome],Table2[GameDate], "&lt;=" &amp; $A200, Table2[HomeTeam], K$1)</f>
        <v>41</v>
      </c>
      <c r="L200" s="145">
        <f>SUMIFS(Table2[NewPointsAway],Table2[GameDate], "&lt;=" &amp; $A200, Table2[AwayTeam], L$1)+SUMIFS(Table2[NewPointsHome],Table2[GameDate], "&lt;=" &amp; $A200, Table2[HomeTeam], L$1)</f>
        <v>38</v>
      </c>
      <c r="M200" s="145">
        <f>SUMIFS(Table2[NewPointsAway],Table2[GameDate], "&lt;=" &amp; $A200, Table2[AwayTeam], M$1)+SUMIFS(Table2[NewPointsHome],Table2[GameDate], "&lt;=" &amp; $A200, Table2[HomeTeam], M$1)</f>
        <v>36</v>
      </c>
      <c r="N200" s="145">
        <f>SUMIFS(Table2[NewPointsAway],Table2[GameDate], "&lt;=" &amp; $A200, Table2[AwayTeam], N$1)+SUMIFS(Table2[NewPointsHome],Table2[GameDate], "&lt;=" &amp; $A200, Table2[HomeTeam], N$1)</f>
        <v>37</v>
      </c>
      <c r="O200" s="145">
        <f>SUMIFS(Table2[NewPointsAway],Table2[GameDate], "&lt;=" &amp; $A200, Table2[AwayTeam], O$1)+SUMIFS(Table2[NewPointsHome],Table2[GameDate], "&lt;=" &amp; $A200, Table2[HomeTeam], O$1)</f>
        <v>45</v>
      </c>
      <c r="P200" s="145">
        <f>SUMIFS(Table2[NewPointsAway],Table2[GameDate], "&lt;=" &amp; $A200, Table2[AwayTeam], P$1)+SUMIFS(Table2[NewPointsHome],Table2[GameDate], "&lt;=" &amp; $A200, Table2[HomeTeam], P$1)</f>
        <v>38</v>
      </c>
      <c r="Q200" s="145">
        <f>SUMIFS(Table2[NewPointsAway],Table2[GameDate], "&lt;=" &amp; $A200, Table2[AwayTeam], Q$1)+SUMIFS(Table2[NewPointsHome],Table2[GameDate], "&lt;=" &amp; $A200, Table2[HomeTeam], Q$1)</f>
        <v>37</v>
      </c>
      <c r="R200" s="145">
        <f>SUMIFS(Table2[NewPointsAway],Table2[GameDate], "&lt;=" &amp; $A200, Table2[AwayTeam], R$1)+SUMIFS(Table2[NewPointsHome],Table2[GameDate], "&lt;=" &amp; $A200, Table2[HomeTeam], R$1)</f>
        <v>30</v>
      </c>
      <c r="S200" s="145">
        <f>SUMIFS(Table2[NewPointsAway],Table2[GameDate], "&lt;=" &amp; $A200, Table2[AwayTeam], S$1)+SUMIFS(Table2[NewPointsHome],Table2[GameDate], "&lt;=" &amp; $A200, Table2[HomeTeam], S$1)</f>
        <v>41</v>
      </c>
      <c r="T200" s="145">
        <f>SUMIFS(Table2[NewPointsAway],Table2[GameDate], "&lt;=" &amp; $A200, Table2[AwayTeam], T$1)+SUMIFS(Table2[NewPointsHome],Table2[GameDate], "&lt;=" &amp; $A200, Table2[HomeTeam], T$1)</f>
        <v>36</v>
      </c>
      <c r="U200" s="145">
        <f>SUMIFS(Table2[NewPointsAway],Table2[GameDate], "&lt;=" &amp; $A200, Table2[AwayTeam], U$1)+SUMIFS(Table2[NewPointsHome],Table2[GameDate], "&lt;=" &amp; $A200, Table2[HomeTeam], U$1)</f>
        <v>34</v>
      </c>
      <c r="V200" s="145">
        <f>SUMIFS(Table2[NewPointsAway],Table2[GameDate], "&lt;=" &amp; $A200, Table2[AwayTeam], V$1)+SUMIFS(Table2[NewPointsHome],Table2[GameDate], "&lt;=" &amp; $A200, Table2[HomeTeam], V$1)</f>
        <v>39</v>
      </c>
      <c r="W200" s="145">
        <f>SUMIFS(Table2[NewPointsAway],Table2[GameDate], "&lt;=" &amp; $A200, Table2[AwayTeam], W$1)+SUMIFS(Table2[NewPointsHome],Table2[GameDate], "&lt;=" &amp; $A200, Table2[HomeTeam], W$1)</f>
        <v>37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37</v>
      </c>
      <c r="Z200" s="145">
        <f>SUMIFS(Table2[NewPointsAway],Table2[GameDate], "&lt;=" &amp; $A200, Table2[AwayTeam], Z$1)+SUMIFS(Table2[NewPointsHome],Table2[GameDate], "&lt;=" &amp; $A200, Table2[HomeTeam], Z$1)</f>
        <v>32</v>
      </c>
      <c r="AA200" s="145">
        <f>SUMIFS(Table2[NewPointsAway],Table2[GameDate], "&lt;=" &amp; $A200, Table2[AwayTeam], AA$1)+SUMIFS(Table2[NewPointsHome],Table2[GameDate], "&lt;=" &amp; $A200, Table2[HomeTeam], AA$1)</f>
        <v>39</v>
      </c>
      <c r="AB200" s="145">
        <f>SUMIFS(Table2[NewPointsAway],Table2[GameDate], "&lt;=" &amp; $A200, Table2[AwayTeam], AB$1)+SUMIFS(Table2[NewPointsHome],Table2[GameDate], "&lt;=" &amp; $A200, Table2[HomeTeam], AB$1)</f>
        <v>35</v>
      </c>
      <c r="AC200" s="145">
        <f>SUMIFS(Table2[NewPointsAway],Table2[GameDate], "&lt;=" &amp; $A200, Table2[AwayTeam], AC$1)+SUMIFS(Table2[NewPointsHome],Table2[GameDate], "&lt;=" &amp; $A200, Table2[HomeTeam], AC$1)</f>
        <v>35</v>
      </c>
      <c r="AD200" s="145">
        <f>SUMIFS(Table2[NewPointsAway],Table2[GameDate], "&lt;=" &amp; $A200, Table2[AwayTeam], AD$1)+SUMIFS(Table2[NewPointsHome],Table2[GameDate], "&lt;=" &amp; $A200, Table2[HomeTeam], AD$1)</f>
        <v>29</v>
      </c>
      <c r="AE200" s="145">
        <f>SUMIFS(Table2[NewPointsAway],Table2[GameDate], "&lt;=" &amp; $A200, Table2[AwayTeam], AE$1)+SUMIFS(Table2[NewPointsHome],Table2[GameDate], "&lt;=" &amp; $A200, Table2[HomeTeam], AE$1)</f>
        <v>41</v>
      </c>
      <c r="AF200" s="145">
        <f>SUMIFS(Table2[NewPointsAway],Table2[GameDate], "&lt;=" &amp; $A200, Table2[AwayTeam], AF$1)+SUMIFS(Table2[NewPointsHome],Table2[GameDate], "&lt;=" &amp; $A200, Table2[HomeTeam], AF$1)</f>
        <v>32</v>
      </c>
      <c r="AG200" s="145">
        <f>SUMIFS(Table2[NewPointsAway],Table2[GameDate], "&lt;=" &amp; $A200, Table2[AwayTeam], AG$1)+SUMIFS(Table2[NewPointsHome],Table2[GameDate], "&lt;=" &amp; $A200, Table2[HomeTeam], AG$1)</f>
        <v>40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42</v>
      </c>
      <c r="C201" s="145">
        <f>SUMIFS(Table2[NewPointsAway],Table2[GameDate], "&lt;=" &amp; $A201, Table2[AwayTeam], C$1)+SUMIFS(Table2[NewPointsHome],Table2[GameDate], "&lt;=" &amp; $A201, Table2[HomeTeam], C$1)</f>
        <v>40</v>
      </c>
      <c r="D201" s="145">
        <f>SUMIFS(Table2[NewPointsAway],Table2[GameDate], "&lt;=" &amp; $A201, Table2[AwayTeam], D$1)+SUMIFS(Table2[NewPointsHome],Table2[GameDate], "&lt;=" &amp; $A201, Table2[HomeTeam], D$1)</f>
        <v>32</v>
      </c>
      <c r="E201" s="145">
        <f>SUMIFS(Table2[NewPointsAway],Table2[GameDate], "&lt;=" &amp; $A201, Table2[AwayTeam], E$1)+SUMIFS(Table2[NewPointsHome],Table2[GameDate], "&lt;=" &amp; $A201, Table2[HomeTeam], E$1)</f>
        <v>44</v>
      </c>
      <c r="F201" s="145">
        <f>SUMIFS(Table2[NewPointsAway],Table2[GameDate], "&lt;=" &amp; $A201, Table2[AwayTeam], F$1)+SUMIFS(Table2[NewPointsHome],Table2[GameDate], "&lt;=" &amp; $A201, Table2[HomeTeam], F$1)</f>
        <v>34</v>
      </c>
      <c r="G201" s="145">
        <f>SUMIFS(Table2[NewPointsAway],Table2[GameDate], "&lt;=" &amp; $A201, Table2[AwayTeam], G$1)+SUMIFS(Table2[NewPointsHome],Table2[GameDate], "&lt;=" &amp; $A201, Table2[HomeTeam], G$1)</f>
        <v>30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55</v>
      </c>
      <c r="J201" s="145">
        <f>SUMIFS(Table2[NewPointsAway],Table2[GameDate], "&lt;=" &amp; $A201, Table2[AwayTeam], J$1)+SUMIFS(Table2[NewPointsHome],Table2[GameDate], "&lt;=" &amp; $A201, Table2[HomeTeam], J$1)</f>
        <v>49</v>
      </c>
      <c r="K201" s="145">
        <f>SUMIFS(Table2[NewPointsAway],Table2[GameDate], "&lt;=" &amp; $A201, Table2[AwayTeam], K$1)+SUMIFS(Table2[NewPointsHome],Table2[GameDate], "&lt;=" &amp; $A201, Table2[HomeTeam], K$1)</f>
        <v>41</v>
      </c>
      <c r="L201" s="145">
        <f>SUMIFS(Table2[NewPointsAway],Table2[GameDate], "&lt;=" &amp; $A201, Table2[AwayTeam], L$1)+SUMIFS(Table2[NewPointsHome],Table2[GameDate], "&lt;=" &amp; $A201, Table2[HomeTeam], L$1)</f>
        <v>38</v>
      </c>
      <c r="M201" s="145">
        <f>SUMIFS(Table2[NewPointsAway],Table2[GameDate], "&lt;=" &amp; $A201, Table2[AwayTeam], M$1)+SUMIFS(Table2[NewPointsHome],Table2[GameDate], "&lt;=" &amp; $A201, Table2[HomeTeam], M$1)</f>
        <v>36</v>
      </c>
      <c r="N201" s="145">
        <f>SUMIFS(Table2[NewPointsAway],Table2[GameDate], "&lt;=" &amp; $A201, Table2[AwayTeam], N$1)+SUMIFS(Table2[NewPointsHome],Table2[GameDate], "&lt;=" &amp; $A201, Table2[HomeTeam], N$1)</f>
        <v>37</v>
      </c>
      <c r="O201" s="145">
        <f>SUMIFS(Table2[NewPointsAway],Table2[GameDate], "&lt;=" &amp; $A201, Table2[AwayTeam], O$1)+SUMIFS(Table2[NewPointsHome],Table2[GameDate], "&lt;=" &amp; $A201, Table2[HomeTeam], O$1)</f>
        <v>45</v>
      </c>
      <c r="P201" s="145">
        <f>SUMIFS(Table2[NewPointsAway],Table2[GameDate], "&lt;=" &amp; $A201, Table2[AwayTeam], P$1)+SUMIFS(Table2[NewPointsHome],Table2[GameDate], "&lt;=" &amp; $A201, Table2[HomeTeam], P$1)</f>
        <v>38</v>
      </c>
      <c r="Q201" s="145">
        <f>SUMIFS(Table2[NewPointsAway],Table2[GameDate], "&lt;=" &amp; $A201, Table2[AwayTeam], Q$1)+SUMIFS(Table2[NewPointsHome],Table2[GameDate], "&lt;=" &amp; $A201, Table2[HomeTeam], Q$1)</f>
        <v>37</v>
      </c>
      <c r="R201" s="145">
        <f>SUMIFS(Table2[NewPointsAway],Table2[GameDate], "&lt;=" &amp; $A201, Table2[AwayTeam], R$1)+SUMIFS(Table2[NewPointsHome],Table2[GameDate], "&lt;=" &amp; $A201, Table2[HomeTeam], R$1)</f>
        <v>30</v>
      </c>
      <c r="S201" s="145">
        <f>SUMIFS(Table2[NewPointsAway],Table2[GameDate], "&lt;=" &amp; $A201, Table2[AwayTeam], S$1)+SUMIFS(Table2[NewPointsHome],Table2[GameDate], "&lt;=" &amp; $A201, Table2[HomeTeam], S$1)</f>
        <v>41</v>
      </c>
      <c r="T201" s="145">
        <f>SUMIFS(Table2[NewPointsAway],Table2[GameDate], "&lt;=" &amp; $A201, Table2[AwayTeam], T$1)+SUMIFS(Table2[NewPointsHome],Table2[GameDate], "&lt;=" &amp; $A201, Table2[HomeTeam], T$1)</f>
        <v>36</v>
      </c>
      <c r="U201" s="145">
        <f>SUMIFS(Table2[NewPointsAway],Table2[GameDate], "&lt;=" &amp; $A201, Table2[AwayTeam], U$1)+SUMIFS(Table2[NewPointsHome],Table2[GameDate], "&lt;=" &amp; $A201, Table2[HomeTeam], U$1)</f>
        <v>34</v>
      </c>
      <c r="V201" s="145">
        <f>SUMIFS(Table2[NewPointsAway],Table2[GameDate], "&lt;=" &amp; $A201, Table2[AwayTeam], V$1)+SUMIFS(Table2[NewPointsHome],Table2[GameDate], "&lt;=" &amp; $A201, Table2[HomeTeam], V$1)</f>
        <v>39</v>
      </c>
      <c r="W201" s="145">
        <f>SUMIFS(Table2[NewPointsAway],Table2[GameDate], "&lt;=" &amp; $A201, Table2[AwayTeam], W$1)+SUMIFS(Table2[NewPointsHome],Table2[GameDate], "&lt;=" &amp; $A201, Table2[HomeTeam], W$1)</f>
        <v>37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37</v>
      </c>
      <c r="Z201" s="145">
        <f>SUMIFS(Table2[NewPointsAway],Table2[GameDate], "&lt;=" &amp; $A201, Table2[AwayTeam], Z$1)+SUMIFS(Table2[NewPointsHome],Table2[GameDate], "&lt;=" &amp; $A201, Table2[HomeTeam], Z$1)</f>
        <v>32</v>
      </c>
      <c r="AA201" s="145">
        <f>SUMIFS(Table2[NewPointsAway],Table2[GameDate], "&lt;=" &amp; $A201, Table2[AwayTeam], AA$1)+SUMIFS(Table2[NewPointsHome],Table2[GameDate], "&lt;=" &amp; $A201, Table2[HomeTeam], AA$1)</f>
        <v>39</v>
      </c>
      <c r="AB201" s="145">
        <f>SUMIFS(Table2[NewPointsAway],Table2[GameDate], "&lt;=" &amp; $A201, Table2[AwayTeam], AB$1)+SUMIFS(Table2[NewPointsHome],Table2[GameDate], "&lt;=" &amp; $A201, Table2[HomeTeam], AB$1)</f>
        <v>35</v>
      </c>
      <c r="AC201" s="145">
        <f>SUMIFS(Table2[NewPointsAway],Table2[GameDate], "&lt;=" &amp; $A201, Table2[AwayTeam], AC$1)+SUMIFS(Table2[NewPointsHome],Table2[GameDate], "&lt;=" &amp; $A201, Table2[HomeTeam], AC$1)</f>
        <v>35</v>
      </c>
      <c r="AD201" s="145">
        <f>SUMIFS(Table2[NewPointsAway],Table2[GameDate], "&lt;=" &amp; $A201, Table2[AwayTeam], AD$1)+SUMIFS(Table2[NewPointsHome],Table2[GameDate], "&lt;=" &amp; $A201, Table2[HomeTeam], AD$1)</f>
        <v>29</v>
      </c>
      <c r="AE201" s="145">
        <f>SUMIFS(Table2[NewPointsAway],Table2[GameDate], "&lt;=" &amp; $A201, Table2[AwayTeam], AE$1)+SUMIFS(Table2[NewPointsHome],Table2[GameDate], "&lt;=" &amp; $A201, Table2[HomeTeam], AE$1)</f>
        <v>41</v>
      </c>
      <c r="AF201" s="145">
        <f>SUMIFS(Table2[NewPointsAway],Table2[GameDate], "&lt;=" &amp; $A201, Table2[AwayTeam], AF$1)+SUMIFS(Table2[NewPointsHome],Table2[GameDate], "&lt;=" &amp; $A201, Table2[HomeTeam], AF$1)</f>
        <v>32</v>
      </c>
      <c r="AG201" s="145">
        <f>SUMIFS(Table2[NewPointsAway],Table2[GameDate], "&lt;=" &amp; $A201, Table2[AwayTeam], AG$1)+SUMIFS(Table2[NewPointsHome],Table2[GameDate], "&lt;=" &amp; $A201, Table2[HomeTeam], AG$1)</f>
        <v>40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Z1" sqref="BZ1:BZ1048576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41</v>
      </c>
      <c r="B2" t="s">
        <v>91</v>
      </c>
      <c r="C2" s="106" t="s">
        <v>92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10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12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12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14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14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24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25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25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27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27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30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30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30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30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30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36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36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36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40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40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42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44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44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44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44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44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44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44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44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44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44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44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44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44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44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44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44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44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44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44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44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44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44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44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44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44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44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44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44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44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44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44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44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44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44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44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44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44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44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44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44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44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44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44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44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44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44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44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44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44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44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44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44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44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44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44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44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44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44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44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44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44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44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44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44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44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44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44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44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44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44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44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44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44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44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44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44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44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44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44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44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44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44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44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44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44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44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44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44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44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44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44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44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44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44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44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44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44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44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44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44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44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44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44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44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44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44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44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44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44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44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44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44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44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44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44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44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44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44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44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44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44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44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44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44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44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44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44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44</v>
      </c>
    </row>
    <row r="3" spans="1:275" x14ac:dyDescent="0.25">
      <c r="A3" t="s">
        <v>32</v>
      </c>
      <c r="B3" t="s">
        <v>91</v>
      </c>
      <c r="C3" s="106" t="s">
        <v>92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0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0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0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2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2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8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8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9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9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9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9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9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9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11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11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13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13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14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14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16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16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26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29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29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29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29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31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31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35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35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35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39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39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41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41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41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41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41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41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41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41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41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41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41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41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41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41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41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41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41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41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41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41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41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41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41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41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41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41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41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41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41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41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41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41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41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41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41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41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41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41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41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41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41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41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41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41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41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41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41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41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41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41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41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41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41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41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41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41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41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41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41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41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41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41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41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41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41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41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41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41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41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41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41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41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41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41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41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41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41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41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41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41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41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41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41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41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41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41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41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41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41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41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41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41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41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41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41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41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41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41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41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41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41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41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41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41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41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41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41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41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41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41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41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41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41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41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41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41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41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41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41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41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41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41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41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41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41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41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41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41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41</v>
      </c>
    </row>
    <row r="4" spans="1:275" x14ac:dyDescent="0.25">
      <c r="A4" t="s">
        <v>30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10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10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14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14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16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18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18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18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18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18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18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18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21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23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27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27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27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27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27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35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35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37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37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37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39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39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39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41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41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41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41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41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41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41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41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41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41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41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41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41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41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41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41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41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41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41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41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41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41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41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41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41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41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41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41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41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41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41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41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41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41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41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41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41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41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41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41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41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41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41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41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41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41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41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41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41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41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41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41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41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41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41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41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41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41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41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41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41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41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41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41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41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41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41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41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41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41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41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41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41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41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41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41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41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41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41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41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41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41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41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41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41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41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41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41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41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41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41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41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41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41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41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41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41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41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41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41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41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41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41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41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41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41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41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41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41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41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41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41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41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41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41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41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41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41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41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41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41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41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41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41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41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41</v>
      </c>
    </row>
    <row r="5" spans="1:275" x14ac:dyDescent="0.25">
      <c r="A5" t="s">
        <v>43</v>
      </c>
      <c r="B5" t="s">
        <v>91</v>
      </c>
      <c r="C5" s="106" t="s">
        <v>92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4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8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8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12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12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12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13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13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13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13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15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15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15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15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17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17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17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17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18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18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20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20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24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24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30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30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32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32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36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36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37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37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39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39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39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39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40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40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40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40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40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40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40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40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40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40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40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40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40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40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40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40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40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40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40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40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40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40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40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40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40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40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40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40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40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40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40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40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40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40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40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40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40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40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40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40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40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40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40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40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40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40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40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40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40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40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40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40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40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40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40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40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40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40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40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40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40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40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40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40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40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40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40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40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40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40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40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40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40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40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40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40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40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40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40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40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40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40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40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40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40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40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40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40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40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40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40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40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40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40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40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40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40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40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40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40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40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40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40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40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40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40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40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40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40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40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40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40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40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40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40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40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40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40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40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40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40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40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40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40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40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40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40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40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40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40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40</v>
      </c>
    </row>
    <row r="6" spans="1:275" x14ac:dyDescent="0.25">
      <c r="A6" t="s">
        <v>15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4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4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6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6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6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6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6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6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6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6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6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6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8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14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16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16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20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20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20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24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24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24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24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24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26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26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26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26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26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28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28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28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30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30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30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32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32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34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34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34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36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36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40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40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40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40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40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40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40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40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40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40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40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40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40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40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40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40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40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40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40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40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40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40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40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40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40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40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40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40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40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40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40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40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40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40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40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40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40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40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40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40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40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40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40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40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40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40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40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40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40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40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40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40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40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40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40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40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40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40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40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40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40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40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40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40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40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40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40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40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40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40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40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40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40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40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40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40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40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40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40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40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40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40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40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40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40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40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40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40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40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40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40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40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40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40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40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40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40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40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40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40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40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40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40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40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40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40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40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40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40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40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40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40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40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40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40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40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40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40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40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40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40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40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40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40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40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40</v>
      </c>
    </row>
    <row r="7" spans="1:275" x14ac:dyDescent="0.25">
      <c r="A7" t="s">
        <v>40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0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0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0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0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3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3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3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4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4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4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4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6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12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16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16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18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18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18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18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18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20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20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20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22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22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28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28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30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30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32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34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34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34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34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34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34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34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36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36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38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38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39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39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39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39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39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39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39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39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39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39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39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39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39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39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39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39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39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39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39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39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39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39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39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39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39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39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39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39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39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39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39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39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39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39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39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39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39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39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39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39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39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39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39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39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39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39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39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39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39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39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39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39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39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39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39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39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39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39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39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39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39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39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39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39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39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39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39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39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39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39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39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39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39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39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39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39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39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39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39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39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39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39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39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39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39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39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39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39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39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39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39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39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39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39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39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39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39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39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39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39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39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39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39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39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39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39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39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39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39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39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39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39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39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39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39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39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39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39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39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39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39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39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39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39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39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39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39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39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39</v>
      </c>
    </row>
    <row r="8" spans="1:275" x14ac:dyDescent="0.25">
      <c r="A8" t="s">
        <v>42</v>
      </c>
      <c r="B8" t="s">
        <v>91</v>
      </c>
      <c r="C8" s="106" t="s">
        <v>92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1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1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3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3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3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3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3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5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5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13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13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15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18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18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18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18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19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20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20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20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20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22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22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24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24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24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24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26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26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28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30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30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30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30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32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32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32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32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32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32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34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34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37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37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39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39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39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39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39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39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39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39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39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39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39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39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39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39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39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39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39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39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39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39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39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39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39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39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39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39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39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39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39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39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39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39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39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39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39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39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39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39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39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39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39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39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39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39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39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39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39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39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39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39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39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39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39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39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39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39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39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39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39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39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39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39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39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39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39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39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39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39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39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39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39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39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39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39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39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39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39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39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39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39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39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39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39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39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39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39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39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39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39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39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39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39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39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39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39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39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39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39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39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39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39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39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39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39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39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39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39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39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39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39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39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39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39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39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39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39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39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39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39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39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39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39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39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39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39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39</v>
      </c>
    </row>
    <row r="9" spans="1:275" x14ac:dyDescent="0.25">
      <c r="A9" t="s">
        <v>18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2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2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4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4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4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6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6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8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8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8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8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10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10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12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12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12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14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14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14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16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16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16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16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18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18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18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19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19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20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20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22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22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22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22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22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22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22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22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22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23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23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23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25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25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25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25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27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27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29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29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29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29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29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31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31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31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33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33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33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33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33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35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35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36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38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38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38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38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38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38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38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38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38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38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38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38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38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38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38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38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38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38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38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38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38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38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38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38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38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38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38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38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38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38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38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38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38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38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38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38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38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38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38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38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38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38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38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38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38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38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38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38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38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38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38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38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38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38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38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38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38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38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38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38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38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38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38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38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38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38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38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38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38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38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38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38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38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38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38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38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38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38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38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38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38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38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38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38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38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38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38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38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38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38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38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38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38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38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38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38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38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38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38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38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38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38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38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38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38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38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38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38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38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38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38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38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38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38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38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38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38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38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38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38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38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38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38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38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38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38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38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38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25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25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25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27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27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27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27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27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27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27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29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29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31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31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33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33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33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33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33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33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33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33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33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33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35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35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35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35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37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37</v>
      </c>
    </row>
    <row r="11" spans="1:275" x14ac:dyDescent="0.25">
      <c r="A11" t="s">
        <v>20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2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2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4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4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13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13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15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18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18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21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21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21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21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21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21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22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22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24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24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24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24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24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24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25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25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25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25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27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27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29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29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29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31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31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31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33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33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33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34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34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35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35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35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35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37</v>
      </c>
    </row>
    <row r="12" spans="1:275" x14ac:dyDescent="0.25">
      <c r="A12" t="s">
        <v>19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5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5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7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7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7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7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7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8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8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8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10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10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16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20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20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22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22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22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22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22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26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26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30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30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36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36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36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36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36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36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36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36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36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36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36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36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36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36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36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36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36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36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36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36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36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36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36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36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36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36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36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36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36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36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36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36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36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36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36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36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36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36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36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36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36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36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36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36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36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36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36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36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36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36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36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36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36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36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36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36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36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36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36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36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36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36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36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36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36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36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36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36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36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36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36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36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36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36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36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36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36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36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36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36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36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36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36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36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36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36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36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36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36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36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36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36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36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36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36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36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36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36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36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36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36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36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36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36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36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36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36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36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36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36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36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36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36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36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36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36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36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36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36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36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36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36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36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36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36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36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36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36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36</v>
      </c>
    </row>
    <row r="13" spans="1:275" x14ac:dyDescent="0.25">
      <c r="A13" t="s">
        <v>13</v>
      </c>
      <c r="B13" t="s">
        <v>91</v>
      </c>
      <c r="C13" s="105" t="s">
        <v>74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6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6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6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6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6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6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8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8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10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10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10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11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13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17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19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19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19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21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21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21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23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23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23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23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25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25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25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25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25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25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25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25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28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36</v>
      </c>
    </row>
    <row r="14" spans="1:275" x14ac:dyDescent="0.25">
      <c r="A14" t="s">
        <v>17</v>
      </c>
      <c r="B14" t="s">
        <v>91</v>
      </c>
      <c r="C14" s="105" t="s">
        <v>74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7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7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11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11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11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13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15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15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17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17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17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17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17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17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20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20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21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21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21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21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21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21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23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23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27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27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30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30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33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33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33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33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33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35</v>
      </c>
    </row>
    <row r="15" spans="1:275" x14ac:dyDescent="0.25">
      <c r="A15" t="s">
        <v>29</v>
      </c>
      <c r="B15" t="s">
        <v>91</v>
      </c>
      <c r="C15" s="105" t="s">
        <v>74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4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4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5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5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11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15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15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17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19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19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20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22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26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26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26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29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29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29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31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31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34</v>
      </c>
    </row>
    <row r="17" spans="1:203" x14ac:dyDescent="0.25">
      <c r="A17" t="s">
        <v>28</v>
      </c>
      <c r="B17" t="s">
        <v>91</v>
      </c>
      <c r="C17" s="105" t="s">
        <v>74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4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11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14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14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14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14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14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16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16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18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18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18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18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22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22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22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22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22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26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26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26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26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26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26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26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26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51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51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53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53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53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55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55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55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55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55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55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55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55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55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55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55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55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55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55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55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55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55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55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55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55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55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55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55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55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55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55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55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55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55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55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55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55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55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55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55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55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55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55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55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55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55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55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55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55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55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55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55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55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55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55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55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55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55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55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55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55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55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55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55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55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55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55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55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55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55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55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55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55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55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55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55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55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55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55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55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55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55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55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55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55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55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55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55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55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55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55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55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55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55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55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55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55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55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55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55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55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55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55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55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55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55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55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55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55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55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55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55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55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55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55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55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55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55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55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55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55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55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55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55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55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55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55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55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55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55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55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49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49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49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49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49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49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49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49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49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49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49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49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49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49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49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49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49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49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49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49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49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49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49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49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49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49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49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49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49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49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49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49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49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49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49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49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49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49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49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49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49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49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49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49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49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49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49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49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49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49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49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49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49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49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49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49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49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49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49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49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49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49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49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49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49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49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49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49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49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49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49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49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49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49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49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49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49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49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49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49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49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49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49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49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49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49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49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49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49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49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49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49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49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49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49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49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49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49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49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49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49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49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49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49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49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49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49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49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49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49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49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49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49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49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49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49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49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49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49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49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49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49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49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49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49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49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49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39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39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41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43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43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45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45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45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45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45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45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45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45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45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45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45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45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45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45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45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45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45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45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45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45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45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45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45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45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45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45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45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45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45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45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45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45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45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45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45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45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45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45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45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45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45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45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45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45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45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45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45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45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45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45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45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45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45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45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45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45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45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45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45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45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45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45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45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45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45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45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45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45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45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45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45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45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45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45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45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45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45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45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45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45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45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45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45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45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45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45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45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45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45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45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45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45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45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45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45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45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45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45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45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45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45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45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45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45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45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45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45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45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45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45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45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45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45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45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45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45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45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45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45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45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45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45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45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45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45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45</v>
      </c>
    </row>
    <row r="21" spans="1:203" x14ac:dyDescent="0.25">
      <c r="A21" t="s">
        <v>44</v>
      </c>
      <c r="B21" t="s">
        <v>90</v>
      </c>
      <c r="C21" s="108" t="s">
        <v>93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4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4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4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5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5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7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7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9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9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9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9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9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11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11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11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13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13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17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17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19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19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21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23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23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23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23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23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23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23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23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25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25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27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27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27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29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29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29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29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29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29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31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31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31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33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33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33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33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35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35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39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39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39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39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41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42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42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42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42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42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42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42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42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42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42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42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42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42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42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42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42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42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42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42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42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42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42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42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42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42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42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42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42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42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42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42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42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42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42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42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42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42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42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42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42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42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42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42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42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42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42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42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42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42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42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42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42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42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42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42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42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42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42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42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42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42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42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42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42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42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42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42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42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42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42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42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42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42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42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42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42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42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42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42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42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42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42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42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42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42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42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42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42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42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42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42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42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42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42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42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42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42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42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42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42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42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42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42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42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42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42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42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42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42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42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42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42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42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42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42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42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42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42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42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42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42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42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42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42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42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42</v>
      </c>
    </row>
    <row r="22" spans="1:203" x14ac:dyDescent="0.25">
      <c r="A22" t="s">
        <v>26</v>
      </c>
      <c r="B22" t="s">
        <v>90</v>
      </c>
      <c r="C22" s="108" t="s">
        <v>93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1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3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3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4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4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6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6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8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8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10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10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12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12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12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12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12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13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13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15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15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15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15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15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15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15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17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17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17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18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19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19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21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26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26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27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27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27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27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28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28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28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30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30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30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32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32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32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36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36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37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37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39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39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41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41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41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41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41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41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41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41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41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41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41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41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41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41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41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41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41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41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41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41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41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41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41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41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41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41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41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41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41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41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41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41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41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41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41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41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41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41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41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41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41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41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41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41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41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41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41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41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41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41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41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41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41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41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41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41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41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41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41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41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41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41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41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41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41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41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41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41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41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41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41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41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41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41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41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41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41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41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41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41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41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41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41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41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41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41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41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41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41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41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41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41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41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41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41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41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41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41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41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41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41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41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41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41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41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41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41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41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41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41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41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41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41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41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41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41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41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41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41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41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41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41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41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41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41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41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41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41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41</v>
      </c>
    </row>
    <row r="23" spans="1:203" x14ac:dyDescent="0.25">
      <c r="A23" t="s">
        <v>22</v>
      </c>
      <c r="B23" t="s">
        <v>90</v>
      </c>
      <c r="C23" s="108" t="s">
        <v>93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1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3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3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5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5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5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5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5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9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9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9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13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13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15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15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15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16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16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16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16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16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16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22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22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23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23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25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25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25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25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25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25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25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27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27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27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27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27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29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29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31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31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31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32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32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38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38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38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38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38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38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38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38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38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38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38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38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38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38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38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38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38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38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38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38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38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38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38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38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38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38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38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38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38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38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38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38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38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38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38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38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38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38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38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38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38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38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38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38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38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38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38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38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38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38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38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38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38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38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38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38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38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38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38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38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38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38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38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38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38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38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38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38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38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38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38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38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38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38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38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38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38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38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38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38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38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38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38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38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38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38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38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38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38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38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38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38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38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38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38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38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38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38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38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38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38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38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38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38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38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38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38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38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38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38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38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38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38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38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38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38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38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38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38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38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38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38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38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38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38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38</v>
      </c>
    </row>
    <row r="24" spans="1:203" x14ac:dyDescent="0.25">
      <c r="A24" t="s">
        <v>27</v>
      </c>
      <c r="B24" t="s">
        <v>90</v>
      </c>
      <c r="C24" s="108" t="s">
        <v>93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2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2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2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3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3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3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3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3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4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4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4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6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6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8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8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9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11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11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13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13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14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14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14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14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14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16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16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16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16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16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22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22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24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24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24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25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26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26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26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28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28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28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28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29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31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31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31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31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31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31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31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33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33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35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35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36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36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36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37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37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37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37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37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37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37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37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37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37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37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37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37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37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37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37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37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37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37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37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37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37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37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37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37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37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37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37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37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37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37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37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37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37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37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37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37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37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37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37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37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37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37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37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37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37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37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37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37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37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37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37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37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37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37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37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37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37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37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37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37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37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37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37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37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37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37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37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37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37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37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37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37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37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37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37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37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37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37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37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37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37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37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37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37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37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37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37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37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37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37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37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37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37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37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37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37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37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37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37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37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37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37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37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37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37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37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37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37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37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37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37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37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37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37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37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37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37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37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37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37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37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37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37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37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37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37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37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37</v>
      </c>
    </row>
    <row r="25" spans="1:203" x14ac:dyDescent="0.25">
      <c r="A25" t="s">
        <v>37</v>
      </c>
      <c r="B25" t="s">
        <v>90</v>
      </c>
      <c r="C25" s="108" t="s">
        <v>93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1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1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2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2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2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2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2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2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2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2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2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2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4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4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4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6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6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6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6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10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11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11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11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13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13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15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17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17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17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19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19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19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19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19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19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19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21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21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23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23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23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25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25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25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25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25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27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27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27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29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29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29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29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29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29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31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31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31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31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33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33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35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35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35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37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37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37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37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37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37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37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37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37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37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37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37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37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37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37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37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37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37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37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37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37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37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37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37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37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37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37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37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37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37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37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37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37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37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37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37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37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37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37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37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37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37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37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37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37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37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37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37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37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37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37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37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37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37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37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37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37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37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37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37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37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37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37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37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37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37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37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37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37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37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37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37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37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37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37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37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37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37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37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37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37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37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37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37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37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37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37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37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37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37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37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37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37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37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37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37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37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37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37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37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37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37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37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37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37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37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37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37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37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37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37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37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37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37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37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37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37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37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37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37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37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37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37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37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37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37</v>
      </c>
    </row>
    <row r="26" spans="1:203" x14ac:dyDescent="0.25">
      <c r="A26" t="s">
        <v>14</v>
      </c>
      <c r="B26" t="s">
        <v>90</v>
      </c>
      <c r="C26" s="107" t="s">
        <v>88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2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6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10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10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14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16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16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16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16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16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16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16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16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18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18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18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18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18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18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20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21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21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21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22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27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27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27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27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27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27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27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27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27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35</v>
      </c>
    </row>
    <row r="27" spans="1:203" x14ac:dyDescent="0.25">
      <c r="A27" t="s">
        <v>16</v>
      </c>
      <c r="B27" t="s">
        <v>90</v>
      </c>
      <c r="C27" s="107" t="s">
        <v>88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1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1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1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1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5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6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10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10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10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12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12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12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12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13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13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13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17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19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19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20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20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22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24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24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24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24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24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24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27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27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30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30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30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32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32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32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32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32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32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32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32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32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32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32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32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32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32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32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32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32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32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32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32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32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32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32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32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32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32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32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32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32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32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32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32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32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32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32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32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32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32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32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32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32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32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32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32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32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32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32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32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32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32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32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32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32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32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32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32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32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32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32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32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32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32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32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32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32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32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32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32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32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32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32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32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32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32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32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32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32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32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32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32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32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32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32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32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32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32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32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32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32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32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32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32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32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32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32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32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32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32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32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32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32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32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32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32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32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32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32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32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32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32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32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32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32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32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32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32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32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32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32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32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32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32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32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32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32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32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32</v>
      </c>
    </row>
    <row r="28" spans="1:203" x14ac:dyDescent="0.25">
      <c r="A28" t="s">
        <v>12</v>
      </c>
      <c r="B28" t="s">
        <v>90</v>
      </c>
      <c r="C28" s="107" t="s">
        <v>88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0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0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4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4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4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4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6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6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6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7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7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7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7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7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7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7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8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8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8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8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10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10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10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12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12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13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13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13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17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17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17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17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18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18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19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19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21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21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21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21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22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22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24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26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26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26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26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26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26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26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21</v>
      </c>
      <c r="B29" t="s">
        <v>90</v>
      </c>
      <c r="C29" s="107" t="s">
        <v>88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10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10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10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14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14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16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16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18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18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18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18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18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18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18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20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30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30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30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30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30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30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30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30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30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30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30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30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30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30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30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30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30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30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30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30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30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30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30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30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30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30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30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30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30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30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30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30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30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30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30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30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30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30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30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30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30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30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30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30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30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30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30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30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30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30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30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30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30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30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30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30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30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30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30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30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30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30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30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30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30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30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30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30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30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30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30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30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30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30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30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30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30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30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30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30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30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30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30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30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30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30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30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30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30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30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30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30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30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30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30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30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30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30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30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30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30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30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30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30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30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30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30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30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30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30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30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30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30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30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30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30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30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30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30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30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30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30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30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30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30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30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30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30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30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30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30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30</v>
      </c>
    </row>
    <row r="31" spans="1:203" x14ac:dyDescent="0.25">
      <c r="A31" t="s">
        <v>23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2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3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3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3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3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5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5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5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5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6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6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6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8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8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8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10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10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10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10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10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10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10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15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19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19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19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19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19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21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21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26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26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34</v>
      </c>
      <c r="B32" t="s">
        <v>90</v>
      </c>
      <c r="C32" s="107" t="s">
        <v>88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3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3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5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5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5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6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6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6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6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6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10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10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10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13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14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14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14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14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14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14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16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16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16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16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16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16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16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16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16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16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16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16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18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18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24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24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24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30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30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30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30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30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30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30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30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30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30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30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30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30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30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30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30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30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30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30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30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30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30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30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30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30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30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30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30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30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30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30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30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30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30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30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30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30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30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30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30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30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30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30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30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30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30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30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30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30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30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30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30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30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30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30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30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30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30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30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30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30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30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30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30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30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30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30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30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30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30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30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30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30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30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30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30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30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30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30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30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30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30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30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30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30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30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30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30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30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30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30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30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30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30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30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30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30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30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30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30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30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30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30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30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30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30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30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30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30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30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30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30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30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30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30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30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30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30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30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30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30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30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30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30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30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30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30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27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27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34.875</v>
      </c>
      <c r="BV34">
        <f>SUBTOTAL(101,Table4[2025-12-12])</f>
        <v>35</v>
      </c>
      <c r="BW34">
        <f>SUBTOTAL(101,Table4[2025-12-13])</f>
        <v>35.96875</v>
      </c>
      <c r="BX34">
        <f>SUBTOTAL(101,Table4[2025-12-14])</f>
        <v>36.40625</v>
      </c>
      <c r="BY34">
        <f>SUBTOTAL(101,Table4[2025-12-15])</f>
        <v>36.75</v>
      </c>
      <c r="BZ34">
        <f>SUBTOTAL(101,Table4[2025-12-16])</f>
        <v>37.40625</v>
      </c>
      <c r="CA34">
        <f>SUBTOTAL(101,Table4[2025-12-17])</f>
        <v>37.40625</v>
      </c>
      <c r="CB34">
        <f>SUBTOTAL(101,Table4[2025-12-18])</f>
        <v>37.40625</v>
      </c>
      <c r="CC34">
        <f>SUBTOTAL(101,Table4[2025-12-19])</f>
        <v>37.40625</v>
      </c>
      <c r="CD34">
        <f>SUBTOTAL(101,Table4[2025-12-20])</f>
        <v>37.40625</v>
      </c>
      <c r="CE34">
        <f>SUBTOTAL(101,Table4[2025-12-21])</f>
        <v>37.40625</v>
      </c>
      <c r="CF34">
        <f>SUBTOTAL(101,Table4[2025-12-22])</f>
        <v>37.40625</v>
      </c>
      <c r="CG34">
        <f>SUBTOTAL(101,Table4[2025-12-23])</f>
        <v>37.40625</v>
      </c>
      <c r="CH34">
        <f>SUBTOTAL(101,Table4[2025-12-24])</f>
        <v>37.40625</v>
      </c>
      <c r="CI34">
        <f>SUBTOTAL(101,Table4[2025-12-25])</f>
        <v>37.40625</v>
      </c>
      <c r="CJ34">
        <f>SUBTOTAL(101,Table4[2025-12-26])</f>
        <v>37.40625</v>
      </c>
      <c r="CK34">
        <f>SUBTOTAL(101,Table4[2025-12-27])</f>
        <v>37.40625</v>
      </c>
      <c r="CL34">
        <f>SUBTOTAL(101,Table4[2025-12-28])</f>
        <v>37.40625</v>
      </c>
      <c r="CM34">
        <f>SUBTOTAL(101,Table4[2025-12-29])</f>
        <v>37.40625</v>
      </c>
      <c r="CN34">
        <f>SUBTOTAL(101,Table4[2025-12-30])</f>
        <v>37.40625</v>
      </c>
      <c r="CO34">
        <f>SUBTOTAL(101,Table4[2025-12-31])</f>
        <v>37.40625</v>
      </c>
      <c r="CP34">
        <f>SUBTOTAL(101,Table4[2026-01-01])</f>
        <v>37.40625</v>
      </c>
      <c r="CQ34">
        <f>SUBTOTAL(101,Table4[2026-01-02])</f>
        <v>37.40625</v>
      </c>
      <c r="CR34">
        <f>SUBTOTAL(101,Table4[2026-01-03])</f>
        <v>37.40625</v>
      </c>
      <c r="CS34">
        <f>SUBTOTAL(101,Table4[2026-01-04])</f>
        <v>37.40625</v>
      </c>
      <c r="CT34">
        <f>SUBTOTAL(101,Table4[2026-01-05])</f>
        <v>37.40625</v>
      </c>
      <c r="CU34">
        <f>SUBTOTAL(101,Table4[2026-01-06])</f>
        <v>37.40625</v>
      </c>
      <c r="CV34">
        <f>SUBTOTAL(101,Table4[2026-01-07])</f>
        <v>37.40625</v>
      </c>
      <c r="CW34">
        <f>SUBTOTAL(101,Table4[2026-01-08])</f>
        <v>37.40625</v>
      </c>
      <c r="CX34">
        <f>SUBTOTAL(101,Table4[2026-01-09])</f>
        <v>37.40625</v>
      </c>
      <c r="CY34">
        <f>SUBTOTAL(101,Table4[2026-01-10])</f>
        <v>37.40625</v>
      </c>
      <c r="CZ34">
        <f>SUBTOTAL(101,Table4[2026-01-11])</f>
        <v>37.40625</v>
      </c>
      <c r="DA34">
        <f>SUBTOTAL(101,Table4[2026-01-12])</f>
        <v>37.40625</v>
      </c>
      <c r="DB34">
        <f>SUBTOTAL(101,Table4[2026-01-13])</f>
        <v>37.40625</v>
      </c>
      <c r="DC34">
        <f>SUBTOTAL(101,Table4[2026-01-14])</f>
        <v>37.40625</v>
      </c>
      <c r="DD34">
        <f>SUBTOTAL(101,Table4[2026-01-15])</f>
        <v>37.40625</v>
      </c>
      <c r="DE34">
        <f>SUBTOTAL(101,Table4[2026-01-16])</f>
        <v>37.40625</v>
      </c>
      <c r="DF34">
        <f>SUBTOTAL(101,Table4[2026-01-17])</f>
        <v>37.40625</v>
      </c>
      <c r="DG34">
        <f>SUBTOTAL(101,Table4[2026-01-18])</f>
        <v>37.40625</v>
      </c>
      <c r="DH34">
        <f>SUBTOTAL(101,Table4[2026-01-19])</f>
        <v>37.40625</v>
      </c>
      <c r="DI34">
        <f>SUBTOTAL(101,Table4[2026-01-20])</f>
        <v>37.40625</v>
      </c>
      <c r="DJ34">
        <f>SUBTOTAL(101,Table4[2026-01-21])</f>
        <v>37.40625</v>
      </c>
      <c r="DK34">
        <f>SUBTOTAL(101,Table4[2026-01-22])</f>
        <v>37.40625</v>
      </c>
      <c r="DL34">
        <f>SUBTOTAL(101,Table4[2026-01-23])</f>
        <v>37.40625</v>
      </c>
      <c r="DM34">
        <f>SUBTOTAL(101,Table4[2026-01-24])</f>
        <v>37.40625</v>
      </c>
      <c r="DN34">
        <f>SUBTOTAL(101,Table4[2026-01-25])</f>
        <v>37.40625</v>
      </c>
      <c r="DO34">
        <f>SUBTOTAL(101,Table4[2026-01-26])</f>
        <v>37.40625</v>
      </c>
      <c r="DP34">
        <f>SUBTOTAL(101,Table4[2026-01-27])</f>
        <v>37.40625</v>
      </c>
      <c r="DQ34">
        <f>SUBTOTAL(101,Table4[2026-01-28])</f>
        <v>37.40625</v>
      </c>
      <c r="DR34">
        <f>SUBTOTAL(101,Table4[2026-01-29])</f>
        <v>37.40625</v>
      </c>
      <c r="DS34">
        <f>SUBTOTAL(101,Table4[2026-01-30])</f>
        <v>37.40625</v>
      </c>
      <c r="DT34">
        <f>SUBTOTAL(101,Table4[2026-01-31])</f>
        <v>37.40625</v>
      </c>
      <c r="DU34">
        <f>SUBTOTAL(101,Table4[2026-02-01])</f>
        <v>37.40625</v>
      </c>
      <c r="DV34">
        <f>SUBTOTAL(101,Table4[2026-02-02])</f>
        <v>37.40625</v>
      </c>
      <c r="DW34">
        <f>SUBTOTAL(101,Table4[2026-02-03])</f>
        <v>37.40625</v>
      </c>
      <c r="DX34">
        <f>SUBTOTAL(101,Table4[2026-02-04])</f>
        <v>37.40625</v>
      </c>
      <c r="DY34">
        <f>SUBTOTAL(101,Table4[2026-02-05])</f>
        <v>37.40625</v>
      </c>
      <c r="DZ34">
        <f>SUBTOTAL(101,Table4[2026-02-06])</f>
        <v>37.40625</v>
      </c>
      <c r="EA34">
        <f>SUBTOTAL(101,Table4[2026-02-07])</f>
        <v>37.40625</v>
      </c>
      <c r="EB34">
        <f>SUBTOTAL(101,Table4[2026-02-08])</f>
        <v>37.40625</v>
      </c>
      <c r="EC34">
        <f>SUBTOTAL(101,Table4[2026-02-09])</f>
        <v>37.40625</v>
      </c>
      <c r="ED34">
        <f>SUBTOTAL(101,Table4[2026-02-10])</f>
        <v>37.40625</v>
      </c>
      <c r="EE34">
        <f>SUBTOTAL(101,Table4[2026-02-11])</f>
        <v>37.40625</v>
      </c>
      <c r="EF34">
        <f>SUBTOTAL(101,Table4[2026-02-12])</f>
        <v>37.40625</v>
      </c>
      <c r="EG34">
        <f>SUBTOTAL(101,Table4[2026-02-13])</f>
        <v>37.40625</v>
      </c>
      <c r="EH34">
        <f>SUBTOTAL(101,Table4[2026-02-14])</f>
        <v>37.40625</v>
      </c>
      <c r="EI34">
        <f>SUBTOTAL(101,Table4[2026-02-15])</f>
        <v>37.40625</v>
      </c>
      <c r="EJ34">
        <f>SUBTOTAL(101,Table4[2026-02-16])</f>
        <v>37.40625</v>
      </c>
      <c r="EK34">
        <f>SUBTOTAL(101,Table4[2026-02-17])</f>
        <v>37.40625</v>
      </c>
      <c r="EL34">
        <f>SUBTOTAL(101,Table4[2026-02-18])</f>
        <v>37.40625</v>
      </c>
      <c r="EM34">
        <f>SUBTOTAL(101,Table4[2026-02-19])</f>
        <v>37.40625</v>
      </c>
      <c r="EN34">
        <f>SUBTOTAL(101,Table4[2026-02-20])</f>
        <v>37.40625</v>
      </c>
      <c r="EO34">
        <f>SUBTOTAL(101,Table4[2026-02-21])</f>
        <v>37.40625</v>
      </c>
      <c r="EP34">
        <f>SUBTOTAL(101,Table4[2026-02-22])</f>
        <v>37.40625</v>
      </c>
      <c r="EQ34">
        <f>SUBTOTAL(101,Table4[2026-02-23])</f>
        <v>37.40625</v>
      </c>
      <c r="ER34">
        <f>SUBTOTAL(101,Table4[2026-02-24])</f>
        <v>37.40625</v>
      </c>
      <c r="ES34">
        <f>SUBTOTAL(101,Table4[2026-02-25])</f>
        <v>37.40625</v>
      </c>
      <c r="ET34">
        <f>SUBTOTAL(101,Table4[2026-02-26])</f>
        <v>37.40625</v>
      </c>
      <c r="EU34">
        <f>SUBTOTAL(101,Table4[2026-02-27])</f>
        <v>37.40625</v>
      </c>
      <c r="EV34">
        <f>SUBTOTAL(101,Table4[2026-02-28])</f>
        <v>37.40625</v>
      </c>
      <c r="EW34">
        <f>SUBTOTAL(101,Table4[2026-03-01])</f>
        <v>37.40625</v>
      </c>
      <c r="EX34">
        <f>SUBTOTAL(101,Table4[2026-03-02])</f>
        <v>37.40625</v>
      </c>
      <c r="EY34">
        <f>SUBTOTAL(101,Table4[2026-03-03])</f>
        <v>37.40625</v>
      </c>
      <c r="EZ34">
        <f>SUBTOTAL(101,Table4[2026-03-04])</f>
        <v>37.40625</v>
      </c>
      <c r="FA34">
        <f>SUBTOTAL(101,Table4[2026-03-05])</f>
        <v>37.40625</v>
      </c>
      <c r="FB34">
        <f>SUBTOTAL(101,Table4[2026-03-06])</f>
        <v>37.40625</v>
      </c>
      <c r="FC34">
        <f>SUBTOTAL(101,Table4[2026-03-07])</f>
        <v>37.40625</v>
      </c>
      <c r="FD34">
        <f>SUBTOTAL(101,Table4[2026-03-08])</f>
        <v>37.40625</v>
      </c>
      <c r="FE34">
        <f>SUBTOTAL(101,Table4[2026-03-09])</f>
        <v>37.40625</v>
      </c>
      <c r="FF34">
        <f>SUBTOTAL(101,Table4[2026-03-10])</f>
        <v>37.40625</v>
      </c>
      <c r="FG34">
        <f>SUBTOTAL(101,Table4[2026-03-11])</f>
        <v>37.40625</v>
      </c>
      <c r="FH34">
        <f>SUBTOTAL(101,Table4[2026-03-12])</f>
        <v>37.40625</v>
      </c>
      <c r="FI34">
        <f>SUBTOTAL(101,Table4[2026-03-13])</f>
        <v>37.40625</v>
      </c>
      <c r="FJ34">
        <f>SUBTOTAL(101,Table4[2026-03-14])</f>
        <v>37.40625</v>
      </c>
      <c r="FK34">
        <f>SUBTOTAL(101,Table4[2026-03-15])</f>
        <v>37.40625</v>
      </c>
      <c r="FL34">
        <f>SUBTOTAL(101,Table4[2026-03-16])</f>
        <v>37.40625</v>
      </c>
      <c r="FM34">
        <f>SUBTOTAL(101,Table4[2026-03-17])</f>
        <v>37.40625</v>
      </c>
      <c r="FN34">
        <f>SUBTOTAL(101,Table4[2026-03-18])</f>
        <v>37.40625</v>
      </c>
      <c r="FO34">
        <f>SUBTOTAL(101,Table4[2026-03-19])</f>
        <v>37.40625</v>
      </c>
      <c r="FP34">
        <f>SUBTOTAL(101,Table4[2026-03-20])</f>
        <v>37.40625</v>
      </c>
      <c r="FQ34">
        <f>SUBTOTAL(101,Table4[2026-03-21])</f>
        <v>37.40625</v>
      </c>
      <c r="FR34">
        <f>SUBTOTAL(101,Table4[2026-03-22])</f>
        <v>37.40625</v>
      </c>
      <c r="FS34">
        <f>SUBTOTAL(101,Table4[2026-03-23])</f>
        <v>37.40625</v>
      </c>
      <c r="FT34">
        <f>SUBTOTAL(101,Table4[2026-03-24])</f>
        <v>37.40625</v>
      </c>
      <c r="FU34">
        <f>SUBTOTAL(101,Table4[2026-03-25])</f>
        <v>37.40625</v>
      </c>
      <c r="FV34">
        <f>SUBTOTAL(101,Table4[2026-03-26])</f>
        <v>37.40625</v>
      </c>
      <c r="FW34">
        <f>SUBTOTAL(101,Table4[2026-03-27])</f>
        <v>37.40625</v>
      </c>
      <c r="FX34">
        <f>SUBTOTAL(101,Table4[2026-03-28])</f>
        <v>37.40625</v>
      </c>
      <c r="FY34">
        <f>SUBTOTAL(101,Table4[2026-03-29])</f>
        <v>37.40625</v>
      </c>
      <c r="FZ34">
        <f>SUBTOTAL(101,Table4[2026-03-30])</f>
        <v>37.40625</v>
      </c>
      <c r="GA34">
        <f>SUBTOTAL(101,Table4[2026-03-31])</f>
        <v>37.40625</v>
      </c>
      <c r="GB34">
        <f>SUBTOTAL(101,Table4[2026-04-01])</f>
        <v>37.40625</v>
      </c>
      <c r="GC34">
        <f>SUBTOTAL(101,Table4[2026-04-02])</f>
        <v>37.40625</v>
      </c>
      <c r="GD34">
        <f>SUBTOTAL(101,Table4[2026-04-03])</f>
        <v>37.40625</v>
      </c>
      <c r="GE34">
        <f>SUBTOTAL(101,Table4[2026-04-04])</f>
        <v>37.40625</v>
      </c>
      <c r="GF34">
        <f>SUBTOTAL(101,Table4[2026-04-05])</f>
        <v>37.40625</v>
      </c>
      <c r="GG34">
        <f>SUBTOTAL(101,Table4[2026-04-06])</f>
        <v>37.40625</v>
      </c>
      <c r="GH34">
        <f>SUBTOTAL(101,Table4[2026-04-07])</f>
        <v>37.40625</v>
      </c>
      <c r="GI34">
        <f>SUBTOTAL(101,Table4[2026-04-08])</f>
        <v>37.40625</v>
      </c>
      <c r="GJ34">
        <f>SUBTOTAL(101,Table4[2026-04-09])</f>
        <v>37.40625</v>
      </c>
      <c r="GK34">
        <f>SUBTOTAL(101,Table4[2026-04-10])</f>
        <v>37.40625</v>
      </c>
      <c r="GL34">
        <f>SUBTOTAL(101,Table4[2026-04-11])</f>
        <v>37.40625</v>
      </c>
      <c r="GM34">
        <f>SUBTOTAL(101,Table4[2026-04-12])</f>
        <v>37.40625</v>
      </c>
      <c r="GN34">
        <f>SUBTOTAL(101,Table4[2026-04-13])</f>
        <v>37.40625</v>
      </c>
      <c r="GO34">
        <f>SUBTOTAL(101,Table4[2026-04-14])</f>
        <v>37.40625</v>
      </c>
      <c r="GP34">
        <f>SUBTOTAL(101,Table4[2026-04-15])</f>
        <v>37.40625</v>
      </c>
      <c r="GQ34">
        <f>SUBTOTAL(101,Table4[2026-04-16])</f>
        <v>37.40625</v>
      </c>
      <c r="GR34">
        <f>SUBTOTAL(101,Table4[2026-04-17])</f>
        <v>37.40625</v>
      </c>
      <c r="GS34">
        <f>SUBTOTAL(101,Table4[2026-04-18])</f>
        <v>37.40625</v>
      </c>
      <c r="GT34">
        <f>SUBTOTAL(101,Table4[2026-04-19])</f>
        <v>37.40625</v>
      </c>
      <c r="GU34">
        <f>SUBTOTAL(101,Table4[2026-04-20])</f>
        <v>37.40625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39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39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39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41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41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41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41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41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41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41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41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41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41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41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41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41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41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41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41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41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41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41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41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41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41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41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41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41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41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41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41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41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41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41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41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41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41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41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41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41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41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41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41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41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41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41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41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41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41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41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41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41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41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41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41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41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41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41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41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41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41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41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41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41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41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41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41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41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41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41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41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41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41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41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41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41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41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41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41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41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41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41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41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41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41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41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41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41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41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41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41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41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41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41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41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41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41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41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41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41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41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41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41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41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41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41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41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41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41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41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41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41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41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41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41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41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41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41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41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41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41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41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41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41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41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41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41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41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41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36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34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34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36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36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36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36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36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36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36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36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36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36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36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36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36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36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36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36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36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36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36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36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36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36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36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36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36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36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36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36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36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36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36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36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36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36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36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36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36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36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36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36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36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36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36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36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36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36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36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36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36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36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36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36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36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36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36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36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36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36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36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36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36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36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36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36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36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36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36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36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36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36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36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36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36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36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36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36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36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36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36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36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36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36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36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36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36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36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36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36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36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36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36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36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36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36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36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36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36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36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36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36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36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36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36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36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36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36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36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36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36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36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36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36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36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36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36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36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36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36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36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36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36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36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36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36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36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36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36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38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38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38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38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38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40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40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40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40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40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40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40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40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40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40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40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40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40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40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40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40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40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40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40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40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40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40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40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40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40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40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40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40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40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40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40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40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40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40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40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40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40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40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40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40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40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40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40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40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40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40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40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40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40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40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40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40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40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40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40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40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40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40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40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40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40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40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40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40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40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40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40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40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40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40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40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40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40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40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40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40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40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40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40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40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40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40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40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40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40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40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40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40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40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40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40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40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40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40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40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40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40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40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40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40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40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40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40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40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40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40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40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40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40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40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40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40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40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40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40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40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40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40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40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40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40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40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40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40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40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40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39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39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39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39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39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39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39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39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39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39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39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39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39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39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39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39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39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39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39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39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39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39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39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39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39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39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39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39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39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39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39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39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39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39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39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39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39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39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39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39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39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39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39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39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39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39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39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39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39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39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39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39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39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39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39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39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39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39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39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39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39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39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39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39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39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39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39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39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39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39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39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39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39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39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39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39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39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39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39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39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39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39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39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39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39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39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39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39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39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39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39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39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39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39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39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39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39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39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39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39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39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39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39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39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39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39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39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39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39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39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39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39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39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39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39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39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39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39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39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39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39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39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39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39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39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39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39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39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39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30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30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30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32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32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32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32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32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32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32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32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32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32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32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32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32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32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32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32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32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32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32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32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32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32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32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32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32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32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32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32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32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32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32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32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32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32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32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32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32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32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32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32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32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32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32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32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32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32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32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32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32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32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32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32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32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32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32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32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32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32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32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32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32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32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32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32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32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32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32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32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32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32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32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32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32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32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32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32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32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32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32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32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32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32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32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32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32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32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32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32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32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32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32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32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32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32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32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32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32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32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32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32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32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32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32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32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32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32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32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32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32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32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32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32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32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32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32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32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32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32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32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32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32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32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32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32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32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32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32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32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40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40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42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44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44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44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44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44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44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44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44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44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44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44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44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44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44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44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44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44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44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44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44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44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44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44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44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44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44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44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44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44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44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44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44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44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44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44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44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44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44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44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44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44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44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44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44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44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44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44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44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44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44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44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44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44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44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44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44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44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44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44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44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44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44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44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44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44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44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44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44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44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44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44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44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44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44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44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44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44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44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44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44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44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44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44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44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44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44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44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44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44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44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44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44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44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44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44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44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44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44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44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44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44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44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44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44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44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44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44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44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44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44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44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44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44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44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44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44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44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44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44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44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44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44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44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44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44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44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44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44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40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40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40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40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40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40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40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40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40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40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40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40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40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40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40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40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40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40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40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40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40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40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40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40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40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40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40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40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40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40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40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40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40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40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40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40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40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40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40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40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40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40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40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40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40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40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40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40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40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40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40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40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40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40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40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40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40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40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40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40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40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40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40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40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40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40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40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40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40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40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40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40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40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40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40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40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40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40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40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40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40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40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40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40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40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40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40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40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40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40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40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40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40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40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40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40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40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40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40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40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40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40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40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40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40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40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40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40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40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40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40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40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40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40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40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40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40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40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40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40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40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40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40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40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40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40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40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40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40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40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40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36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37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37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37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37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37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37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37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37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37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37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37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37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37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37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37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37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37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37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37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37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37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37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37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37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37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37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37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37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37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37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37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37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37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37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37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37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37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37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37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37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37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37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37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37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37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37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37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37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37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37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37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37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37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37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37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37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37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37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37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37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37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37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37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37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37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37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37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37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37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37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37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37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37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37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37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37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37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37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37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37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37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37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37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37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37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37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37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37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37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37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37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37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37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37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37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37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37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37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37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37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37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37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37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37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37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37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37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37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37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37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37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37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37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37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37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37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37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37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37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37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37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37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37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37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37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37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37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37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36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36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36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36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36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36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36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36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36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36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36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36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36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36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36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36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36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36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36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36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36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36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36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36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36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36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36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36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36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36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36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36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36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36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36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36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36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36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36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36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36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36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36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36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36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36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36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36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36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36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36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36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36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36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36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36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36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36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36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36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36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36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36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36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36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36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36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36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36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36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36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36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36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36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36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36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36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36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36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36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36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36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36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36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36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36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36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36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36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36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36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36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36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36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36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36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36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36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36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36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36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36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36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36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36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36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36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36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36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36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36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36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36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36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36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36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36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36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36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36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36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36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36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36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36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36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36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36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36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35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35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36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37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37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39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39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39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39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39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39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39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39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39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39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39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39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39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39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39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39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39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39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39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39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39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39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39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39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39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39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39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39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39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39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39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39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39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39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39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39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39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39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39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39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39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39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39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39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39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39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39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39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39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39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39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39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39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39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39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39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39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39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39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39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39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39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39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39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39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39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39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39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39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39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39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39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39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39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39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39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39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39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39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39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39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39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39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39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39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39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39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39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39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39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39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39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39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39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39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39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39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39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39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39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39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39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39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39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39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39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39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39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39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39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39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39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39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39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39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39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39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39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39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39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39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39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39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39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39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39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41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41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41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41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41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41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41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41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41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41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41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41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41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41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41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41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41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41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41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41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41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41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41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41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41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41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41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41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41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41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41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41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41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41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41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41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41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41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41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41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41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41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41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41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41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41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41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41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41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41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41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41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41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41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41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41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41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41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41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41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41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41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41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41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41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41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41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41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41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41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41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41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41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41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41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41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41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41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41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41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41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41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41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41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41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41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41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41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41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41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41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41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41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41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41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41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41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41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41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41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41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41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41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41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41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41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41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41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41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41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41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41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41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41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41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41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41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41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41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41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41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41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41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41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41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41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41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41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41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34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34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34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34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34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34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34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34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34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34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34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34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34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34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34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34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34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34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34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34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34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34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34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34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34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34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34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34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34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34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34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34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34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34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34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34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34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34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34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34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34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34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34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34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34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34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34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34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34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34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34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34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34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34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34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34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34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34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34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34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34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34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34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34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34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34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34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34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34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34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34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34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34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34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34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34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34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34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34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34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34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34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34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34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34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34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34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34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34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34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34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34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34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34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34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34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34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34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34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34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34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34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34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34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34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34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34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34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34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34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34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34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34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34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34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34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34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34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34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34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34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34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34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34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34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34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51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51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53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53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53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55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55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55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55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55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55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55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55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55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55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55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55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55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55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55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55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55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55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55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55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55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55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55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55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55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55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55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55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55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55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55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55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55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55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55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55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55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55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55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55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55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55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55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55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55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55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55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55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55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55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55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55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55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55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55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55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55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55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55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55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55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55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55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55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55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55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55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55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55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55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55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55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55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55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55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55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55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55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55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55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55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55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55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55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55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55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55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55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55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55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55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55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55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55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55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55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55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55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55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55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55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55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55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55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55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55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55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55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55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55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55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55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55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55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55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55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55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55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55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55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55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55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55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55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55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55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31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31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32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32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32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32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32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32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32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32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32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32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32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32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32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32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32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32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32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32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32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32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32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32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32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32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32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32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32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32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32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32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32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32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32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32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32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32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32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32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32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32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32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32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32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32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32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32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32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32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32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32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32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32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32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32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32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32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32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32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32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32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32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32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32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32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32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32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32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32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32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32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32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32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32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32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32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32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32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32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32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32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32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32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32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32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32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32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32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32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32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32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32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32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32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32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32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32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32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32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32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32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32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32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32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32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32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32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32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32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32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32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32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32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32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32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32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32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32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32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32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32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32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32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32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32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32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32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32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49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49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49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49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49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49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49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49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49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49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49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49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49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49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49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49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49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49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49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49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49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49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49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49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49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49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49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49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49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49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49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49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49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49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49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49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49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49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49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49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49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49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49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49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49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49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49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49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49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49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49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49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49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49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49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49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49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49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49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49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49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49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49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49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49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49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49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49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49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49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49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49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49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49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49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49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49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49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49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49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49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49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49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49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49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49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49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49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49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49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49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49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49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49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49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49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49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49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49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49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49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49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49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49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49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49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49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49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49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49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49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49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49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49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49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49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49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49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49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49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49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49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49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49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49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49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49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32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32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32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32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32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32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32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32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32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32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32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32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32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32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32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32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32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32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32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32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32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32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32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32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32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32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32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32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32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32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32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32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32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32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32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32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32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32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32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32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32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32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32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32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32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32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32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32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32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32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32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32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32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32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32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32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32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32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32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32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32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32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32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32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32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32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32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32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32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32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32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32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32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32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32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32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32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32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32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32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32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32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32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32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32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32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32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32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32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32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32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32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32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32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32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32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32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32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32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32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32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32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32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32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32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32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32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32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32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32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32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32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32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32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32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32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32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32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32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32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32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32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32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32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32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32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32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32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32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32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35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35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35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35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35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35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35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35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35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35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35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35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35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35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35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35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35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35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35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35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35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35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35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35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35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35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35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35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35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35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35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35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35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35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35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35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35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35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35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35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35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35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35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35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35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35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35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35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35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35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35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35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35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35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35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35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35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35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35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35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35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35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35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35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35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35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35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35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35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35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35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35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35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35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35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35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35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35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35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35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35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35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35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35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35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35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35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35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35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35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35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35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35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35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35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35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35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35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35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35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35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35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35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35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35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35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35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35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35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35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35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35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35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35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35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35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35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35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35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35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35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35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35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35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35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35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35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35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28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28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28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28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30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30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30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30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30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30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30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30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30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30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30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30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30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30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30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30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30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30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30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30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30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30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30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30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30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30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30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30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30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30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30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30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30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30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30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30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30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30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30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30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30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30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30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30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30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30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30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30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30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30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30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30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30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30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30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30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30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30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30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30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30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30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30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30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30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30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30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30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30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30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30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30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30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30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30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30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30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30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30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30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30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30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30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30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30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30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30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30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30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30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30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30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30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30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30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30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30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30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30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30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30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30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30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30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30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30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30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30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30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30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30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30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30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30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30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30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30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30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30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30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30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30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30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30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30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30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30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39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39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41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43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43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45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45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45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45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45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45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45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45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45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45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45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45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45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45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45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45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45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45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45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45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45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45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45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45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45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45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45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45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45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45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45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45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45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45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45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45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45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45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45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45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45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45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45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45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45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45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45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45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45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45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45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45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45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45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45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45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45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45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45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45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45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45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45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45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45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45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45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45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45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45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45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45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45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45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45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45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45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45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45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45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45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45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45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45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45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45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45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45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45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45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45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45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45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45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45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45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45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45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45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45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45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45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45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45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45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45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45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45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45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45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45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45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45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45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45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45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45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45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45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45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45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45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45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45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45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45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39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39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41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41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41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41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41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41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41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41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41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41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41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41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41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41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41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41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41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41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41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41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41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41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41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41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41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41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41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41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41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41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41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41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41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41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41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41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41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41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41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41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41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41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41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41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41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41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41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41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41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41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41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41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41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41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41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41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41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41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41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41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41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41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41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41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41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41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41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41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41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41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41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41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41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41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41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41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41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41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41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41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41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41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41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41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41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41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41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41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41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41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41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41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41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41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41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41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41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41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41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41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41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41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41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41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41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41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41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41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41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41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41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41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41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41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41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41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41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41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41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41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41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41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41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41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41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41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41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41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41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29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29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29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29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29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29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29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29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29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29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29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29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29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29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29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29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29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29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29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29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29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29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29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29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29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29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29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29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29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29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29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29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29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29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29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29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29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29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29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29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29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29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29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29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29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29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29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29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29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29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29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29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29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29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29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29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29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29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29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29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29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29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29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29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29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29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29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29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29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29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29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29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29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29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29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29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29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29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29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29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29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29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29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29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29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29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29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29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29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29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29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29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29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29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29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29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29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29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29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29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29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29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29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29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29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29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29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29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29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29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29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29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29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29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29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29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29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29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29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29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29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29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29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29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29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29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34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34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36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36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36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38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38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38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38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38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38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38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38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38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38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38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38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38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38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38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38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38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38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38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38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38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38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38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38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38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38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38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38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38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38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38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38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38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38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38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38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38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38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38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38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38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38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38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38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38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38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38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38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38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38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38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38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38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38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38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38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38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38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38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38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38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38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38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38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38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38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38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38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38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38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38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38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38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38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38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38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38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38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38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38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38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38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38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38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38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38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38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38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38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38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38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38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38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38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38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38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38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38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38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38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38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38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38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38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38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38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38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38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38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38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38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38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38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38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38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38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38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38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38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38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38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38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38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38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38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38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37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37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37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37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37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37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37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37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37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37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37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37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37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37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37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37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37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37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37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37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37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37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37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37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37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37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37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37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37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37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37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37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37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37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37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37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37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37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37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37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37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37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37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37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37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37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37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37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37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37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37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37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37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37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37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37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37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37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37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37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37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37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37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37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37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37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37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37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37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37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37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37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37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37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37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37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37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37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37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37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37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37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37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37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37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37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37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37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37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37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37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37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37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37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37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37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37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37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37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37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37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37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37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37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37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37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37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37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37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37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37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37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37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37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37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37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37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37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37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37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37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37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37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37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37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37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37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37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37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41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42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42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42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42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42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42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42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42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42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42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42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42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42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42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42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42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42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42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42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42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42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42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42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42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42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42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42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42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42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42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42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42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42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42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42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42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42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42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42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42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42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42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42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42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42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42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42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42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42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42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42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42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42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42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42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42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42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42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42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42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42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42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42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42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42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42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42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42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42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42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42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42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42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42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42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42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42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42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42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42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42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42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42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42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42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42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42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42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42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42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42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42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42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42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42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42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42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42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42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42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42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42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42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42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42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42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42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42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42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42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42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42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42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42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42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42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42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42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42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42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42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42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42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42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42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42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30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30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30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30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30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30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30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30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30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30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30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30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30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30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30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30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30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30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30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30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30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30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30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30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30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30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30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30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30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30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30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30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30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30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30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30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30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30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30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30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30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30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30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30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30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30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30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30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30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30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30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30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30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30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30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30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30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30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30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30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30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30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30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30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30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30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30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30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30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30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30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30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30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30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30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30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30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30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30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30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30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30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30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30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30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30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30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30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30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30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30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30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30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30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30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30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30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30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30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30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30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30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30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30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30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30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30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30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30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30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30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30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30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30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30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30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30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30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30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30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30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30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30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30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30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30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30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30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30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33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33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37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37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37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37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37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37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37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37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37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37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37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37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37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37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37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37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37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37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37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37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37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37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37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37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37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37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37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37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37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37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37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37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37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37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37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37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37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37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37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37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37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37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37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37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37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37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37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37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37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37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37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37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37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37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37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37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37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37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37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37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37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37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37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37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37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37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37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37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37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37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37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37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37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37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37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37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37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37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37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37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37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37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37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37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37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37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37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37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37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37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37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37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37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37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37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37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37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37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37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37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37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37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37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37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37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37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37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37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37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37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37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37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37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37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37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37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37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37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37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37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37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37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37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37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37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37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34.875</v>
      </c>
      <c r="BV70">
        <f>SUBTOTAL(101,Table46[2024-12-12])</f>
        <v>35</v>
      </c>
      <c r="BW70">
        <f>SUBTOTAL(101,Table46[2024-12-13])</f>
        <v>35.96875</v>
      </c>
      <c r="BX70">
        <f>SUBTOTAL(101,Table46[2024-12-14])</f>
        <v>36.40625</v>
      </c>
      <c r="BY70">
        <f>SUBTOTAL(101,Table46[2024-12-15])</f>
        <v>36.75</v>
      </c>
      <c r="BZ70">
        <f>SUBTOTAL(101,Table46[2024-12-16])</f>
        <v>37.40625</v>
      </c>
      <c r="CA70">
        <f>SUBTOTAL(101,Table46[2024-12-17])</f>
        <v>37.40625</v>
      </c>
      <c r="CB70">
        <f>SUBTOTAL(101,Table46[2024-12-18])</f>
        <v>37.40625</v>
      </c>
      <c r="CC70">
        <f>SUBTOTAL(101,Table46[2024-12-19])</f>
        <v>37.40625</v>
      </c>
      <c r="CD70">
        <f>SUBTOTAL(101,Table46[2024-12-20])</f>
        <v>37.40625</v>
      </c>
      <c r="CE70">
        <f>SUBTOTAL(101,Table46[2024-12-21])</f>
        <v>37.40625</v>
      </c>
      <c r="CF70">
        <f>SUBTOTAL(101,Table46[2024-12-22])</f>
        <v>37.40625</v>
      </c>
      <c r="CG70">
        <f>SUBTOTAL(101,Table46[2024-12-23])</f>
        <v>37.40625</v>
      </c>
      <c r="CH70">
        <f>SUBTOTAL(101,Table46[2024-12-24])</f>
        <v>37.40625</v>
      </c>
      <c r="CI70">
        <f>SUBTOTAL(101,Table46[2024-12-25])</f>
        <v>37.40625</v>
      </c>
      <c r="CJ70">
        <f>SUBTOTAL(101,Table46[2024-12-26])</f>
        <v>37.40625</v>
      </c>
      <c r="CK70">
        <f>SUBTOTAL(101,Table46[2024-12-27])</f>
        <v>37.40625</v>
      </c>
      <c r="CL70">
        <f>SUBTOTAL(101,Table46[2024-12-28])</f>
        <v>37.40625</v>
      </c>
      <c r="CM70">
        <f>SUBTOTAL(101,Table46[2024-12-29])</f>
        <v>37.40625</v>
      </c>
      <c r="CN70">
        <f>SUBTOTAL(101,Table46[2024-12-30])</f>
        <v>37.40625</v>
      </c>
      <c r="CO70">
        <f>SUBTOTAL(101,Table46[2024-12-31])</f>
        <v>37.40625</v>
      </c>
      <c r="CP70">
        <f>SUBTOTAL(101,Table46[2025-01-01])</f>
        <v>37.40625</v>
      </c>
      <c r="CQ70">
        <f>SUBTOTAL(101,Table46[2025-01-02])</f>
        <v>37.40625</v>
      </c>
      <c r="CR70">
        <f>SUBTOTAL(101,Table46[2025-01-03])</f>
        <v>37.40625</v>
      </c>
      <c r="CS70">
        <f>SUBTOTAL(101,Table46[2025-01-04])</f>
        <v>37.40625</v>
      </c>
      <c r="CT70">
        <f>SUBTOTAL(101,Table46[2025-01-05])</f>
        <v>37.40625</v>
      </c>
      <c r="CU70">
        <f>SUBTOTAL(101,Table46[2025-01-06])</f>
        <v>37.40625</v>
      </c>
      <c r="CV70">
        <f>SUBTOTAL(101,Table46[2025-01-07])</f>
        <v>37.40625</v>
      </c>
      <c r="CW70">
        <f>SUBTOTAL(101,Table46[2025-01-08])</f>
        <v>37.40625</v>
      </c>
      <c r="CX70">
        <f>SUBTOTAL(101,Table46[2025-01-09])</f>
        <v>37.40625</v>
      </c>
      <c r="CY70">
        <f>SUBTOTAL(101,Table46[2025-01-10])</f>
        <v>37.40625</v>
      </c>
      <c r="CZ70">
        <f>SUBTOTAL(101,Table46[2025-01-11])</f>
        <v>37.40625</v>
      </c>
      <c r="DA70">
        <f>SUBTOTAL(101,Table46[2025-01-12])</f>
        <v>37.40625</v>
      </c>
      <c r="DB70">
        <f>SUBTOTAL(101,Table46[2025-01-13])</f>
        <v>37.40625</v>
      </c>
      <c r="DC70">
        <f>SUBTOTAL(101,Table46[2025-01-14])</f>
        <v>37.40625</v>
      </c>
      <c r="DD70">
        <f>SUBTOTAL(101,Table46[2025-01-15])</f>
        <v>37.40625</v>
      </c>
      <c r="DE70">
        <f>SUBTOTAL(101,Table46[2025-01-16])</f>
        <v>37.40625</v>
      </c>
      <c r="DF70">
        <f>SUBTOTAL(101,Table46[2025-01-17])</f>
        <v>37.40625</v>
      </c>
      <c r="DG70">
        <f>SUBTOTAL(101,Table46[2025-01-18])</f>
        <v>37.40625</v>
      </c>
      <c r="DH70">
        <f>SUBTOTAL(101,Table46[2025-01-19])</f>
        <v>37.40625</v>
      </c>
      <c r="DI70">
        <f>SUBTOTAL(101,Table46[2025-01-20])</f>
        <v>37.40625</v>
      </c>
      <c r="DJ70">
        <f>SUBTOTAL(101,Table46[2025-01-21])</f>
        <v>37.40625</v>
      </c>
      <c r="DK70">
        <f>SUBTOTAL(101,Table46[2025-01-22])</f>
        <v>37.40625</v>
      </c>
      <c r="DL70">
        <f>SUBTOTAL(101,Table46[2025-01-23])</f>
        <v>37.40625</v>
      </c>
      <c r="DM70">
        <f>SUBTOTAL(101,Table46[2025-01-24])</f>
        <v>37.40625</v>
      </c>
      <c r="DN70">
        <f>SUBTOTAL(101,Table46[2025-01-25])</f>
        <v>37.40625</v>
      </c>
      <c r="DO70">
        <f>SUBTOTAL(101,Table46[2025-01-26])</f>
        <v>37.40625</v>
      </c>
      <c r="DP70">
        <f>SUBTOTAL(101,Table46[2025-01-27])</f>
        <v>37.40625</v>
      </c>
      <c r="DQ70">
        <f>SUBTOTAL(101,Table46[2025-01-28])</f>
        <v>37.40625</v>
      </c>
      <c r="DR70">
        <f>SUBTOTAL(101,Table46[2025-01-29])</f>
        <v>37.40625</v>
      </c>
      <c r="DS70">
        <f>SUBTOTAL(101,Table46[2025-01-30])</f>
        <v>37.40625</v>
      </c>
      <c r="DT70">
        <f>SUBTOTAL(101,Table46[2025-01-31])</f>
        <v>37.40625</v>
      </c>
      <c r="DU70">
        <f>SUBTOTAL(101,Table46[2025-02-01])</f>
        <v>37.40625</v>
      </c>
      <c r="DV70">
        <f>SUBTOTAL(101,Table46[2025-02-02])</f>
        <v>37.40625</v>
      </c>
      <c r="DW70">
        <f>SUBTOTAL(101,Table46[2025-02-03])</f>
        <v>37.40625</v>
      </c>
      <c r="DX70">
        <f>SUBTOTAL(101,Table46[2025-02-04])</f>
        <v>37.40625</v>
      </c>
      <c r="DY70">
        <f>SUBTOTAL(101,Table46[2025-02-05])</f>
        <v>37.40625</v>
      </c>
      <c r="DZ70">
        <f>SUBTOTAL(101,Table46[2025-02-06])</f>
        <v>37.40625</v>
      </c>
      <c r="EA70">
        <f>SUBTOTAL(101,Table46[2025-02-07])</f>
        <v>37.40625</v>
      </c>
      <c r="EB70">
        <f>SUBTOTAL(101,Table46[2025-02-08])</f>
        <v>37.40625</v>
      </c>
      <c r="EC70">
        <f>SUBTOTAL(101,Table46[2025-02-09])</f>
        <v>37.40625</v>
      </c>
      <c r="ED70">
        <f>SUBTOTAL(101,Table46[2025-02-10])</f>
        <v>37.40625</v>
      </c>
      <c r="EE70">
        <f>SUBTOTAL(101,Table46[2025-02-11])</f>
        <v>37.40625</v>
      </c>
      <c r="EF70">
        <f>SUBTOTAL(101,Table46[2025-02-12])</f>
        <v>37.40625</v>
      </c>
      <c r="EG70">
        <f>SUBTOTAL(101,Table46[2025-02-13])</f>
        <v>37.40625</v>
      </c>
      <c r="EH70">
        <f>SUBTOTAL(101,Table46[2025-02-14])</f>
        <v>37.40625</v>
      </c>
      <c r="EI70">
        <f>SUBTOTAL(101,Table46[2025-02-15])</f>
        <v>37.40625</v>
      </c>
      <c r="EJ70">
        <f>SUBTOTAL(101,Table46[2025-02-16])</f>
        <v>37.40625</v>
      </c>
      <c r="EK70">
        <f>SUBTOTAL(101,Table46[2025-02-17])</f>
        <v>37.40625</v>
      </c>
      <c r="EL70">
        <f>SUBTOTAL(101,Table46[2025-02-18])</f>
        <v>37.40625</v>
      </c>
      <c r="EM70">
        <f>SUBTOTAL(101,Table46[2025-02-19])</f>
        <v>37.40625</v>
      </c>
      <c r="EN70">
        <f>SUBTOTAL(101,Table46[2025-02-20])</f>
        <v>37.40625</v>
      </c>
      <c r="EO70">
        <f>SUBTOTAL(101,Table46[2025-02-21])</f>
        <v>37.40625</v>
      </c>
      <c r="EP70">
        <f>SUBTOTAL(101,Table46[2025-02-22])</f>
        <v>37.40625</v>
      </c>
      <c r="EQ70">
        <f>SUBTOTAL(101,Table46[2025-02-23])</f>
        <v>37.40625</v>
      </c>
      <c r="ER70">
        <f>SUBTOTAL(101,Table46[2025-02-24])</f>
        <v>37.40625</v>
      </c>
      <c r="ES70">
        <f>SUBTOTAL(101,Table46[2025-02-25])</f>
        <v>37.40625</v>
      </c>
      <c r="ET70">
        <f>SUBTOTAL(101,Table46[2025-02-26])</f>
        <v>37.40625</v>
      </c>
      <c r="EU70">
        <f>SUBTOTAL(101,Table46[2025-02-27])</f>
        <v>37.40625</v>
      </c>
      <c r="EV70">
        <f>SUBTOTAL(101,Table46[2025-02-28])</f>
        <v>37.40625</v>
      </c>
      <c r="EW70">
        <f>SUBTOTAL(101,Table46[2025-03-01])</f>
        <v>37.40625</v>
      </c>
      <c r="EX70">
        <f>SUBTOTAL(101,Table46[2025-03-02])</f>
        <v>37.40625</v>
      </c>
      <c r="EY70">
        <f>SUBTOTAL(101,Table46[2025-03-03])</f>
        <v>37.40625</v>
      </c>
      <c r="EZ70">
        <f>SUBTOTAL(101,Table46[2025-03-04])</f>
        <v>37.40625</v>
      </c>
      <c r="FA70">
        <f>SUBTOTAL(101,Table46[2025-03-05])</f>
        <v>37.40625</v>
      </c>
      <c r="FB70">
        <f>SUBTOTAL(101,Table46[2025-03-06])</f>
        <v>37.40625</v>
      </c>
      <c r="FC70">
        <f>SUBTOTAL(101,Table46[2025-03-07])</f>
        <v>37.40625</v>
      </c>
      <c r="FD70">
        <f>SUBTOTAL(101,Table46[2025-03-08])</f>
        <v>37.40625</v>
      </c>
      <c r="FE70">
        <f>SUBTOTAL(101,Table46[2025-03-09])</f>
        <v>37.40625</v>
      </c>
      <c r="FF70">
        <f>SUBTOTAL(101,Table46[2025-03-10])</f>
        <v>37.40625</v>
      </c>
      <c r="FG70">
        <f>SUBTOTAL(101,Table46[2025-03-11])</f>
        <v>37.40625</v>
      </c>
      <c r="FH70">
        <f>SUBTOTAL(101,Table46[2025-03-12])</f>
        <v>37.40625</v>
      </c>
      <c r="FI70">
        <f>SUBTOTAL(101,Table46[2025-03-13])</f>
        <v>37.40625</v>
      </c>
      <c r="FJ70">
        <f>SUBTOTAL(101,Table46[2025-03-14])</f>
        <v>37.40625</v>
      </c>
      <c r="FK70">
        <f>SUBTOTAL(101,Table46[2025-03-15])</f>
        <v>37.40625</v>
      </c>
      <c r="FL70">
        <f>SUBTOTAL(101,Table46[2025-03-16])</f>
        <v>37.40625</v>
      </c>
      <c r="FM70">
        <f>SUBTOTAL(101,Table46[2025-03-17])</f>
        <v>37.40625</v>
      </c>
      <c r="FN70">
        <f>SUBTOTAL(101,Table46[2025-03-18])</f>
        <v>37.40625</v>
      </c>
      <c r="FO70">
        <f>SUBTOTAL(101,Table46[2025-03-19])</f>
        <v>37.40625</v>
      </c>
      <c r="FP70">
        <f>SUBTOTAL(101,Table46[2025-03-20])</f>
        <v>37.40625</v>
      </c>
      <c r="FQ70">
        <f>SUBTOTAL(101,Table46[2025-03-21])</f>
        <v>37.40625</v>
      </c>
      <c r="FR70">
        <f>SUBTOTAL(101,Table46[2025-03-22])</f>
        <v>37.40625</v>
      </c>
      <c r="FS70">
        <f>SUBTOTAL(101,Table46[2025-03-23])</f>
        <v>37.40625</v>
      </c>
      <c r="FT70">
        <f>SUBTOTAL(101,Table46[2025-03-24])</f>
        <v>37.40625</v>
      </c>
      <c r="FU70">
        <f>SUBTOTAL(101,Table46[2025-03-25])</f>
        <v>37.40625</v>
      </c>
      <c r="FV70">
        <f>SUBTOTAL(101,Table46[2025-03-26])</f>
        <v>37.40625</v>
      </c>
      <c r="FW70">
        <f>SUBTOTAL(101,Table46[2025-03-27])</f>
        <v>37.40625</v>
      </c>
      <c r="FX70">
        <f>SUBTOTAL(101,Table46[2025-03-28])</f>
        <v>37.40625</v>
      </c>
      <c r="FY70">
        <f>SUBTOTAL(101,Table46[2025-03-29])</f>
        <v>37.40625</v>
      </c>
      <c r="FZ70">
        <f>SUBTOTAL(101,Table46[2025-03-30])</f>
        <v>37.40625</v>
      </c>
      <c r="GA70">
        <f>SUBTOTAL(101,Table46[2025-03-31])</f>
        <v>37.40625</v>
      </c>
      <c r="GB70">
        <f>SUBTOTAL(101,Table46[2025-04-01])</f>
        <v>37.40625</v>
      </c>
      <c r="GC70">
        <f>SUBTOTAL(101,Table46[2025-04-02])</f>
        <v>37.40625</v>
      </c>
      <c r="GD70">
        <f>SUBTOTAL(101,Table46[2025-04-03])</f>
        <v>37.40625</v>
      </c>
      <c r="GE70">
        <f>SUBTOTAL(101,Table46[2025-04-04])</f>
        <v>37.40625</v>
      </c>
      <c r="GF70">
        <f>SUBTOTAL(101,Table46[2025-04-05])</f>
        <v>37.40625</v>
      </c>
      <c r="GG70">
        <f>SUBTOTAL(101,Table46[2025-04-06])</f>
        <v>37.40625</v>
      </c>
      <c r="GH70">
        <f>SUBTOTAL(101,Table46[2025-04-07])</f>
        <v>37.40625</v>
      </c>
      <c r="GI70">
        <f>SUBTOTAL(101,Table46[2025-04-08])</f>
        <v>37.40625</v>
      </c>
      <c r="GJ70">
        <f>SUBTOTAL(101,Table46[2025-04-09])</f>
        <v>37.40625</v>
      </c>
      <c r="GK70">
        <f>SUBTOTAL(101,Table46[2025-04-10])</f>
        <v>37.40625</v>
      </c>
      <c r="GL70">
        <f>SUBTOTAL(101,Table46[2025-04-11])</f>
        <v>37.40625</v>
      </c>
      <c r="GM70">
        <f>SUBTOTAL(101,Table46[2025-04-12])</f>
        <v>37.40625</v>
      </c>
      <c r="GN70">
        <f>SUBTOTAL(101,Table46[2025-04-13])</f>
        <v>37.40625</v>
      </c>
      <c r="GO70">
        <f>SUBTOTAL(101,Table46[2025-04-14])</f>
        <v>37.40625</v>
      </c>
      <c r="GP70">
        <f>SUBTOTAL(101,Table46[2025-04-15])</f>
        <v>37.40625</v>
      </c>
      <c r="GQ70">
        <f>SUBTOTAL(101,Table46[2025-04-16])</f>
        <v>37.40625</v>
      </c>
      <c r="GR70">
        <f>SUBTOTAL(101,Table46[2025-04-17])</f>
        <v>37.40625</v>
      </c>
      <c r="GS70">
        <f>SUBTOTAL(101,Table46[2025-04-18])</f>
        <v>37.40625</v>
      </c>
      <c r="GT70">
        <f>SUBTOTAL(101,Table46[2025-04-19])</f>
        <v>37.40625</v>
      </c>
      <c r="GU70">
        <f>SUBTOTAL(101,Table46[2025-04-20])</f>
        <v>37.40625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1">
        <f>BO3+BO4</f>
        <v>82</v>
      </c>
    </row>
    <row r="4" spans="1:68" ht="9.9499999999999993" customHeight="1" x14ac:dyDescent="0.25">
      <c r="A4" s="173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1"/>
    </row>
    <row r="5" spans="1:68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1">
        <f t="shared" ref="BP5" si="1">BO5+BO6</f>
        <v>82</v>
      </c>
    </row>
    <row r="6" spans="1:68" ht="9.9499999999999993" customHeight="1" x14ac:dyDescent="0.25">
      <c r="A6" s="173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1"/>
    </row>
    <row r="7" spans="1:68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1">
        <f t="shared" ref="BP7" si="2">BO7+BO8</f>
        <v>82</v>
      </c>
    </row>
    <row r="8" spans="1:68" ht="9.9499999999999993" customHeight="1" x14ac:dyDescent="0.25">
      <c r="A8" s="173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1"/>
    </row>
    <row r="9" spans="1:68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1">
        <f t="shared" ref="BP9" si="3">BO9+BO10</f>
        <v>82</v>
      </c>
    </row>
    <row r="10" spans="1:68" ht="9.9499999999999993" customHeight="1" x14ac:dyDescent="0.25">
      <c r="A10" s="173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1"/>
    </row>
    <row r="11" spans="1:68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1">
        <f t="shared" ref="BP11" si="4">BO11+BO12</f>
        <v>82</v>
      </c>
    </row>
    <row r="12" spans="1:68" ht="9.9499999999999993" customHeight="1" x14ac:dyDescent="0.25">
      <c r="A12" s="173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1"/>
    </row>
    <row r="13" spans="1:68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1">
        <f t="shared" ref="BP13" si="5">BO13+BO14</f>
        <v>82</v>
      </c>
    </row>
    <row r="14" spans="1:68" ht="9.9499999999999993" customHeight="1" x14ac:dyDescent="0.25">
      <c r="A14" s="173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1"/>
    </row>
    <row r="15" spans="1:68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1">
        <f t="shared" ref="BP15" si="6">BO15+BO16</f>
        <v>82</v>
      </c>
    </row>
    <row r="16" spans="1:68" ht="9.9499999999999993" customHeight="1" x14ac:dyDescent="0.25">
      <c r="A16" s="173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1"/>
    </row>
    <row r="17" spans="1:68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1">
        <f t="shared" ref="BP17" si="7">BO17+BO18</f>
        <v>82</v>
      </c>
    </row>
    <row r="18" spans="1:68" ht="9.9499999999999993" customHeight="1" x14ac:dyDescent="0.25">
      <c r="A18" s="173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1"/>
    </row>
    <row r="19" spans="1:68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1">
        <f t="shared" ref="BP19" si="8">BO19+BO20</f>
        <v>82</v>
      </c>
    </row>
    <row r="20" spans="1:68" ht="9.9499999999999993" customHeight="1" x14ac:dyDescent="0.25">
      <c r="A20" s="173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1"/>
    </row>
    <row r="21" spans="1:68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1">
        <f t="shared" ref="BP21" si="9">BO21+BO22</f>
        <v>82</v>
      </c>
    </row>
    <row r="22" spans="1:68" ht="9.9499999999999993" customHeight="1" x14ac:dyDescent="0.25">
      <c r="A22" s="173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1"/>
    </row>
    <row r="23" spans="1:68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1">
        <f t="shared" ref="BP23" si="10">BO23+BO24</f>
        <v>82</v>
      </c>
    </row>
    <row r="24" spans="1:68" ht="9.9499999999999993" customHeight="1" x14ac:dyDescent="0.25">
      <c r="A24" s="173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1"/>
    </row>
    <row r="25" spans="1:68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1">
        <f t="shared" ref="BP25" si="11">BO25+BO26</f>
        <v>82</v>
      </c>
    </row>
    <row r="26" spans="1:68" ht="9.9499999999999993" customHeight="1" x14ac:dyDescent="0.25">
      <c r="A26" s="173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1"/>
    </row>
    <row r="27" spans="1:68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1">
        <f t="shared" ref="BP27" si="12">BO27+BO28</f>
        <v>82</v>
      </c>
    </row>
    <row r="28" spans="1:68" ht="9.9499999999999993" customHeight="1" x14ac:dyDescent="0.25">
      <c r="A28" s="173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1"/>
    </row>
    <row r="29" spans="1:68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1">
        <f t="shared" ref="BP29" si="13">BO29+BO30</f>
        <v>82</v>
      </c>
    </row>
    <row r="30" spans="1:68" ht="9.9499999999999993" customHeight="1" x14ac:dyDescent="0.25">
      <c r="A30" s="173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1"/>
    </row>
    <row r="31" spans="1:68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1">
        <f t="shared" ref="BP31" si="14">BO31+BO32</f>
        <v>82</v>
      </c>
    </row>
    <row r="32" spans="1:68" ht="9.9499999999999993" customHeight="1" x14ac:dyDescent="0.25">
      <c r="A32" s="173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1"/>
    </row>
    <row r="33" spans="1:68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1">
        <f t="shared" ref="BP33" si="15">BO33+BO34</f>
        <v>82</v>
      </c>
    </row>
    <row r="34" spans="1:68" ht="9.9499999999999993" customHeight="1" x14ac:dyDescent="0.25">
      <c r="A34" s="173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1"/>
    </row>
    <row r="35" spans="1:68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1">
        <f t="shared" ref="BP35" si="16">BO35+BO36</f>
        <v>82</v>
      </c>
    </row>
    <row r="36" spans="1:68" ht="9.9499999999999993" customHeight="1" x14ac:dyDescent="0.25">
      <c r="A36" s="173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1"/>
    </row>
    <row r="37" spans="1:68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1">
        <f t="shared" ref="BP37" si="17">BO37+BO38</f>
        <v>82</v>
      </c>
    </row>
    <row r="38" spans="1:68" ht="9.9499999999999993" customHeight="1" x14ac:dyDescent="0.25">
      <c r="A38" s="173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1"/>
    </row>
    <row r="39" spans="1:68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1">
        <f t="shared" ref="BP39" si="18">BO39+BO40</f>
        <v>82</v>
      </c>
    </row>
    <row r="40" spans="1:68" ht="9.9499999999999993" customHeight="1" x14ac:dyDescent="0.25">
      <c r="A40" s="173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1"/>
    </row>
    <row r="41" spans="1:68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1">
        <f t="shared" ref="BP41" si="19">BO41+BO42</f>
        <v>82</v>
      </c>
    </row>
    <row r="42" spans="1:68" ht="9.9499999999999993" customHeight="1" x14ac:dyDescent="0.25">
      <c r="A42" s="173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1"/>
    </row>
    <row r="43" spans="1:68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1">
        <f t="shared" ref="BP43" si="20">BO43+BO44</f>
        <v>82</v>
      </c>
    </row>
    <row r="44" spans="1:68" ht="9.9499999999999993" customHeight="1" x14ac:dyDescent="0.25">
      <c r="A44" s="173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1"/>
    </row>
    <row r="45" spans="1:68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1">
        <f t="shared" ref="BP45" si="21">BO45+BO46</f>
        <v>82</v>
      </c>
    </row>
    <row r="46" spans="1:68" ht="9.9499999999999993" customHeight="1" x14ac:dyDescent="0.25">
      <c r="A46" s="173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1"/>
    </row>
    <row r="47" spans="1:68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1">
        <f t="shared" ref="BP47" si="22">BO47+BO48</f>
        <v>82</v>
      </c>
    </row>
    <row r="48" spans="1:68" ht="9.9499999999999993" customHeight="1" x14ac:dyDescent="0.25">
      <c r="A48" s="173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1"/>
    </row>
    <row r="49" spans="1:68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1">
        <f t="shared" ref="BP49" si="23">BO49+BO50</f>
        <v>82</v>
      </c>
    </row>
    <row r="50" spans="1:68" ht="9.9499999999999993" customHeight="1" x14ac:dyDescent="0.25">
      <c r="A50" s="173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1"/>
    </row>
    <row r="51" spans="1:68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1">
        <f t="shared" ref="BP51" si="24">BO51+BO52</f>
        <v>82</v>
      </c>
    </row>
    <row r="52" spans="1:68" ht="9.9499999999999993" customHeight="1" x14ac:dyDescent="0.25">
      <c r="A52" s="173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1"/>
    </row>
    <row r="53" spans="1:68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1">
        <f t="shared" ref="BP53" si="25">BO53+BO54</f>
        <v>82</v>
      </c>
    </row>
    <row r="54" spans="1:68" ht="9.9499999999999993" customHeight="1" x14ac:dyDescent="0.25">
      <c r="A54" s="173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1"/>
    </row>
    <row r="55" spans="1:68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1">
        <f t="shared" ref="BP55" si="26">BO55+BO56</f>
        <v>82</v>
      </c>
    </row>
    <row r="56" spans="1:68" ht="9.9499999999999993" customHeight="1" x14ac:dyDescent="0.25">
      <c r="A56" s="173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1"/>
    </row>
    <row r="57" spans="1:68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1">
        <f t="shared" ref="BP57" si="27">BO57+BO58</f>
        <v>82</v>
      </c>
    </row>
    <row r="58" spans="1:68" ht="9.9499999999999993" customHeight="1" x14ac:dyDescent="0.25">
      <c r="A58" s="173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1"/>
    </row>
    <row r="59" spans="1:68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1">
        <f t="shared" ref="BP59" si="28">BO59+BO60</f>
        <v>82</v>
      </c>
    </row>
    <row r="60" spans="1:68" ht="9.9499999999999993" customHeight="1" x14ac:dyDescent="0.25">
      <c r="A60" s="173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1"/>
    </row>
    <row r="61" spans="1:68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1">
        <f t="shared" ref="BP61" si="29">BO61+BO62</f>
        <v>82</v>
      </c>
    </row>
    <row r="62" spans="1:68" ht="9.9499999999999993" customHeight="1" x14ac:dyDescent="0.25">
      <c r="A62" s="173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1"/>
    </row>
    <row r="63" spans="1:68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1">
        <f t="shared" ref="BP63" si="30">BO63+BO64</f>
        <v>82</v>
      </c>
    </row>
    <row r="64" spans="1:68" ht="9.9499999999999993" customHeight="1" x14ac:dyDescent="0.25">
      <c r="A64" s="173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1"/>
    </row>
    <row r="65" spans="1:68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1">
        <f t="shared" ref="BP65" si="31">BO65+BO66</f>
        <v>82</v>
      </c>
    </row>
    <row r="66" spans="1:68" ht="9.9499999999999993" customHeight="1" x14ac:dyDescent="0.25">
      <c r="A66" s="173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1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1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1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1</v>
      </c>
      <c r="AM3" s="35"/>
      <c r="AN3" s="28">
        <f>COUNTIFS(DataRegularSeason20242025!$E$2:$E$1315,TotalTeamGames20242025!AM$1,DataRegularSeason20242025!$D$2:$D$1315,TotalTeamGames20242025!$A3,DataRegularSeason20242025!$N$2:$N$1315,1)</f>
        <v>1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19</v>
      </c>
      <c r="BP3" s="171">
        <f>BO3+BO4</f>
        <v>34</v>
      </c>
      <c r="BQ3" s="172">
        <f>82-BP3</f>
        <v>48</v>
      </c>
    </row>
    <row r="4" spans="1:69" ht="9.9499999999999993" customHeight="1" x14ac:dyDescent="0.25">
      <c r="A4" s="173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1"/>
      <c r="BQ4" s="172"/>
    </row>
    <row r="5" spans="1:69" ht="9.9499999999999993" customHeight="1" x14ac:dyDescent="0.25">
      <c r="A5" s="17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1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1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17</v>
      </c>
      <c r="BP5" s="171">
        <f t="shared" ref="BP5" si="1">BO5+BO6</f>
        <v>34</v>
      </c>
      <c r="BQ5" s="172">
        <f t="shared" ref="BQ5" si="2">82-BP5</f>
        <v>48</v>
      </c>
    </row>
    <row r="6" spans="1:69" ht="9.9499999999999993" customHeight="1" x14ac:dyDescent="0.25">
      <c r="A6" s="173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1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17</v>
      </c>
      <c r="BP6" s="171"/>
      <c r="BQ6" s="172"/>
    </row>
    <row r="7" spans="1:69" ht="9.9499999999999993" customHeight="1" x14ac:dyDescent="0.25">
      <c r="A7" s="17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1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1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16</v>
      </c>
      <c r="BP7" s="171">
        <f t="shared" ref="BP7" si="3">BO7+BO8</f>
        <v>32</v>
      </c>
      <c r="BQ7" s="172">
        <f t="shared" ref="BQ7" si="4">82-BP7</f>
        <v>50</v>
      </c>
    </row>
    <row r="8" spans="1:69" ht="9.9499999999999993" customHeight="1" x14ac:dyDescent="0.25">
      <c r="A8" s="173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1"/>
      <c r="BQ8" s="172"/>
    </row>
    <row r="9" spans="1:69" ht="9.9499999999999993" customHeight="1" x14ac:dyDescent="0.25">
      <c r="A9" s="17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1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1</v>
      </c>
      <c r="BO9" s="30">
        <f t="shared" si="0"/>
        <v>15</v>
      </c>
      <c r="BP9" s="171">
        <f t="shared" ref="BP9" si="5">BO9+BO10</f>
        <v>32</v>
      </c>
      <c r="BQ9" s="172">
        <f t="shared" ref="BQ9" si="6">82-BP9</f>
        <v>50</v>
      </c>
    </row>
    <row r="10" spans="1:69" ht="9.9499999999999993" customHeight="1" x14ac:dyDescent="0.25">
      <c r="A10" s="173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2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17</v>
      </c>
      <c r="BP10" s="171"/>
      <c r="BQ10" s="172"/>
    </row>
    <row r="11" spans="1:69" ht="9.9499999999999993" customHeight="1" x14ac:dyDescent="0.25">
      <c r="A11" s="17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1">
        <f t="shared" ref="BP11" si="7">BO11+BO12</f>
        <v>33</v>
      </c>
      <c r="BQ11" s="172">
        <f t="shared" ref="BQ11" si="8">82-BP11</f>
        <v>49</v>
      </c>
    </row>
    <row r="12" spans="1:69" ht="9.9499999999999993" customHeight="1" x14ac:dyDescent="0.25">
      <c r="A12" s="173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1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1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1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15</v>
      </c>
      <c r="BP12" s="171"/>
      <c r="BQ12" s="172"/>
    </row>
    <row r="13" spans="1:69" ht="9.9499999999999993" customHeight="1" x14ac:dyDescent="0.25">
      <c r="A13" s="17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1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1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20</v>
      </c>
      <c r="BP13" s="171">
        <f t="shared" ref="BP13" si="9">BO13+BO14</f>
        <v>34</v>
      </c>
      <c r="BQ13" s="172">
        <f t="shared" ref="BQ13" si="10">82-BP13</f>
        <v>48</v>
      </c>
    </row>
    <row r="14" spans="1:69" ht="9.9499999999999993" customHeight="1" x14ac:dyDescent="0.25">
      <c r="A14" s="173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71"/>
      <c r="BQ14" s="172"/>
    </row>
    <row r="15" spans="1:69" ht="9.9499999999999993" customHeight="1" x14ac:dyDescent="0.25">
      <c r="A15" s="17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2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1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17</v>
      </c>
      <c r="BP15" s="171">
        <f t="shared" ref="BP15" si="11">BO15+BO16</f>
        <v>33</v>
      </c>
      <c r="BQ15" s="172">
        <f t="shared" ref="BQ15" si="12">82-BP15</f>
        <v>49</v>
      </c>
    </row>
    <row r="16" spans="1:69" ht="9.9499999999999993" customHeight="1" x14ac:dyDescent="0.25">
      <c r="A16" s="173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1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16</v>
      </c>
      <c r="BP16" s="171"/>
      <c r="BQ16" s="172"/>
    </row>
    <row r="17" spans="1:69" ht="9.9499999999999993" customHeight="1" x14ac:dyDescent="0.25">
      <c r="A17" s="17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1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18</v>
      </c>
      <c r="BP17" s="171">
        <f t="shared" ref="BP17" si="13">BO17+BO18</f>
        <v>33</v>
      </c>
      <c r="BQ17" s="172">
        <f t="shared" ref="BQ17" si="14">82-BP17</f>
        <v>49</v>
      </c>
    </row>
    <row r="18" spans="1:69" ht="9.9499999999999993" customHeight="1" x14ac:dyDescent="0.25">
      <c r="A18" s="173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1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1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15</v>
      </c>
      <c r="BP18" s="171"/>
      <c r="BQ18" s="172"/>
    </row>
    <row r="19" spans="1:69" ht="9.9499999999999993" customHeight="1" x14ac:dyDescent="0.25">
      <c r="A19" s="17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1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17</v>
      </c>
      <c r="BP19" s="171">
        <f t="shared" ref="BP19" si="15">BO19+BO20</f>
        <v>34</v>
      </c>
      <c r="BQ19" s="172">
        <f t="shared" ref="BQ19" si="16">82-BP19</f>
        <v>48</v>
      </c>
    </row>
    <row r="20" spans="1:69" ht="9.9499999999999993" customHeight="1" x14ac:dyDescent="0.25">
      <c r="A20" s="173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1</v>
      </c>
      <c r="Z20" s="39"/>
      <c r="AA20" s="38">
        <f>COUNTIFS(DataRegularSeason20242025!$D$2:$D$1315,TotalTeamGames20242025!AA$1,DataRegularSeason20242025!$E$2:$E$1315,TotalTeamGames20242025!$A19,DataRegularSeason20242025!$N$2:$N$1315,1)</f>
        <v>2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17</v>
      </c>
      <c r="BP20" s="171"/>
      <c r="BQ20" s="172"/>
    </row>
    <row r="21" spans="1:69" ht="9.9499999999999993" customHeight="1" x14ac:dyDescent="0.25">
      <c r="A21" s="17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1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1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17</v>
      </c>
      <c r="BP21" s="171">
        <f t="shared" ref="BP21" si="17">BO21+BO22</f>
        <v>34</v>
      </c>
      <c r="BQ21" s="172">
        <f t="shared" ref="BQ21" si="18">82-BP21</f>
        <v>48</v>
      </c>
    </row>
    <row r="22" spans="1:69" ht="9.9499999999999993" customHeight="1" x14ac:dyDescent="0.25">
      <c r="A22" s="173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2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17</v>
      </c>
      <c r="BP22" s="171"/>
      <c r="BQ22" s="172"/>
    </row>
    <row r="23" spans="1:69" ht="9.9499999999999993" customHeight="1" x14ac:dyDescent="0.25">
      <c r="A23" s="17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1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1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1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20</v>
      </c>
      <c r="BP23" s="171">
        <f t="shared" ref="BP23" si="19">BO23+BO24</f>
        <v>34</v>
      </c>
      <c r="BQ23" s="172">
        <f t="shared" ref="BQ23" si="20">82-BP23</f>
        <v>48</v>
      </c>
    </row>
    <row r="24" spans="1:69" ht="9.9499999999999993" customHeight="1" x14ac:dyDescent="0.25">
      <c r="A24" s="173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1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14</v>
      </c>
      <c r="BP24" s="171"/>
      <c r="BQ24" s="172"/>
    </row>
    <row r="25" spans="1:69" ht="9.9499999999999993" customHeight="1" x14ac:dyDescent="0.25">
      <c r="A25" s="17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1</v>
      </c>
      <c r="S25" s="35"/>
      <c r="T25" s="28">
        <f>COUNTIFS(DataRegularSeason20242025!$E$2:$E$1315,TotalTeamGames20242025!S$1,DataRegularSeason20242025!$D$2:$D$1315,TotalTeamGames20242025!$A25,DataRegularSeason20242025!$N$2:$N$1315,1)</f>
        <v>1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1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14</v>
      </c>
      <c r="BP25" s="171">
        <f t="shared" ref="BP25" si="21">BO25+BO26</f>
        <v>32</v>
      </c>
      <c r="BQ25" s="172">
        <f t="shared" ref="BQ25" si="22">82-BP25</f>
        <v>50</v>
      </c>
    </row>
    <row r="26" spans="1:69" ht="9.9499999999999993" customHeight="1" x14ac:dyDescent="0.25">
      <c r="A26" s="173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1"/>
      <c r="BQ26" s="172"/>
    </row>
    <row r="27" spans="1:69" ht="9.9499999999999993" customHeight="1" x14ac:dyDescent="0.25">
      <c r="A27" s="17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2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18</v>
      </c>
      <c r="BP27" s="171">
        <f t="shared" ref="BP27" si="23">BO27+BO28</f>
        <v>32</v>
      </c>
      <c r="BQ27" s="172">
        <f t="shared" ref="BQ27" si="24">82-BP27</f>
        <v>50</v>
      </c>
    </row>
    <row r="28" spans="1:69" ht="9.9499999999999993" customHeight="1" x14ac:dyDescent="0.25">
      <c r="A28" s="173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1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14</v>
      </c>
      <c r="BP28" s="171"/>
      <c r="BQ28" s="172"/>
    </row>
    <row r="29" spans="1:69" ht="9.9499999999999993" customHeight="1" x14ac:dyDescent="0.25">
      <c r="A29" s="17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1">
        <f t="shared" ref="BP29" si="25">BO29+BO30</f>
        <v>34</v>
      </c>
      <c r="BQ29" s="172">
        <f t="shared" ref="BQ29" si="26">82-BP29</f>
        <v>48</v>
      </c>
    </row>
    <row r="30" spans="1:69" ht="9.9499999999999993" customHeight="1" x14ac:dyDescent="0.25">
      <c r="A30" s="173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1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1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1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1</v>
      </c>
      <c r="BN30" s="39"/>
      <c r="BO30" s="34">
        <f t="shared" si="0"/>
        <v>19</v>
      </c>
      <c r="BP30" s="171"/>
      <c r="BQ30" s="172"/>
    </row>
    <row r="31" spans="1:69" ht="9.9499999999999993" customHeight="1" x14ac:dyDescent="0.25">
      <c r="A31" s="17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1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1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15</v>
      </c>
      <c r="BP31" s="171">
        <f t="shared" ref="BP31" si="27">BO31+BO32</f>
        <v>33</v>
      </c>
      <c r="BQ31" s="172">
        <f t="shared" ref="BQ31" si="28">82-BP31</f>
        <v>49</v>
      </c>
    </row>
    <row r="32" spans="1:69" ht="9.9499999999999993" customHeight="1" x14ac:dyDescent="0.25">
      <c r="A32" s="173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1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2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18</v>
      </c>
      <c r="BP32" s="171"/>
      <c r="BQ32" s="172"/>
    </row>
    <row r="33" spans="1:69" ht="9.9499999999999993" customHeight="1" x14ac:dyDescent="0.25">
      <c r="A33" s="17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71">
        <f t="shared" ref="BP33" si="29">BO33+BO34</f>
        <v>33</v>
      </c>
      <c r="BQ33" s="172">
        <f t="shared" ref="BQ33" si="30">82-BP33</f>
        <v>49</v>
      </c>
    </row>
    <row r="34" spans="1:69" ht="9.9499999999999993" customHeight="1" x14ac:dyDescent="0.25">
      <c r="A34" s="173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1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1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1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17</v>
      </c>
      <c r="BP34" s="171"/>
      <c r="BQ34" s="172"/>
    </row>
    <row r="35" spans="1:69" ht="9.9499999999999993" customHeight="1" x14ac:dyDescent="0.25">
      <c r="A35" s="17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1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1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14</v>
      </c>
      <c r="BP35" s="171">
        <f t="shared" ref="BP35" si="31">BO35+BO36</f>
        <v>32</v>
      </c>
      <c r="BQ35" s="172">
        <f t="shared" ref="BQ35" si="32">82-BP35</f>
        <v>50</v>
      </c>
    </row>
    <row r="36" spans="1:69" ht="9.9499999999999993" customHeight="1" x14ac:dyDescent="0.25">
      <c r="A36" s="173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1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18</v>
      </c>
      <c r="BP36" s="171"/>
      <c r="BQ36" s="172"/>
    </row>
    <row r="37" spans="1:69" ht="9.9499999999999993" customHeight="1" x14ac:dyDescent="0.25">
      <c r="A37" s="17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2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16</v>
      </c>
      <c r="BP37" s="171">
        <f t="shared" ref="BP37" si="33">BO37+BO38</f>
        <v>34</v>
      </c>
      <c r="BQ37" s="172">
        <f t="shared" ref="BQ37" si="34">82-BP37</f>
        <v>48</v>
      </c>
    </row>
    <row r="38" spans="1:69" ht="9.9499999999999993" customHeight="1" x14ac:dyDescent="0.25">
      <c r="A38" s="173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1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2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18</v>
      </c>
      <c r="BP38" s="171"/>
      <c r="BQ38" s="172"/>
    </row>
    <row r="39" spans="1:69" ht="9.9499999999999993" customHeight="1" x14ac:dyDescent="0.25">
      <c r="A39" s="17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71">
        <f t="shared" ref="BP39" si="35">BO39+BO40</f>
        <v>35</v>
      </c>
      <c r="BQ39" s="172">
        <f t="shared" ref="BQ39" si="36">82-BP39</f>
        <v>47</v>
      </c>
    </row>
    <row r="40" spans="1:69" ht="9.9499999999999993" customHeight="1" x14ac:dyDescent="0.25">
      <c r="A40" s="173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1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1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1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17</v>
      </c>
      <c r="BP40" s="171"/>
      <c r="BQ40" s="172"/>
    </row>
    <row r="41" spans="1:69" ht="9.9499999999999993" customHeight="1" x14ac:dyDescent="0.25">
      <c r="A41" s="17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1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1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1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18</v>
      </c>
      <c r="BP41" s="171">
        <f t="shared" ref="BP41" si="37">BO41+BO42</f>
        <v>32</v>
      </c>
      <c r="BQ41" s="172">
        <f t="shared" ref="BQ41" si="38">82-BP41</f>
        <v>50</v>
      </c>
    </row>
    <row r="42" spans="1:69" ht="9.9499999999999993" customHeight="1" x14ac:dyDescent="0.25">
      <c r="A42" s="173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1"/>
      <c r="BQ42" s="172"/>
    </row>
    <row r="43" spans="1:69" ht="9.9499999999999993" customHeight="1" x14ac:dyDescent="0.25">
      <c r="A43" s="17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2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2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13</v>
      </c>
      <c r="BP43" s="171">
        <f t="shared" ref="BP43" si="39">BO43+BO44</f>
        <v>32</v>
      </c>
      <c r="BQ43" s="172">
        <f t="shared" ref="BQ43" si="40">82-BP43</f>
        <v>50</v>
      </c>
    </row>
    <row r="44" spans="1:69" ht="9.9499999999999993" customHeight="1" x14ac:dyDescent="0.25">
      <c r="A44" s="173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1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1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19</v>
      </c>
      <c r="BP44" s="171"/>
      <c r="BQ44" s="172"/>
    </row>
    <row r="45" spans="1:69" ht="9.9499999999999993" customHeight="1" x14ac:dyDescent="0.25">
      <c r="A45" s="17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1">
        <f t="shared" ref="BP45" si="41">BO45+BO46</f>
        <v>32</v>
      </c>
      <c r="BQ45" s="172">
        <f t="shared" ref="BQ45" si="42">82-BP45</f>
        <v>50</v>
      </c>
    </row>
    <row r="46" spans="1:69" ht="9.9499999999999993" customHeight="1" x14ac:dyDescent="0.25">
      <c r="A46" s="173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1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1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1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1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17</v>
      </c>
      <c r="BP46" s="171"/>
      <c r="BQ46" s="172"/>
    </row>
    <row r="47" spans="1:69" ht="9.9499999999999993" customHeight="1" x14ac:dyDescent="0.25">
      <c r="A47" s="17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1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14</v>
      </c>
      <c r="BP47" s="171">
        <f t="shared" ref="BP47" si="43">BO47+BO48</f>
        <v>31</v>
      </c>
      <c r="BQ47" s="172">
        <f t="shared" ref="BQ47" si="44">82-BP47</f>
        <v>51</v>
      </c>
    </row>
    <row r="48" spans="1:69" ht="9.9499999999999993" customHeight="1" x14ac:dyDescent="0.25">
      <c r="A48" s="173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1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1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17</v>
      </c>
      <c r="BP48" s="171"/>
      <c r="BQ48" s="172"/>
    </row>
    <row r="49" spans="1:69" ht="9.9499999999999993" customHeight="1" x14ac:dyDescent="0.25">
      <c r="A49" s="17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1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1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16</v>
      </c>
      <c r="BP49" s="171">
        <f t="shared" ref="BP49" si="45">BO49+BO50</f>
        <v>34</v>
      </c>
      <c r="BQ49" s="172">
        <f t="shared" ref="BQ49" si="46">82-BP49</f>
        <v>48</v>
      </c>
    </row>
    <row r="50" spans="1:69" ht="9.9499999999999993" customHeight="1" x14ac:dyDescent="0.25">
      <c r="A50" s="173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1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18</v>
      </c>
      <c r="BP50" s="171"/>
      <c r="BQ50" s="172"/>
    </row>
    <row r="51" spans="1:69" ht="9.9499999999999993" customHeight="1" x14ac:dyDescent="0.25">
      <c r="A51" s="17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1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16</v>
      </c>
      <c r="BP51" s="171">
        <f t="shared" ref="BP51" si="47">BO51+BO52</f>
        <v>34</v>
      </c>
      <c r="BQ51" s="172">
        <f t="shared" ref="BQ51" si="48">82-BP51</f>
        <v>48</v>
      </c>
    </row>
    <row r="52" spans="1:69" ht="9.9499999999999993" customHeight="1" x14ac:dyDescent="0.25">
      <c r="A52" s="173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2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1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18</v>
      </c>
      <c r="BP52" s="171"/>
      <c r="BQ52" s="172"/>
    </row>
    <row r="53" spans="1:69" ht="9.9499999999999993" customHeight="1" x14ac:dyDescent="0.25">
      <c r="A53" s="17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1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2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17</v>
      </c>
      <c r="BP53" s="171">
        <f t="shared" ref="BP53" si="49">BO53+BO54</f>
        <v>33</v>
      </c>
      <c r="BQ53" s="172">
        <f t="shared" ref="BQ53" si="50">82-BP53</f>
        <v>49</v>
      </c>
    </row>
    <row r="54" spans="1:69" ht="9.9499999999999993" customHeight="1" x14ac:dyDescent="0.25">
      <c r="A54" s="173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1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16</v>
      </c>
      <c r="BP54" s="171"/>
      <c r="BQ54" s="172"/>
    </row>
    <row r="55" spans="1:69" ht="9.9499999999999993" customHeight="1" x14ac:dyDescent="0.25">
      <c r="A55" s="17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1">
        <f t="shared" ref="BP55" si="51">BO55+BO56</f>
        <v>32</v>
      </c>
      <c r="BQ55" s="172">
        <f t="shared" ref="BQ55" si="52">82-BP55</f>
        <v>50</v>
      </c>
    </row>
    <row r="56" spans="1:69" ht="9.9499999999999993" customHeight="1" x14ac:dyDescent="0.25">
      <c r="A56" s="173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1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1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1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20</v>
      </c>
      <c r="BP56" s="171"/>
      <c r="BQ56" s="172"/>
    </row>
    <row r="57" spans="1:69" ht="9.9499999999999993" customHeight="1" x14ac:dyDescent="0.25">
      <c r="A57" s="17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1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1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21</v>
      </c>
      <c r="BP57" s="171">
        <f t="shared" ref="BP57" si="53">BO57+BO58</f>
        <v>35</v>
      </c>
      <c r="BQ57" s="172">
        <f t="shared" ref="BQ57" si="54">82-BP57</f>
        <v>47</v>
      </c>
    </row>
    <row r="58" spans="1:69" ht="9.9499999999999993" customHeight="1" x14ac:dyDescent="0.25">
      <c r="A58" s="173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1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14</v>
      </c>
      <c r="BP58" s="171"/>
      <c r="BQ58" s="172"/>
    </row>
    <row r="59" spans="1:69" ht="9.9499999999999993" customHeight="1" x14ac:dyDescent="0.25">
      <c r="A59" s="17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1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1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18</v>
      </c>
      <c r="BP59" s="171">
        <f t="shared" ref="BP59" si="55">BO59+BO60</f>
        <v>33</v>
      </c>
      <c r="BQ59" s="172">
        <f t="shared" ref="BQ59" si="56">82-BP59</f>
        <v>49</v>
      </c>
    </row>
    <row r="60" spans="1:69" ht="9.9499999999999993" customHeight="1" x14ac:dyDescent="0.25">
      <c r="A60" s="173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1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15</v>
      </c>
      <c r="BP60" s="171"/>
      <c r="BQ60" s="172"/>
    </row>
    <row r="61" spans="1:69" ht="9.9499999999999993" customHeight="1" x14ac:dyDescent="0.25">
      <c r="A61" s="17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1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1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16</v>
      </c>
      <c r="BP61" s="171">
        <f t="shared" ref="BP61" si="57">BO61+BO62</f>
        <v>31</v>
      </c>
      <c r="BQ61" s="172">
        <f t="shared" ref="BQ61" si="58">82-BP61</f>
        <v>51</v>
      </c>
    </row>
    <row r="62" spans="1:69" ht="9.9499999999999993" customHeight="1" x14ac:dyDescent="0.25">
      <c r="A62" s="173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1"/>
      <c r="BQ62" s="172"/>
    </row>
    <row r="63" spans="1:69" ht="9.9499999999999993" customHeight="1" x14ac:dyDescent="0.25">
      <c r="A63" s="17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1">
        <f t="shared" ref="BP63" si="59">BO63+BO64</f>
        <v>32</v>
      </c>
      <c r="BQ63" s="172">
        <f t="shared" ref="BQ63" si="60">82-BP63</f>
        <v>50</v>
      </c>
    </row>
    <row r="64" spans="1:69" ht="9.9499999999999993" customHeight="1" x14ac:dyDescent="0.25">
      <c r="A64" s="173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1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1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1</v>
      </c>
      <c r="BN64" s="39"/>
      <c r="BO64" s="34">
        <f t="shared" si="0"/>
        <v>16</v>
      </c>
      <c r="BP64" s="171"/>
      <c r="BQ64" s="172"/>
    </row>
    <row r="65" spans="1:69" ht="9.9499999999999993" customHeight="1" x14ac:dyDescent="0.25">
      <c r="A65" s="17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1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1</v>
      </c>
      <c r="BM65" s="35"/>
      <c r="BN65" s="36"/>
      <c r="BO65" s="30">
        <f t="shared" si="0"/>
        <v>16</v>
      </c>
      <c r="BP65" s="171">
        <f t="shared" ref="BP65" si="61">BO65+BO66</f>
        <v>33</v>
      </c>
      <c r="BQ65" s="172">
        <f t="shared" ref="BQ65" si="62">82-BP65</f>
        <v>49</v>
      </c>
    </row>
    <row r="66" spans="1:69" ht="9.9499999999999993" customHeight="1" x14ac:dyDescent="0.25">
      <c r="A66" s="173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1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17</v>
      </c>
      <c r="BP66" s="171"/>
      <c r="BQ66" s="172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528</v>
      </c>
      <c r="BQ67" s="27">
        <f>SUM(BQ3:BQ66)/2</f>
        <v>784</v>
      </c>
    </row>
    <row r="68" spans="1:69" x14ac:dyDescent="0.25">
      <c r="BP68" s="43">
        <f>2*BP67/SUM(BP3:BQ66)</f>
        <v>0.40243902439024393</v>
      </c>
      <c r="BQ68" s="43">
        <f>2*BQ67/SUM(BP3:BQ66)</f>
        <v>0.59756097560975607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J5" sqref="J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74" t="s">
        <v>44</v>
      </c>
      <c r="D1" s="175"/>
      <c r="E1" s="174" t="s">
        <v>23</v>
      </c>
      <c r="F1" s="175"/>
      <c r="G1" s="174" t="s">
        <v>22</v>
      </c>
      <c r="H1" s="175"/>
      <c r="I1" s="174" t="s">
        <v>27</v>
      </c>
      <c r="J1" s="175"/>
      <c r="K1" s="174" t="s">
        <v>11</v>
      </c>
      <c r="L1" s="175"/>
      <c r="M1" s="174" t="s">
        <v>37</v>
      </c>
      <c r="N1" s="175"/>
      <c r="O1" s="174" t="s">
        <v>24</v>
      </c>
      <c r="P1" s="175"/>
      <c r="Q1" s="174" t="s">
        <v>26</v>
      </c>
      <c r="R1" s="182"/>
      <c r="S1" s="174" t="s">
        <v>16</v>
      </c>
      <c r="T1" s="175"/>
      <c r="U1" s="174" t="s">
        <v>25</v>
      </c>
      <c r="V1" s="175"/>
      <c r="W1" s="174" t="s">
        <v>33</v>
      </c>
      <c r="X1" s="175"/>
      <c r="Y1" s="174" t="s">
        <v>36</v>
      </c>
      <c r="Z1" s="175"/>
      <c r="AA1" s="174" t="s">
        <v>34</v>
      </c>
      <c r="AB1" s="175"/>
      <c r="AC1" s="174" t="s">
        <v>12</v>
      </c>
      <c r="AD1" s="175"/>
      <c r="AE1" s="174" t="s">
        <v>14</v>
      </c>
      <c r="AF1" s="175"/>
      <c r="AG1" s="183" t="s">
        <v>21</v>
      </c>
      <c r="AH1" s="182"/>
      <c r="AI1" s="174" t="s">
        <v>41</v>
      </c>
      <c r="AJ1" s="175"/>
      <c r="AK1" s="174" t="s">
        <v>35</v>
      </c>
      <c r="AL1" s="175"/>
      <c r="AM1" s="174" t="s">
        <v>31</v>
      </c>
      <c r="AN1" s="175"/>
      <c r="AO1" s="174" t="s">
        <v>32</v>
      </c>
      <c r="AP1" s="175"/>
      <c r="AQ1" s="174" t="s">
        <v>19</v>
      </c>
      <c r="AR1" s="175"/>
      <c r="AS1" s="174" t="s">
        <v>42</v>
      </c>
      <c r="AT1" s="175"/>
      <c r="AU1" s="174" t="s">
        <v>20</v>
      </c>
      <c r="AV1" s="175"/>
      <c r="AW1" s="174" t="s">
        <v>43</v>
      </c>
      <c r="AX1" s="182"/>
      <c r="AY1" s="174" t="s">
        <v>15</v>
      </c>
      <c r="AZ1" s="175"/>
      <c r="BA1" s="174" t="s">
        <v>28</v>
      </c>
      <c r="BB1" s="175"/>
      <c r="BC1" s="174" t="s">
        <v>30</v>
      </c>
      <c r="BD1" s="175"/>
      <c r="BE1" s="174" t="s">
        <v>13</v>
      </c>
      <c r="BF1" s="174"/>
      <c r="BG1" s="176" t="s">
        <v>18</v>
      </c>
      <c r="BH1" s="177"/>
      <c r="BI1" s="174" t="s">
        <v>29</v>
      </c>
      <c r="BJ1" s="175"/>
      <c r="BK1" s="174" t="s">
        <v>40</v>
      </c>
      <c r="BL1" s="175"/>
      <c r="BM1" s="174" t="s">
        <v>17</v>
      </c>
      <c r="BN1" s="175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1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19</v>
      </c>
      <c r="BP3" s="171">
        <f>BO3+BO4</f>
        <v>34</v>
      </c>
      <c r="BQ3" s="172">
        <f>82-BP3</f>
        <v>48</v>
      </c>
      <c r="BR3" s="179">
        <f t="shared" ref="BR3" si="0">BP3/(BP3+BQ3)</f>
        <v>0.41463414634146339</v>
      </c>
    </row>
    <row r="4" spans="1:70" ht="9.9499999999999993" customHeight="1" x14ac:dyDescent="0.25">
      <c r="A4" s="173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1"/>
      <c r="BQ4" s="172"/>
      <c r="BR4" s="179"/>
    </row>
    <row r="5" spans="1:70" ht="9.9499999999999993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1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20</v>
      </c>
      <c r="BP5" s="171">
        <f t="shared" ref="BP5" si="2">BO5+BO6</f>
        <v>34</v>
      </c>
      <c r="BQ5" s="172">
        <f t="shared" ref="BQ5" si="3">82-BP5</f>
        <v>48</v>
      </c>
      <c r="BR5" s="179">
        <f t="shared" ref="BR5" si="4">BP5/(BP5+BQ5)</f>
        <v>0.41463414634146339</v>
      </c>
    </row>
    <row r="6" spans="1:70" ht="9.9499999999999993" customHeight="1" x14ac:dyDescent="0.25">
      <c r="A6" s="173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71"/>
      <c r="BQ6" s="172"/>
      <c r="BR6" s="179"/>
    </row>
    <row r="7" spans="1:70" ht="9.9499999999999993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1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1"/>
        <v>20</v>
      </c>
      <c r="BP7" s="171">
        <f t="shared" ref="BP7" si="5">BO7+BO8</f>
        <v>34</v>
      </c>
      <c r="BQ7" s="172">
        <f t="shared" ref="BQ7" si="6">82-BP7</f>
        <v>48</v>
      </c>
      <c r="BR7" s="179">
        <f t="shared" ref="BR7" si="7">BP7/(BP7+BQ7)</f>
        <v>0.41463414634146339</v>
      </c>
    </row>
    <row r="8" spans="1:70" ht="9.9499999999999993" customHeight="1" x14ac:dyDescent="0.25">
      <c r="A8" s="173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14</v>
      </c>
      <c r="BP8" s="171"/>
      <c r="BQ8" s="172"/>
      <c r="BR8" s="179"/>
    </row>
    <row r="9" spans="1:70" ht="9.9499999999999993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18</v>
      </c>
      <c r="BP9" s="171">
        <f t="shared" ref="BP9" si="8">BO9+BO10</f>
        <v>32</v>
      </c>
      <c r="BQ9" s="172">
        <f t="shared" ref="BQ9" si="9">82-BP9</f>
        <v>50</v>
      </c>
      <c r="BR9" s="179">
        <f t="shared" ref="BR9" si="10">BP9/(BP9+BQ9)</f>
        <v>0.3902439024390244</v>
      </c>
    </row>
    <row r="10" spans="1:70" ht="9.9499999999999993" customHeight="1" x14ac:dyDescent="0.25">
      <c r="A10" s="173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14</v>
      </c>
      <c r="BP10" s="171"/>
      <c r="BQ10" s="172"/>
      <c r="BR10" s="179"/>
    </row>
    <row r="11" spans="1:70" ht="9.9499999999999993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14</v>
      </c>
      <c r="BP11" s="171">
        <f t="shared" ref="BP11" si="11">BO11+BO12</f>
        <v>31</v>
      </c>
      <c r="BQ11" s="172">
        <f t="shared" ref="BQ11" si="12">82-BP11</f>
        <v>51</v>
      </c>
      <c r="BR11" s="179">
        <f t="shared" ref="BR11" si="13">BP11/(BP11+BQ11)</f>
        <v>0.37804878048780488</v>
      </c>
    </row>
    <row r="12" spans="1:70" ht="9.9499999999999993" customHeight="1" x14ac:dyDescent="0.25">
      <c r="A12" s="173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1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17</v>
      </c>
      <c r="BP12" s="171"/>
      <c r="BQ12" s="172"/>
      <c r="BR12" s="179"/>
    </row>
    <row r="13" spans="1:70" ht="9.9499999999999993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1"/>
        <v>16</v>
      </c>
      <c r="BP13" s="171">
        <f t="shared" ref="BP13" si="14">BO13+BO14</f>
        <v>34</v>
      </c>
      <c r="BQ13" s="172">
        <f t="shared" ref="BQ13" si="15">82-BP13</f>
        <v>48</v>
      </c>
      <c r="BR13" s="179">
        <f t="shared" ref="BR13" si="16">BP13/(BP13+BQ13)</f>
        <v>0.41463414634146339</v>
      </c>
    </row>
    <row r="14" spans="1:70" ht="9.9499999999999993" customHeight="1" x14ac:dyDescent="0.25">
      <c r="A14" s="173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1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18</v>
      </c>
      <c r="BP14" s="171"/>
      <c r="BQ14" s="172"/>
      <c r="BR14" s="179"/>
    </row>
    <row r="15" spans="1:70" ht="9.9499999999999993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1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18</v>
      </c>
      <c r="BP15" s="171">
        <f t="shared" ref="BP15" si="17">BO15+BO16</f>
        <v>33</v>
      </c>
      <c r="BQ15" s="172">
        <f t="shared" ref="BQ15" si="18">82-BP15</f>
        <v>49</v>
      </c>
      <c r="BR15" s="179">
        <f t="shared" ref="BR15" si="19">BP15/(BP15+BQ15)</f>
        <v>0.40243902439024393</v>
      </c>
    </row>
    <row r="16" spans="1:70" ht="9.9499999999999993" customHeight="1" x14ac:dyDescent="0.25">
      <c r="A16" s="173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15</v>
      </c>
      <c r="BP16" s="171"/>
      <c r="BQ16" s="172"/>
      <c r="BR16" s="179"/>
    </row>
    <row r="17" spans="1:70" ht="9.9499999999999993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16</v>
      </c>
      <c r="BP17" s="171">
        <f t="shared" ref="BP17" si="20">BO17+BO18</f>
        <v>31</v>
      </c>
      <c r="BQ17" s="172">
        <f t="shared" ref="BQ17" si="21">82-BP17</f>
        <v>51</v>
      </c>
      <c r="BR17" s="179">
        <f t="shared" ref="BR17" si="22">BP17/(BP17+BQ17)</f>
        <v>0.37804878048780488</v>
      </c>
    </row>
    <row r="18" spans="1:70" ht="9.9499999999999993" customHeight="1" thickBot="1" x14ac:dyDescent="0.3">
      <c r="A18" s="172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1"/>
      <c r="BQ18" s="172"/>
      <c r="BR18" s="179"/>
    </row>
    <row r="19" spans="1:70" ht="9.9499999999999993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1</v>
      </c>
      <c r="BO19" s="30">
        <f t="shared" si="1"/>
        <v>17</v>
      </c>
      <c r="BP19" s="171">
        <f t="shared" ref="BP19" si="23">BO19+BO20</f>
        <v>33</v>
      </c>
      <c r="BQ19" s="172">
        <f t="shared" ref="BQ19" si="24">82-BP19</f>
        <v>49</v>
      </c>
      <c r="BR19" s="179">
        <f t="shared" ref="BR19" si="25">BP19/(BP19+BQ19)</f>
        <v>0.40243902439024393</v>
      </c>
    </row>
    <row r="20" spans="1:70" ht="9.9499999999999993" customHeight="1" x14ac:dyDescent="0.25">
      <c r="A20" s="173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16</v>
      </c>
      <c r="BP20" s="171"/>
      <c r="BQ20" s="172"/>
      <c r="BR20" s="179"/>
    </row>
    <row r="21" spans="1:70" ht="9.9499999999999993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1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18</v>
      </c>
      <c r="BP21" s="171">
        <f t="shared" ref="BP21" si="26">BO21+BO22</f>
        <v>33</v>
      </c>
      <c r="BQ21" s="172">
        <f t="shared" ref="BQ21" si="27">82-BP21</f>
        <v>49</v>
      </c>
      <c r="BR21" s="179">
        <f t="shared" ref="BR21" si="28">BP21/(BP21+BQ21)</f>
        <v>0.40243902439024393</v>
      </c>
    </row>
    <row r="22" spans="1:70" ht="9.9499999999999993" customHeight="1" x14ac:dyDescent="0.25">
      <c r="A22" s="173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15</v>
      </c>
      <c r="BP22" s="171"/>
      <c r="BQ22" s="172"/>
      <c r="BR22" s="179"/>
    </row>
    <row r="23" spans="1:70" ht="9.9499999999999993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17</v>
      </c>
      <c r="BP23" s="171">
        <f t="shared" ref="BP23" si="29">BO23+BO24</f>
        <v>34</v>
      </c>
      <c r="BQ23" s="172">
        <f t="shared" ref="BQ23" si="30">82-BP23</f>
        <v>48</v>
      </c>
      <c r="BR23" s="179">
        <f t="shared" ref="BR23" si="31">BP23/(BP23+BQ23)</f>
        <v>0.41463414634146339</v>
      </c>
    </row>
    <row r="24" spans="1:70" ht="9.9499999999999993" customHeight="1" x14ac:dyDescent="0.25">
      <c r="A24" s="173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17</v>
      </c>
      <c r="BP24" s="171"/>
      <c r="BQ24" s="172"/>
      <c r="BR24" s="179"/>
    </row>
    <row r="25" spans="1:70" ht="9.9499999999999993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1">
        <f t="shared" ref="BP25" si="32">BO25+BO26</f>
        <v>34</v>
      </c>
      <c r="BQ25" s="172">
        <f t="shared" ref="BQ25" si="33">82-BP25</f>
        <v>48</v>
      </c>
      <c r="BR25" s="179">
        <f t="shared" ref="BR25" si="34">BP25/(BP25+BQ25)</f>
        <v>0.41463414634146339</v>
      </c>
    </row>
    <row r="26" spans="1:70" ht="9.9499999999999993" customHeight="1" x14ac:dyDescent="0.25">
      <c r="A26" s="173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1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19</v>
      </c>
      <c r="BP26" s="171"/>
      <c r="BQ26" s="172"/>
      <c r="BR26" s="179"/>
    </row>
    <row r="27" spans="1:70" ht="9.9499999999999993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14</v>
      </c>
      <c r="BP27" s="171">
        <f t="shared" ref="BP27" si="35">BO27+BO28</f>
        <v>32</v>
      </c>
      <c r="BQ27" s="172">
        <f t="shared" ref="BQ27" si="36">82-BP27</f>
        <v>50</v>
      </c>
      <c r="BR27" s="179">
        <f t="shared" ref="BR27" si="37">BP27/(BP27+BQ27)</f>
        <v>0.3902439024390244</v>
      </c>
    </row>
    <row r="28" spans="1:70" ht="9.9499999999999993" customHeight="1" x14ac:dyDescent="0.25">
      <c r="A28" s="173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18</v>
      </c>
      <c r="BP28" s="171"/>
      <c r="BQ28" s="172"/>
      <c r="BR28" s="179"/>
    </row>
    <row r="29" spans="1:70" ht="9.9499999999999993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16</v>
      </c>
      <c r="BP29" s="171">
        <f t="shared" ref="BP29" si="38">BO29+BO30</f>
        <v>34</v>
      </c>
      <c r="BQ29" s="172">
        <f t="shared" ref="BQ29" si="39">82-BP29</f>
        <v>48</v>
      </c>
      <c r="BR29" s="179">
        <f t="shared" ref="BR29" si="40">BP29/(BP29+BQ29)</f>
        <v>0.41463414634146339</v>
      </c>
    </row>
    <row r="30" spans="1:70" ht="9.9499999999999993" customHeight="1" x14ac:dyDescent="0.25">
      <c r="A30" s="173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18</v>
      </c>
      <c r="BP30" s="171"/>
      <c r="BQ30" s="172"/>
      <c r="BR30" s="179"/>
    </row>
    <row r="31" spans="1:70" ht="9.9499999999999993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1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21</v>
      </c>
      <c r="BP31" s="171">
        <f t="shared" ref="BP31" si="41">BO31+BO32</f>
        <v>35</v>
      </c>
      <c r="BQ31" s="172">
        <f t="shared" ref="BQ31" si="42">82-BP31</f>
        <v>47</v>
      </c>
      <c r="BR31" s="179">
        <f t="shared" ref="BR31" si="43">BP31/(BP31+BQ31)</f>
        <v>0.42682926829268292</v>
      </c>
    </row>
    <row r="32" spans="1:70" ht="9.9499999999999993" customHeight="1" x14ac:dyDescent="0.25">
      <c r="A32" s="173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14</v>
      </c>
      <c r="BP32" s="171"/>
      <c r="BQ32" s="172"/>
      <c r="BR32" s="179"/>
    </row>
    <row r="33" spans="1:70" ht="9.9499999999999993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1">
        <f t="shared" ref="BP33" si="44">BO33+BO34</f>
        <v>32</v>
      </c>
      <c r="BQ33" s="172">
        <f t="shared" ref="BQ33" si="45">82-BP33</f>
        <v>50</v>
      </c>
      <c r="BR33" s="179">
        <f t="shared" ref="BR33" si="46">BP33/(BP33+BQ33)</f>
        <v>0.3902439024390244</v>
      </c>
    </row>
    <row r="34" spans="1:70" ht="9.9499999999999993" customHeight="1" thickBot="1" x14ac:dyDescent="0.3">
      <c r="A34" s="172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16</v>
      </c>
      <c r="BP34" s="171"/>
      <c r="BQ34" s="172"/>
      <c r="BR34" s="179"/>
    </row>
    <row r="35" spans="1:70" ht="9.9499999999999993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15</v>
      </c>
      <c r="BP35" s="171">
        <f t="shared" ref="BP35" si="47">BO35+BO36</f>
        <v>32</v>
      </c>
      <c r="BQ35" s="172">
        <f t="shared" ref="BQ35" si="48">82-BP35</f>
        <v>50</v>
      </c>
      <c r="BR35" s="179">
        <f t="shared" ref="BR35" si="49">BP35/(BP35+BQ35)</f>
        <v>0.3902439024390244</v>
      </c>
    </row>
    <row r="36" spans="1:70" ht="9.9499999999999993" customHeight="1" x14ac:dyDescent="0.25">
      <c r="A36" s="173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17</v>
      </c>
      <c r="BP36" s="171"/>
      <c r="BQ36" s="172"/>
      <c r="BR36" s="179"/>
    </row>
    <row r="37" spans="1:70" ht="9.9499999999999993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1">
        <f t="shared" ref="BP37" si="50">BO37+BO38</f>
        <v>33</v>
      </c>
      <c r="BQ37" s="172">
        <f t="shared" ref="BQ37" si="51">82-BP37</f>
        <v>49</v>
      </c>
      <c r="BR37" s="179">
        <f t="shared" ref="BR37" si="52">BP37/(BP37+BQ37)</f>
        <v>0.40243902439024393</v>
      </c>
    </row>
    <row r="38" spans="1:70" ht="9.9499999999999993" customHeight="1" x14ac:dyDescent="0.25">
      <c r="A38" s="173"/>
      <c r="B38" s="32" t="s">
        <v>73</v>
      </c>
      <c r="C38" s="38">
        <f>COUNTIFS(DataRegularSeason20242025!$D$2:$D$1315,C$1,DataRegularSeason20242025!$E$2:$E$1315,$A37,DataRegularSeason20242025!$N$2:$N$1315,1)</f>
        <v>1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15</v>
      </c>
      <c r="BP38" s="171"/>
      <c r="BQ38" s="172"/>
      <c r="BR38" s="179"/>
    </row>
    <row r="39" spans="1:70" ht="9.9499999999999993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71">
        <f t="shared" ref="BP39" si="53">BO39+BO40</f>
        <v>33</v>
      </c>
      <c r="BQ39" s="172">
        <f t="shared" ref="BQ39" si="54">82-BP39</f>
        <v>49</v>
      </c>
      <c r="BR39" s="179">
        <f t="shared" ref="BR39" si="55">BP39/(BP39+BQ39)</f>
        <v>0.40243902439024393</v>
      </c>
    </row>
    <row r="40" spans="1:70" ht="9.9499999999999993" customHeight="1" x14ac:dyDescent="0.25">
      <c r="A40" s="173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17</v>
      </c>
      <c r="BP40" s="171"/>
      <c r="BQ40" s="172"/>
      <c r="BR40" s="179"/>
    </row>
    <row r="41" spans="1:70" ht="9.9499999999999993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2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16</v>
      </c>
      <c r="BP41" s="171">
        <f t="shared" ref="BP41" si="56">BO41+BO42</f>
        <v>34</v>
      </c>
      <c r="BQ41" s="172">
        <f t="shared" ref="BQ41" si="57">82-BP41</f>
        <v>48</v>
      </c>
      <c r="BR41" s="179">
        <f t="shared" ref="BR41" si="58">BP41/(BP41+BQ41)</f>
        <v>0.41463414634146339</v>
      </c>
    </row>
    <row r="42" spans="1:70" ht="9.9499999999999993" customHeight="1" x14ac:dyDescent="0.25">
      <c r="A42" s="173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18</v>
      </c>
      <c r="BP42" s="171"/>
      <c r="BQ42" s="172"/>
      <c r="BR42" s="179"/>
    </row>
    <row r="43" spans="1:70" ht="9.9499999999999993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71">
        <f t="shared" ref="BP43" si="59">BO43+BO44</f>
        <v>35</v>
      </c>
      <c r="BQ43" s="172">
        <f t="shared" ref="BQ43" si="60">82-BP43</f>
        <v>47</v>
      </c>
      <c r="BR43" s="179">
        <f t="shared" ref="BR43" si="61">BP43/(BP43+BQ43)</f>
        <v>0.42682926829268292</v>
      </c>
    </row>
    <row r="44" spans="1:70" ht="9.9499999999999993" customHeight="1" x14ac:dyDescent="0.25">
      <c r="A44" s="173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1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17</v>
      </c>
      <c r="BP44" s="171"/>
      <c r="BQ44" s="172"/>
      <c r="BR44" s="179"/>
    </row>
    <row r="45" spans="1:70" ht="9.9499999999999993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2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13</v>
      </c>
      <c r="BP45" s="171">
        <f t="shared" ref="BP45" si="62">BO45+BO46</f>
        <v>32</v>
      </c>
      <c r="BQ45" s="172">
        <f t="shared" ref="BQ45" si="63">82-BP45</f>
        <v>50</v>
      </c>
      <c r="BR45" s="179">
        <f t="shared" ref="BR45" si="64">BP45/(BP45+BQ45)</f>
        <v>0.3902439024390244</v>
      </c>
    </row>
    <row r="46" spans="1:70" ht="9.9499999999999993" customHeight="1" x14ac:dyDescent="0.25">
      <c r="A46" s="173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19</v>
      </c>
      <c r="BP46" s="171"/>
      <c r="BQ46" s="172"/>
      <c r="BR46" s="179"/>
    </row>
    <row r="47" spans="1:70" ht="9.9499999999999993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1">
        <f t="shared" ref="BP47" si="65">BO47+BO48</f>
        <v>32</v>
      </c>
      <c r="BQ47" s="172">
        <f t="shared" ref="BQ47" si="66">82-BP47</f>
        <v>50</v>
      </c>
      <c r="BR47" s="179">
        <f t="shared" ref="BR47" si="67">BP47/(BP47+BQ47)</f>
        <v>0.3902439024390244</v>
      </c>
    </row>
    <row r="48" spans="1:70" ht="9.9499999999999993" customHeight="1" x14ac:dyDescent="0.25">
      <c r="A48" s="173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1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17</v>
      </c>
      <c r="BP48" s="171"/>
      <c r="BQ48" s="172"/>
      <c r="BR48" s="179"/>
    </row>
    <row r="49" spans="1:70" ht="9.9499999999999993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1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16</v>
      </c>
      <c r="BP49" s="171">
        <f t="shared" ref="BP49" si="68">BO49+BO50</f>
        <v>33</v>
      </c>
      <c r="BQ49" s="172">
        <f t="shared" ref="BQ49" si="69">82-BP49</f>
        <v>49</v>
      </c>
      <c r="BR49" s="179">
        <f t="shared" ref="BR49" si="70">BP49/(BP49+BQ49)</f>
        <v>0.40243902439024393</v>
      </c>
    </row>
    <row r="50" spans="1:70" ht="9.9499999999999993" customHeight="1" thickBot="1" x14ac:dyDescent="0.3">
      <c r="A50" s="180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17</v>
      </c>
      <c r="BP50" s="171"/>
      <c r="BQ50" s="172"/>
      <c r="BR50" s="179"/>
    </row>
    <row r="51" spans="1:70" ht="9.9499999999999993" customHeight="1" thickTop="1" x14ac:dyDescent="0.25">
      <c r="A51" s="172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17</v>
      </c>
      <c r="BP51" s="171">
        <f t="shared" ref="BP51" si="71">BO51+BO52</f>
        <v>34</v>
      </c>
      <c r="BQ51" s="172">
        <f t="shared" ref="BQ51" si="72">82-BP51</f>
        <v>48</v>
      </c>
      <c r="BR51" s="179">
        <f t="shared" ref="BR51" si="73">BP51/(BP51+BQ51)</f>
        <v>0.41463414634146339</v>
      </c>
    </row>
    <row r="52" spans="1:70" ht="9.9499999999999993" customHeight="1" x14ac:dyDescent="0.25">
      <c r="A52" s="173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1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17</v>
      </c>
      <c r="BP52" s="171"/>
      <c r="BQ52" s="172"/>
      <c r="BR52" s="179"/>
    </row>
    <row r="53" spans="1:70" ht="9.9499999999999993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16</v>
      </c>
      <c r="BP53" s="171">
        <f t="shared" ref="BP53" si="74">BO53+BO54</f>
        <v>32</v>
      </c>
      <c r="BQ53" s="172">
        <f t="shared" ref="BQ53" si="75">82-BP53</f>
        <v>50</v>
      </c>
      <c r="BR53" s="179">
        <f t="shared" ref="BR53" si="76">BP53/(BP53+BQ53)</f>
        <v>0.3902439024390244</v>
      </c>
    </row>
    <row r="54" spans="1:70" ht="9.9499999999999993" customHeight="1" x14ac:dyDescent="0.25">
      <c r="A54" s="173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1"/>
      <c r="BQ54" s="172"/>
      <c r="BR54" s="179"/>
    </row>
    <row r="55" spans="1:70" ht="9.9499999999999993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17</v>
      </c>
      <c r="BP55" s="171">
        <f t="shared" ref="BP55" si="77">BO55+BO56</f>
        <v>34</v>
      </c>
      <c r="BQ55" s="172">
        <f t="shared" ref="BQ55" si="78">82-BP55</f>
        <v>48</v>
      </c>
      <c r="BR55" s="179">
        <f t="shared" ref="BR55" si="79">BP55/(BP55+BQ55)</f>
        <v>0.41463414634146339</v>
      </c>
    </row>
    <row r="56" spans="1:70" ht="9.9499999999999993" customHeight="1" x14ac:dyDescent="0.25">
      <c r="A56" s="173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2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17</v>
      </c>
      <c r="BP56" s="171"/>
      <c r="BQ56" s="172"/>
      <c r="BR56" s="179"/>
    </row>
    <row r="57" spans="1:70" ht="9.9499999999999993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14</v>
      </c>
      <c r="BP57" s="171">
        <f t="shared" ref="BP57" si="80">BO57+BO58</f>
        <v>32</v>
      </c>
      <c r="BQ57" s="172">
        <f t="shared" ref="BQ57" si="81">82-BP57</f>
        <v>50</v>
      </c>
      <c r="BR57" s="179">
        <f t="shared" ref="BR57" si="82">BP57/(BP57+BQ57)</f>
        <v>0.3902439024390244</v>
      </c>
    </row>
    <row r="58" spans="1:70" ht="9.9499999999999993" customHeight="1" x14ac:dyDescent="0.25">
      <c r="A58" s="173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1"/>
      <c r="BQ58" s="172"/>
      <c r="BR58" s="179"/>
    </row>
    <row r="59" spans="1:70" ht="9.9499999999999993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15</v>
      </c>
      <c r="BP59" s="171">
        <f t="shared" ref="BP59" si="83">BO59+BO60</f>
        <v>33</v>
      </c>
      <c r="BQ59" s="172">
        <f t="shared" ref="BQ59" si="84">82-BP59</f>
        <v>49</v>
      </c>
      <c r="BR59" s="179">
        <f t="shared" ref="BR59" si="85">BP59/(BP59+BQ59)</f>
        <v>0.40243902439024393</v>
      </c>
    </row>
    <row r="60" spans="1:70" ht="9.9499999999999993" customHeight="1" x14ac:dyDescent="0.25">
      <c r="A60" s="173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2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18</v>
      </c>
      <c r="BP60" s="171"/>
      <c r="BQ60" s="172"/>
      <c r="BR60" s="179"/>
    </row>
    <row r="61" spans="1:70" ht="9.9499999999999993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18</v>
      </c>
      <c r="BP61" s="171">
        <f t="shared" ref="BP61" si="86">BO61+BO62</f>
        <v>32</v>
      </c>
      <c r="BQ61" s="172">
        <f t="shared" ref="BQ61" si="87">82-BP61</f>
        <v>50</v>
      </c>
      <c r="BR61" s="179">
        <f t="shared" ref="BR61" si="88">BP61/(BP61+BQ61)</f>
        <v>0.3902439024390244</v>
      </c>
    </row>
    <row r="62" spans="1:70" ht="9.9499999999999993" customHeight="1" x14ac:dyDescent="0.25">
      <c r="A62" s="173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1"/>
      <c r="BQ62" s="172"/>
      <c r="BR62" s="179"/>
    </row>
    <row r="63" spans="1:70" ht="9.9499999999999993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17</v>
      </c>
      <c r="BP63" s="171">
        <f t="shared" ref="BP63" si="89">BO63+BO64</f>
        <v>33</v>
      </c>
      <c r="BQ63" s="172">
        <f t="shared" ref="BQ63" si="90">82-BP63</f>
        <v>49</v>
      </c>
      <c r="BR63" s="179">
        <f t="shared" ref="BR63" si="91">BP63/(BP63+BQ63)</f>
        <v>0.40243902439024393</v>
      </c>
    </row>
    <row r="64" spans="1:70" ht="9.9499999999999993" customHeight="1" x14ac:dyDescent="0.25">
      <c r="A64" s="173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16</v>
      </c>
      <c r="BP64" s="171"/>
      <c r="BQ64" s="172"/>
      <c r="BR64" s="179"/>
    </row>
    <row r="65" spans="1:70" ht="9.9499999999999993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1">
        <f t="shared" ref="BP65" si="92">BO65+BO66</f>
        <v>32</v>
      </c>
      <c r="BQ65" s="172">
        <f t="shared" ref="BQ65" si="93">82-BP65</f>
        <v>50</v>
      </c>
      <c r="BR65" s="179">
        <f>BP65/(BP65+BQ65)</f>
        <v>0.3902439024390244</v>
      </c>
    </row>
    <row r="66" spans="1:70" ht="9.9499999999999993" customHeight="1" x14ac:dyDescent="0.25">
      <c r="A66" s="173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1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20</v>
      </c>
      <c r="BP66" s="171"/>
      <c r="BQ66" s="172"/>
      <c r="BR66" s="179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528</v>
      </c>
      <c r="BQ67" s="27">
        <f>SUM(BQ3:BQ66)/2</f>
        <v>784</v>
      </c>
    </row>
    <row r="68" spans="1:70" x14ac:dyDescent="0.25">
      <c r="BP68" s="43">
        <f>2*BP67/SUM(BP3:BQ66)</f>
        <v>0.40243902439024393</v>
      </c>
      <c r="BQ68" s="43">
        <f>2*BQ67/SUM(BP3:BQ66)</f>
        <v>0.59756097560975607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25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1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1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1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1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15</v>
      </c>
      <c r="BP3" s="171">
        <f>BO3+BO4</f>
        <v>27</v>
      </c>
      <c r="BQ3" s="172">
        <f>82-BP3</f>
        <v>55</v>
      </c>
      <c r="BR3" s="179">
        <f t="shared" ref="BR3:BR67" si="0">BP3/(BP3+BQ3)</f>
        <v>0.32926829268292684</v>
      </c>
      <c r="BT3" s="37">
        <f>DataRegularSeason20242025!$A$3:$A$8</f>
        <v>45937</v>
      </c>
    </row>
    <row r="4" spans="1:72" s="27" customFormat="1" ht="9.9499999999999993" customHeight="1" x14ac:dyDescent="0.2">
      <c r="A4" s="173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1"/>
      <c r="BQ4" s="172"/>
      <c r="BR4" s="179"/>
      <c r="BT4" s="27" t="e">
        <f>D</f>
        <v>#NAME?</v>
      </c>
    </row>
    <row r="5" spans="1:72" s="27" customFormat="1" ht="9.9499999999999993" customHeight="1" x14ac:dyDescent="0.2">
      <c r="A5" s="178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1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14</v>
      </c>
      <c r="BP5" s="171">
        <f t="shared" ref="BP5" si="2">BO5+BO6</f>
        <v>27</v>
      </c>
      <c r="BQ5" s="172">
        <f t="shared" ref="BQ5" si="3">82-BP5</f>
        <v>55</v>
      </c>
      <c r="BR5" s="179">
        <f t="shared" si="0"/>
        <v>0.32926829268292684</v>
      </c>
    </row>
    <row r="6" spans="1:72" s="27" customFormat="1" ht="9.9499999999999993" customHeight="1" x14ac:dyDescent="0.2">
      <c r="A6" s="173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1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13</v>
      </c>
      <c r="BP6" s="171"/>
      <c r="BQ6" s="172"/>
      <c r="BR6" s="179"/>
    </row>
    <row r="7" spans="1:72" s="27" customFormat="1" ht="9.9499999999999993" customHeight="1" x14ac:dyDescent="0.2">
      <c r="A7" s="178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1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1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15</v>
      </c>
      <c r="BP7" s="171">
        <f t="shared" ref="BP7" si="4">BO7+BO8</f>
        <v>28</v>
      </c>
      <c r="BQ7" s="172">
        <f t="shared" ref="BQ7" si="5">82-BP7</f>
        <v>54</v>
      </c>
      <c r="BR7" s="179">
        <f t="shared" si="0"/>
        <v>0.34146341463414637</v>
      </c>
    </row>
    <row r="8" spans="1:72" s="27" customFormat="1" ht="9.9499999999999993" customHeight="1" x14ac:dyDescent="0.2">
      <c r="A8" s="173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1"/>
      <c r="BQ8" s="172"/>
      <c r="BR8" s="179"/>
    </row>
    <row r="9" spans="1:72" s="27" customFormat="1" ht="9.9499999999999993" customHeight="1" x14ac:dyDescent="0.2">
      <c r="A9" s="178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1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13</v>
      </c>
      <c r="BP9" s="171">
        <f t="shared" ref="BP9" si="6">BO9+BO10</f>
        <v>27</v>
      </c>
      <c r="BQ9" s="172">
        <f t="shared" ref="BQ9" si="7">82-BP9</f>
        <v>55</v>
      </c>
      <c r="BR9" s="179">
        <f t="shared" si="0"/>
        <v>0.32926829268292684</v>
      </c>
    </row>
    <row r="10" spans="1:72" s="27" customFormat="1" ht="9.9499999999999993" customHeight="1" x14ac:dyDescent="0.2">
      <c r="A10" s="173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2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14</v>
      </c>
      <c r="BP10" s="171"/>
      <c r="BQ10" s="172"/>
      <c r="BR10" s="179"/>
    </row>
    <row r="11" spans="1:72" s="27" customFormat="1" ht="9.9499999999999993" customHeight="1" x14ac:dyDescent="0.2">
      <c r="A11" s="178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1">
        <f t="shared" ref="BP11" si="8">BO11+BO12</f>
        <v>24</v>
      </c>
      <c r="BQ11" s="172">
        <f t="shared" ref="BQ11" si="9">82-BP11</f>
        <v>58</v>
      </c>
      <c r="BR11" s="179">
        <f t="shared" si="0"/>
        <v>0.29268292682926828</v>
      </c>
    </row>
    <row r="12" spans="1:72" s="27" customFormat="1" ht="9.9499999999999993" customHeight="1" x14ac:dyDescent="0.2">
      <c r="A12" s="173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1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1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10</v>
      </c>
      <c r="BP12" s="171"/>
      <c r="BQ12" s="172"/>
      <c r="BR12" s="179"/>
    </row>
    <row r="13" spans="1:72" s="27" customFormat="1" ht="9.9499999999999993" customHeight="1" x14ac:dyDescent="0.2">
      <c r="A13" s="178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1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1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20</v>
      </c>
      <c r="BP13" s="171">
        <f t="shared" ref="BP13" si="10">BO13+BO14</f>
        <v>34</v>
      </c>
      <c r="BQ13" s="172">
        <f t="shared" ref="BQ13" si="11">82-BP13</f>
        <v>48</v>
      </c>
      <c r="BR13" s="179">
        <f t="shared" si="0"/>
        <v>0.41463414634146339</v>
      </c>
    </row>
    <row r="14" spans="1:72" s="27" customFormat="1" ht="9.9499999999999993" customHeight="1" x14ac:dyDescent="0.2">
      <c r="A14" s="173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71"/>
      <c r="BQ14" s="172"/>
      <c r="BR14" s="179"/>
    </row>
    <row r="15" spans="1:72" s="27" customFormat="1" ht="9.9499999999999993" customHeight="1" x14ac:dyDescent="0.2">
      <c r="A15" s="178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2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1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16</v>
      </c>
      <c r="BP15" s="171">
        <f t="shared" ref="BP15" si="12">BO15+BO16</f>
        <v>31</v>
      </c>
      <c r="BQ15" s="172">
        <f t="shared" ref="BQ15" si="13">82-BP15</f>
        <v>51</v>
      </c>
      <c r="BR15" s="179">
        <f t="shared" si="0"/>
        <v>0.37804878048780488</v>
      </c>
    </row>
    <row r="16" spans="1:72" s="27" customFormat="1" ht="9.9499999999999993" customHeight="1" x14ac:dyDescent="0.2">
      <c r="A16" s="173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1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15</v>
      </c>
      <c r="BP16" s="171"/>
      <c r="BQ16" s="172"/>
      <c r="BR16" s="179"/>
    </row>
    <row r="17" spans="1:70" s="27" customFormat="1" ht="9.9499999999999993" customHeight="1" x14ac:dyDescent="0.2">
      <c r="A17" s="178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1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16</v>
      </c>
      <c r="BP17" s="171">
        <f t="shared" ref="BP17" si="14">BO17+BO18</f>
        <v>29</v>
      </c>
      <c r="BQ17" s="172">
        <f t="shared" ref="BQ17" si="15">82-BP17</f>
        <v>53</v>
      </c>
      <c r="BR17" s="179">
        <f t="shared" si="0"/>
        <v>0.35365853658536583</v>
      </c>
    </row>
    <row r="18" spans="1:70" s="27" customFormat="1" ht="9.9499999999999993" customHeight="1" x14ac:dyDescent="0.2">
      <c r="A18" s="173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1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13</v>
      </c>
      <c r="BP18" s="171"/>
      <c r="BQ18" s="172"/>
      <c r="BR18" s="179"/>
    </row>
    <row r="19" spans="1:70" s="27" customFormat="1" ht="9.9499999999999993" customHeight="1" x14ac:dyDescent="0.2">
      <c r="A19" s="178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1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16</v>
      </c>
      <c r="BP19" s="171">
        <f t="shared" ref="BP19" si="16">BO19+BO20</f>
        <v>28</v>
      </c>
      <c r="BQ19" s="172">
        <f t="shared" ref="BQ19" si="17">82-BP19</f>
        <v>54</v>
      </c>
      <c r="BR19" s="179">
        <f t="shared" si="0"/>
        <v>0.34146341463414637</v>
      </c>
    </row>
    <row r="20" spans="1:70" s="27" customFormat="1" ht="9.9499999999999993" customHeight="1" x14ac:dyDescent="0.2">
      <c r="A20" s="173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1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1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12</v>
      </c>
      <c r="BP20" s="171"/>
      <c r="BQ20" s="172"/>
      <c r="BR20" s="179"/>
    </row>
    <row r="21" spans="1:70" s="27" customFormat="1" ht="9.9499999999999993" customHeight="1" x14ac:dyDescent="0.2">
      <c r="A21" s="178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1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1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16</v>
      </c>
      <c r="BP21" s="171">
        <f t="shared" ref="BP21" si="18">BO21+BO22</f>
        <v>33</v>
      </c>
      <c r="BQ21" s="172">
        <f t="shared" ref="BQ21" si="19">82-BP21</f>
        <v>49</v>
      </c>
      <c r="BR21" s="179">
        <f t="shared" si="0"/>
        <v>0.40243902439024393</v>
      </c>
    </row>
    <row r="22" spans="1:70" s="27" customFormat="1" ht="9.9499999999999993" customHeight="1" x14ac:dyDescent="0.2">
      <c r="A22" s="173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2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17</v>
      </c>
      <c r="BP22" s="171"/>
      <c r="BQ22" s="172"/>
      <c r="BR22" s="179"/>
    </row>
    <row r="23" spans="1:70" s="27" customFormat="1" ht="9.9499999999999993" customHeight="1" x14ac:dyDescent="0.2">
      <c r="A23" s="178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1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1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1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19</v>
      </c>
      <c r="BP23" s="171">
        <f t="shared" ref="BP23" si="20">BO23+BO24</f>
        <v>33</v>
      </c>
      <c r="BQ23" s="172">
        <f t="shared" ref="BQ23" si="21">82-BP23</f>
        <v>49</v>
      </c>
      <c r="BR23" s="179">
        <f t="shared" si="0"/>
        <v>0.40243902439024393</v>
      </c>
    </row>
    <row r="24" spans="1:70" s="27" customFormat="1" ht="9.9499999999999993" customHeight="1" x14ac:dyDescent="0.2">
      <c r="A24" s="173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1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14</v>
      </c>
      <c r="BP24" s="171"/>
      <c r="BQ24" s="172"/>
      <c r="BR24" s="179"/>
    </row>
    <row r="25" spans="1:70" s="27" customFormat="1" ht="9.9499999999999993" customHeight="1" x14ac:dyDescent="0.2">
      <c r="A25" s="178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1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1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11</v>
      </c>
      <c r="BP25" s="171">
        <f t="shared" ref="BP25" si="22">BO25+BO26</f>
        <v>27</v>
      </c>
      <c r="BQ25" s="172">
        <f t="shared" ref="BQ25" si="23">82-BP25</f>
        <v>55</v>
      </c>
      <c r="BR25" s="179">
        <f t="shared" si="0"/>
        <v>0.32926829268292684</v>
      </c>
    </row>
    <row r="26" spans="1:70" s="27" customFormat="1" ht="9.9499999999999993" customHeight="1" x14ac:dyDescent="0.2">
      <c r="A26" s="173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1"/>
      <c r="BQ26" s="172"/>
      <c r="BR26" s="179"/>
    </row>
    <row r="27" spans="1:70" s="27" customFormat="1" ht="9.9499999999999993" customHeight="1" x14ac:dyDescent="0.2">
      <c r="A27" s="178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1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13</v>
      </c>
      <c r="BP27" s="171">
        <f t="shared" ref="BP27" si="24">BO27+BO28</f>
        <v>25</v>
      </c>
      <c r="BQ27" s="172">
        <f t="shared" ref="BQ27" si="25">82-BP27</f>
        <v>57</v>
      </c>
      <c r="BR27" s="179">
        <f t="shared" si="0"/>
        <v>0.3048780487804878</v>
      </c>
    </row>
    <row r="28" spans="1:70" s="27" customFormat="1" ht="9.9499999999999993" customHeight="1" x14ac:dyDescent="0.2">
      <c r="A28" s="173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1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12</v>
      </c>
      <c r="BP28" s="171"/>
      <c r="BQ28" s="172"/>
      <c r="BR28" s="179"/>
    </row>
    <row r="29" spans="1:70" s="27" customFormat="1" ht="9.9499999999999993" customHeight="1" x14ac:dyDescent="0.2">
      <c r="A29" s="178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1">
        <f t="shared" ref="BP29" si="26">BO29+BO30</f>
        <v>26</v>
      </c>
      <c r="BQ29" s="172">
        <f t="shared" ref="BQ29" si="27">82-BP29</f>
        <v>56</v>
      </c>
      <c r="BR29" s="179">
        <f t="shared" si="0"/>
        <v>0.31707317073170732</v>
      </c>
    </row>
    <row r="30" spans="1:70" s="27" customFormat="1" ht="9.9499999999999993" customHeight="1" x14ac:dyDescent="0.2">
      <c r="A30" s="173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1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1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1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1</v>
      </c>
      <c r="BN30" s="39"/>
      <c r="BO30" s="34">
        <f t="shared" si="1"/>
        <v>14</v>
      </c>
      <c r="BP30" s="171"/>
      <c r="BQ30" s="172"/>
      <c r="BR30" s="179"/>
    </row>
    <row r="31" spans="1:70" s="27" customFormat="1" ht="9.9499999999999993" customHeight="1" x14ac:dyDescent="0.2">
      <c r="A31" s="178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1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1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15</v>
      </c>
      <c r="BP31" s="171">
        <f t="shared" ref="BP31" si="28">BO31+BO32</f>
        <v>32</v>
      </c>
      <c r="BQ31" s="172">
        <f t="shared" ref="BQ31" si="29">82-BP31</f>
        <v>50</v>
      </c>
      <c r="BR31" s="179">
        <f t="shared" si="0"/>
        <v>0.3902439024390244</v>
      </c>
    </row>
    <row r="32" spans="1:70" s="27" customFormat="1" ht="9.9499999999999993" customHeight="1" x14ac:dyDescent="0.2">
      <c r="A32" s="173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1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1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17</v>
      </c>
      <c r="BP32" s="171"/>
      <c r="BQ32" s="172"/>
      <c r="BR32" s="179"/>
    </row>
    <row r="33" spans="1:70" s="27" customFormat="1" ht="9.9499999999999993" customHeight="1" x14ac:dyDescent="0.2">
      <c r="A33" s="178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1">
        <f t="shared" ref="BP33" si="30">BO33+BO34</f>
        <v>27</v>
      </c>
      <c r="BQ33" s="172">
        <f t="shared" ref="BQ33" si="31">82-BP33</f>
        <v>55</v>
      </c>
      <c r="BR33" s="179">
        <f t="shared" si="0"/>
        <v>0.32926829268292684</v>
      </c>
    </row>
    <row r="34" spans="1:70" s="27" customFormat="1" ht="9.9499999999999993" customHeight="1" x14ac:dyDescent="0.2">
      <c r="A34" s="173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1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1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1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16</v>
      </c>
      <c r="BP34" s="171"/>
      <c r="BQ34" s="172"/>
      <c r="BR34" s="179"/>
    </row>
    <row r="35" spans="1:70" s="27" customFormat="1" ht="9.9499999999999993" customHeight="1" x14ac:dyDescent="0.2">
      <c r="A35" s="178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1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1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9</v>
      </c>
      <c r="BP35" s="171">
        <f t="shared" ref="BP35" si="32">BO35+BO36</f>
        <v>24</v>
      </c>
      <c r="BQ35" s="172">
        <f t="shared" ref="BQ35" si="33">82-BP35</f>
        <v>58</v>
      </c>
      <c r="BR35" s="179">
        <f t="shared" si="0"/>
        <v>0.29268292682926828</v>
      </c>
    </row>
    <row r="36" spans="1:70" s="27" customFormat="1" ht="9.9499999999999993" customHeight="1" x14ac:dyDescent="0.2">
      <c r="A36" s="173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1"/>
      <c r="BQ36" s="172"/>
      <c r="BR36" s="179"/>
    </row>
    <row r="37" spans="1:70" s="27" customFormat="1" ht="9.9499999999999993" customHeight="1" x14ac:dyDescent="0.2">
      <c r="A37" s="178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2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13</v>
      </c>
      <c r="BP37" s="171">
        <f t="shared" ref="BP37" si="34">BO37+BO38</f>
        <v>26</v>
      </c>
      <c r="BQ37" s="172">
        <f t="shared" ref="BQ37" si="35">82-BP37</f>
        <v>56</v>
      </c>
      <c r="BR37" s="179">
        <f t="shared" si="0"/>
        <v>0.31707317073170732</v>
      </c>
    </row>
    <row r="38" spans="1:70" s="27" customFormat="1" ht="9.9499999999999993" customHeight="1" x14ac:dyDescent="0.2">
      <c r="A38" s="173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1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2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13</v>
      </c>
      <c r="BP38" s="171"/>
      <c r="BQ38" s="172"/>
      <c r="BR38" s="179"/>
    </row>
    <row r="39" spans="1:70" s="27" customFormat="1" ht="9.9499999999999993" customHeight="1" x14ac:dyDescent="0.2">
      <c r="A39" s="178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71">
        <f t="shared" ref="BP39" si="36">BO39+BO40</f>
        <v>32</v>
      </c>
      <c r="BQ39" s="172">
        <f t="shared" ref="BQ39" si="37">82-BP39</f>
        <v>50</v>
      </c>
      <c r="BR39" s="179">
        <f t="shared" si="0"/>
        <v>0.3902439024390244</v>
      </c>
    </row>
    <row r="40" spans="1:70" s="27" customFormat="1" ht="9.9499999999999993" customHeight="1" x14ac:dyDescent="0.2">
      <c r="A40" s="173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1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1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1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16</v>
      </c>
      <c r="BP40" s="171"/>
      <c r="BQ40" s="172"/>
      <c r="BR40" s="179"/>
    </row>
    <row r="41" spans="1:70" s="27" customFormat="1" ht="9.9499999999999993" customHeight="1" x14ac:dyDescent="0.2">
      <c r="A41" s="178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1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1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16</v>
      </c>
      <c r="BP41" s="171">
        <f t="shared" ref="BP41" si="38">BO41+BO42</f>
        <v>28</v>
      </c>
      <c r="BQ41" s="172">
        <f t="shared" ref="BQ41" si="39">82-BP41</f>
        <v>54</v>
      </c>
      <c r="BR41" s="179">
        <f t="shared" si="0"/>
        <v>0.34146341463414637</v>
      </c>
    </row>
    <row r="42" spans="1:70" s="27" customFormat="1" ht="9.9499999999999993" customHeight="1" x14ac:dyDescent="0.2">
      <c r="A42" s="173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1"/>
      <c r="BQ42" s="172"/>
      <c r="BR42" s="179"/>
    </row>
    <row r="43" spans="1:70" s="27" customFormat="1" ht="9.9499999999999993" customHeight="1" x14ac:dyDescent="0.2">
      <c r="A43" s="178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2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1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10</v>
      </c>
      <c r="BP43" s="171">
        <f t="shared" ref="BP43" si="40">BO43+BO44</f>
        <v>24</v>
      </c>
      <c r="BQ43" s="172">
        <f t="shared" ref="BQ43" si="41">82-BP43</f>
        <v>58</v>
      </c>
      <c r="BR43" s="179">
        <f t="shared" si="0"/>
        <v>0.29268292682926828</v>
      </c>
    </row>
    <row r="44" spans="1:70" s="27" customFormat="1" ht="9.9499999999999993" customHeight="1" x14ac:dyDescent="0.2">
      <c r="A44" s="173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1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1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14</v>
      </c>
      <c r="BP44" s="171"/>
      <c r="BQ44" s="172"/>
      <c r="BR44" s="179"/>
    </row>
    <row r="45" spans="1:70" s="27" customFormat="1" ht="9.9499999999999993" customHeight="1" x14ac:dyDescent="0.2">
      <c r="A45" s="178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1">
        <f t="shared" ref="BP45" si="42">BO45+BO46</f>
        <v>28</v>
      </c>
      <c r="BQ45" s="172">
        <f t="shared" ref="BQ45" si="43">82-BP45</f>
        <v>54</v>
      </c>
      <c r="BR45" s="179">
        <f t="shared" si="0"/>
        <v>0.34146341463414637</v>
      </c>
    </row>
    <row r="46" spans="1:70" s="27" customFormat="1" ht="9.9499999999999993" customHeight="1" x14ac:dyDescent="0.2">
      <c r="A46" s="173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1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1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1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1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14</v>
      </c>
      <c r="BP46" s="171"/>
      <c r="BQ46" s="172"/>
      <c r="BR46" s="179"/>
    </row>
    <row r="47" spans="1:70" s="27" customFormat="1" ht="9.9499999999999993" customHeight="1" x14ac:dyDescent="0.2">
      <c r="A47" s="178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1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13</v>
      </c>
      <c r="BP47" s="171">
        <f t="shared" ref="BP47" si="44">BO47+BO48</f>
        <v>28</v>
      </c>
      <c r="BQ47" s="172">
        <f t="shared" ref="BQ47" si="45">82-BP47</f>
        <v>54</v>
      </c>
      <c r="BR47" s="179">
        <f t="shared" si="0"/>
        <v>0.34146341463414637</v>
      </c>
    </row>
    <row r="48" spans="1:70" s="27" customFormat="1" ht="9.9499999999999993" customHeight="1" x14ac:dyDescent="0.2">
      <c r="A48" s="173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1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1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15</v>
      </c>
      <c r="BP48" s="171"/>
      <c r="BQ48" s="172"/>
      <c r="BR48" s="179"/>
    </row>
    <row r="49" spans="1:70" s="27" customFormat="1" ht="9.9499999999999993" customHeight="1" x14ac:dyDescent="0.2">
      <c r="A49" s="178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1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1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13</v>
      </c>
      <c r="BP49" s="171">
        <f t="shared" ref="BP49" si="46">BO49+BO50</f>
        <v>26</v>
      </c>
      <c r="BQ49" s="172">
        <f t="shared" ref="BQ49" si="47">82-BP49</f>
        <v>56</v>
      </c>
      <c r="BR49" s="179">
        <f t="shared" si="0"/>
        <v>0.31707317073170732</v>
      </c>
    </row>
    <row r="50" spans="1:70" s="27" customFormat="1" ht="9.9499999999999993" customHeight="1" x14ac:dyDescent="0.2">
      <c r="A50" s="173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1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13</v>
      </c>
      <c r="BP50" s="171"/>
      <c r="BQ50" s="172"/>
      <c r="BR50" s="179"/>
    </row>
    <row r="51" spans="1:70" s="27" customFormat="1" ht="9.9499999999999993" customHeight="1" x14ac:dyDescent="0.2">
      <c r="A51" s="178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1">
        <f t="shared" ref="BP51" si="48">BO51+BO52</f>
        <v>27</v>
      </c>
      <c r="BQ51" s="172">
        <f t="shared" ref="BQ51" si="49">82-BP51</f>
        <v>55</v>
      </c>
      <c r="BR51" s="179">
        <f t="shared" si="0"/>
        <v>0.32926829268292684</v>
      </c>
    </row>
    <row r="52" spans="1:70" s="27" customFormat="1" ht="9.9499999999999993" customHeight="1" x14ac:dyDescent="0.2">
      <c r="A52" s="173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2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1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17</v>
      </c>
      <c r="BP52" s="171"/>
      <c r="BQ52" s="172"/>
      <c r="BR52" s="179"/>
    </row>
    <row r="53" spans="1:70" s="27" customFormat="1" ht="9.9499999999999993" customHeight="1" x14ac:dyDescent="0.2">
      <c r="A53" s="178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1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2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16</v>
      </c>
      <c r="BP53" s="171">
        <f t="shared" ref="BP53" si="50">BO53+BO54</f>
        <v>27</v>
      </c>
      <c r="BQ53" s="172">
        <f t="shared" ref="BQ53" si="51">82-BP53</f>
        <v>55</v>
      </c>
      <c r="BR53" s="179">
        <f t="shared" si="0"/>
        <v>0.32926829268292684</v>
      </c>
    </row>
    <row r="54" spans="1:70" s="27" customFormat="1" ht="9.9499999999999993" customHeight="1" x14ac:dyDescent="0.2">
      <c r="A54" s="173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1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11</v>
      </c>
      <c r="BP54" s="171"/>
      <c r="BQ54" s="172"/>
      <c r="BR54" s="179"/>
    </row>
    <row r="55" spans="1:70" s="27" customFormat="1" ht="9.9499999999999993" customHeight="1" x14ac:dyDescent="0.2">
      <c r="A55" s="178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1">
        <f t="shared" ref="BP55" si="52">BO55+BO56</f>
        <v>30</v>
      </c>
      <c r="BQ55" s="172">
        <f t="shared" ref="BQ55" si="53">82-BP55</f>
        <v>52</v>
      </c>
      <c r="BR55" s="179">
        <f t="shared" si="0"/>
        <v>0.36585365853658536</v>
      </c>
    </row>
    <row r="56" spans="1:70" s="27" customFormat="1" ht="9.9499999999999993" customHeight="1" x14ac:dyDescent="0.2">
      <c r="A56" s="173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1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1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1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19</v>
      </c>
      <c r="BP56" s="171"/>
      <c r="BQ56" s="172"/>
      <c r="BR56" s="179"/>
    </row>
    <row r="57" spans="1:70" s="27" customFormat="1" ht="9.9499999999999993" customHeight="1" x14ac:dyDescent="0.2">
      <c r="A57" s="178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1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1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17</v>
      </c>
      <c r="BP57" s="171">
        <f t="shared" ref="BP57" si="54">BO57+BO58</f>
        <v>30</v>
      </c>
      <c r="BQ57" s="172">
        <f t="shared" ref="BQ57" si="55">82-BP57</f>
        <v>52</v>
      </c>
      <c r="BR57" s="179">
        <f t="shared" si="0"/>
        <v>0.36585365853658536</v>
      </c>
    </row>
    <row r="58" spans="1:70" s="27" customFormat="1" ht="9.9499999999999993" customHeight="1" x14ac:dyDescent="0.2">
      <c r="A58" s="173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1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13</v>
      </c>
      <c r="BP58" s="171"/>
      <c r="BQ58" s="172"/>
      <c r="BR58" s="179"/>
    </row>
    <row r="59" spans="1:70" s="27" customFormat="1" ht="9.9499999999999993" customHeight="1" x14ac:dyDescent="0.2">
      <c r="A59" s="178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1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1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16</v>
      </c>
      <c r="BP59" s="171">
        <f t="shared" ref="BP59" si="56">BO59+BO60</f>
        <v>30</v>
      </c>
      <c r="BQ59" s="172">
        <f t="shared" ref="BQ59" si="57">82-BP59</f>
        <v>52</v>
      </c>
      <c r="BR59" s="179">
        <f t="shared" si="0"/>
        <v>0.36585365853658536</v>
      </c>
    </row>
    <row r="60" spans="1:70" s="27" customFormat="1" ht="9.9499999999999993" customHeight="1" x14ac:dyDescent="0.2">
      <c r="A60" s="173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1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14</v>
      </c>
      <c r="BP60" s="171"/>
      <c r="BQ60" s="172"/>
      <c r="BR60" s="179"/>
    </row>
    <row r="61" spans="1:70" s="27" customFormat="1" ht="9.9499999999999993" customHeight="1" x14ac:dyDescent="0.2">
      <c r="A61" s="178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1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1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13</v>
      </c>
      <c r="BP61" s="171">
        <f t="shared" ref="BP61" si="58">BO61+BO62</f>
        <v>26</v>
      </c>
      <c r="BQ61" s="172">
        <f t="shared" ref="BQ61" si="59">82-BP61</f>
        <v>56</v>
      </c>
      <c r="BR61" s="179">
        <f t="shared" si="0"/>
        <v>0.31707317073170732</v>
      </c>
    </row>
    <row r="62" spans="1:70" s="27" customFormat="1" ht="9.9499999999999993" customHeight="1" x14ac:dyDescent="0.2">
      <c r="A62" s="173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1"/>
      <c r="BQ62" s="172"/>
      <c r="BR62" s="179"/>
    </row>
    <row r="63" spans="1:70" s="27" customFormat="1" ht="9.9499999999999993" customHeight="1" x14ac:dyDescent="0.2">
      <c r="A63" s="178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1">
        <f t="shared" ref="BP63" si="60">BO63+BO64</f>
        <v>26</v>
      </c>
      <c r="BQ63" s="172">
        <f t="shared" ref="BQ63" si="61">82-BP63</f>
        <v>56</v>
      </c>
      <c r="BR63" s="179">
        <f t="shared" si="0"/>
        <v>0.31707317073170732</v>
      </c>
    </row>
    <row r="64" spans="1:70" s="27" customFormat="1" ht="9.9499999999999993" customHeight="1" x14ac:dyDescent="0.2">
      <c r="A64" s="173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1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1</v>
      </c>
      <c r="BN64" s="39"/>
      <c r="BO64" s="34">
        <f t="shared" si="1"/>
        <v>14</v>
      </c>
      <c r="BP64" s="171"/>
      <c r="BQ64" s="172"/>
      <c r="BR64" s="179"/>
    </row>
    <row r="65" spans="1:70" s="27" customFormat="1" ht="9.9499999999999993" customHeight="1" x14ac:dyDescent="0.2">
      <c r="A65" s="178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1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1</v>
      </c>
      <c r="BM65" s="35"/>
      <c r="BN65" s="36"/>
      <c r="BO65" s="30">
        <f t="shared" si="1"/>
        <v>12</v>
      </c>
      <c r="BP65" s="171">
        <f t="shared" ref="BP65" si="62">BO65+BO66</f>
        <v>24</v>
      </c>
      <c r="BQ65" s="172">
        <f t="shared" ref="BQ65" si="63">82-BP65</f>
        <v>58</v>
      </c>
      <c r="BR65" s="179">
        <f t="shared" si="0"/>
        <v>0.29268292682926828</v>
      </c>
    </row>
    <row r="66" spans="1:70" s="27" customFormat="1" ht="9.9499999999999993" customHeight="1" x14ac:dyDescent="0.2">
      <c r="A66" s="173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1"/>
      <c r="BQ66" s="172"/>
      <c r="BR66" s="179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447</v>
      </c>
      <c r="BQ67" s="26">
        <f>SUM(BQ3:BQ66)/2</f>
        <v>865</v>
      </c>
      <c r="BR67" s="135">
        <f t="shared" si="0"/>
        <v>0.34070121951219512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L15" sqref="AL15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29</v>
      </c>
      <c r="E2" s="10">
        <f>Table3[[#This Row],[Watched]]/Table3[[#This Row],[GP]]</f>
        <v>0.87878787878787878</v>
      </c>
      <c r="F2">
        <f>COUNTIFS(DataRegularSeason20242025!$N$3:$N$1315,1,DataRegularSeason20242025!$D$3:$D$1315,$A2)</f>
        <v>18</v>
      </c>
      <c r="G2">
        <f>41-Table3[[#This Row],[GP_A]]</f>
        <v>23</v>
      </c>
      <c r="H2">
        <f>COUNTIFS(DataRegularSeason20242025!$E$3:$E$1315,$A2,DataRegularSeason20242025!$N$3:$N$1315,1)</f>
        <v>15</v>
      </c>
      <c r="I2">
        <f>41-Table3[[#This Row],[GP_H]]</f>
        <v>26</v>
      </c>
      <c r="J2">
        <f t="shared" ref="J2:J33" si="0">F2+H2</f>
        <v>33</v>
      </c>
      <c r="K2">
        <f>82-Table3[[#This Row],[GP]]</f>
        <v>49</v>
      </c>
      <c r="L2">
        <f>COUNTIFS(DataRegularSeason20242025!$D$3:$D$1315,$A2, DataRegularSeason20242025!$L$3:$L$1315, $A2,DataRegularSeason20242025!$N$3:$N$1315,1)</f>
        <v>11</v>
      </c>
      <c r="M2">
        <f>COUNTIFS(DataRegularSeason20242025!$D$3:$D$1315,$A2, DataRegularSeason20242025!$L$3:$L$1315, $A2,DataRegularSeason20242025!$N$3:$N$1315,1,DataRegularSeason20242025!$M$3:$M$1315,"REG")</f>
        <v>9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13</v>
      </c>
      <c r="U2">
        <f>COUNTIFS(DataRegularSeason20242025!$E$3:$E$1315,$A2, DataRegularSeason20242025!$L$3:$L$1315, $A2,DataRegularSeason20242025!$N$3:$N$1315,1,DataRegularSeason20242025!$M$3:$M$1315,"REG")</f>
        <v>13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0.72727272727272729</v>
      </c>
      <c r="AC2">
        <f>Table3[[#This Row],[W_A]]+Table3[[#This Row],[W_H]]</f>
        <v>24</v>
      </c>
      <c r="AD2">
        <f>Table3[[#This Row],[L_A]]+Table3[[#This Row],[L_H]]</f>
        <v>9</v>
      </c>
      <c r="AE2">
        <f>Table3[[#This Row],[RW_A]]+Table3[[#This Row],[RW_H]]</f>
        <v>22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0.27272727272727271</v>
      </c>
      <c r="AO2">
        <f>(2*(Table3[[#This Row],[W_A]]+Table3[[#This Row],[W_H]]))+Table3[[#This Row],[OTL_A]]+Table3[[#This Row],[SOL_A]]+Table3[[#This Row],[OTL_H]]+Table3[[#This Row],[SOL_H]]</f>
        <v>55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77</v>
      </c>
      <c r="AQ2" s="10">
        <f>Table3[[#This Row],[PTS]]/(2*Table3[[#This Row],[GP]])</f>
        <v>0.83333333333333337</v>
      </c>
      <c r="AR2" s="10">
        <f>Table3[[#This Row],[PTS2]]/(3*Table3[[#This Row],[GP]])</f>
        <v>0.77777777777777779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136.66666666666669</v>
      </c>
      <c r="AV2">
        <f>Table3[[#This Row],[PTS2]]+(3 * Table3[[#This Row],[GR]] * Table3[[#This Row],[PTS%2]])</f>
        <v>191.33333333333331</v>
      </c>
      <c r="AW2" s="15" t="str">
        <f>_xlfn.CONCAT(TEXT(Table3[[#This Row],[W]], "0"), "-", TEXT(Table3[[#This Row],[RL]],"0"), "-", TEXT(Table3[[#This Row],[OTL]]+Table3[[#This Row],[SOL]], "0"))</f>
        <v>24-2-7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62</v>
      </c>
      <c r="AZ2">
        <f>SUMIF(DataRegularSeason20242025!$D$3:$D$1315,$A2, DataRegularSeason20242025!$K$3:$K$1315)</f>
        <v>44</v>
      </c>
      <c r="BA2">
        <f t="shared" ref="BA2:BA33" si="3"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71</v>
      </c>
      <c r="BD2">
        <f>SUMIF(DataRegularSeason20242025!$E$3:$E$1315,$A2,DataRegularSeason20242025!$J$3:$J$1315)</f>
        <v>33</v>
      </c>
      <c r="BE2">
        <f t="shared" ref="BE2:BE33" si="4">BC2-BD2</f>
        <v>38</v>
      </c>
      <c r="BF2">
        <f t="shared" ref="BF2:BF33" si="5">AY2+BC2</f>
        <v>133</v>
      </c>
      <c r="BG2">
        <f t="shared" ref="BG2:BG33" si="6">AZ2+BD2</f>
        <v>77</v>
      </c>
      <c r="BH2">
        <f t="shared" ref="BH2:BH33" si="7">BF2-BG2</f>
        <v>56</v>
      </c>
      <c r="BI2" s="12">
        <f>Table3[[#This Row],[GF]]/Table3[[#This Row],[GP]]</f>
        <v>4.0303030303030303</v>
      </c>
      <c r="BJ2" s="12">
        <f>Table3[[#This Row],[GA]]/Table3[[#This Row],[GP]]</f>
        <v>2.3333333333333335</v>
      </c>
      <c r="BK2" s="12">
        <f>(Table3[[#This Row],[GF]]-Table3[[#This Row],[GA]])/Table3[[#This Row],[GP]]</f>
        <v>1.696969696969697</v>
      </c>
      <c r="BL2" s="42" t="str">
        <f>_xlfn.CONCAT(TEXT(Table3[[#This Row],[W_H]], "0"), "-", TEXT(Table3[[#This Row],[RL_H]],"0"), "-", TEXT(Table3[[#This Row],[OTL_H]]+Table3[[#This Row],[SOL_H]], "0"))</f>
        <v>13-0-2</v>
      </c>
      <c r="BM2" s="42" t="str">
        <f>_xlfn.CONCAT(TEXT(Table3[[#This Row],[W_A]], "0"), "-", TEXT(Table3[[#This Row],[RL_A]],"0"), "-", TEXT(Table3[[#This Row],[OTL_A]]+Table3[[#This Row],[SOL_A]], "0"))</f>
        <v>11-2-5</v>
      </c>
      <c r="BN2" s="42">
        <f>((2*(Table3[[#This Row],[W_H]]))+Table3[[#This Row],[OTL_H]]+Table3[[#This Row],[SOL_H]])/(2*Table3[[#This Row],[GP_H]])</f>
        <v>0.93333333333333335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42.35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112.21565656565656</v>
      </c>
      <c r="BR2" s="16">
        <f>(Table3[[#This Row],[W]]*0.7) + ((Table3[[#This Row],[GF]] - Table3[[#This Row],[GA]])*0.25)+(Table3[[#This Row],[GF]]*0.1)+(Table3[[#This Row],[GA]]*0.05)+(Table3[[#This Row],[L]]*0.3)</f>
        <v>50.65</v>
      </c>
      <c r="BS2" s="16">
        <f>Table3[[#This Row],[TeamCost83]]/Table3[[#This Row],[GP]]</f>
        <v>1.5348484848484849</v>
      </c>
      <c r="BT2">
        <f>COUNTIFS(Table2[AwayTeam],$A2,Table2[PredictedWinner], $A2, Table2[GameIsOver], 1)</f>
        <v>16</v>
      </c>
      <c r="BU2">
        <f>COUNTIFS(Table2[HomeTeam],$A2,Table2[PredictedWinner], $A2, Table2[GameIsOver], 1)</f>
        <v>14</v>
      </c>
      <c r="BV2">
        <f t="shared" ref="BV2:BV33" si="8">BT2+BU2</f>
        <v>30</v>
      </c>
      <c r="BW2">
        <f t="shared" ref="BW2:BW33" si="9">F2-BT2</f>
        <v>2</v>
      </c>
      <c r="BX2">
        <f t="shared" ref="BX2:BX33" si="10">H2-BU2</f>
        <v>1</v>
      </c>
      <c r="BY2">
        <f t="shared" ref="BY2:BY33" si="11">BW2+BX2</f>
        <v>3</v>
      </c>
      <c r="BZ2">
        <f>Table3[[#This Row],[TimesPredictedWinner]]/Table3[[#This Row],[GP]]</f>
        <v>0.90909090909090906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9.6</v>
      </c>
      <c r="CJ2">
        <f>SUMIFS(Table2[GamePredictionScore], Table2[HomeTeam], Table3[[#This Row],[Teams]])</f>
        <v>10.000000000000002</v>
      </c>
      <c r="CK2">
        <f>Table3[[#This Row],[Column4]]+Table3[[#This Row],[Column3]]</f>
        <v>19.600000000000001</v>
      </c>
      <c r="CL2">
        <f>Table3[[#This Row],[Column5]]/Table3[[#This Row],[GP]]</f>
        <v>0.59393939393939399</v>
      </c>
      <c r="CR2" t="s">
        <v>139</v>
      </c>
      <c r="CS2">
        <f>SUM($J$2:$J$33)/2</f>
        <v>528</v>
      </c>
      <c r="CW2" t="s">
        <v>57</v>
      </c>
      <c r="CX2" s="14" t="s">
        <v>150</v>
      </c>
      <c r="CY2">
        <f>INDEX($J$2:$J$33,MATCH("CGY",$A$2:$A$33,0),1)</f>
        <v>34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28</v>
      </c>
      <c r="E3" s="10">
        <f>Table3[[#This Row],[Watched]]/Table3[[#This Row],[GP]]</f>
        <v>0.82352941176470584</v>
      </c>
      <c r="F3">
        <f>COUNTIFS(DataRegularSeason20242025!$N$3:$N$1315,1,DataRegularSeason20242025!$D$3:$D$1315,$A3)</f>
        <v>17</v>
      </c>
      <c r="G3">
        <f>41-Table3[[#This Row],[GP_A]]</f>
        <v>24</v>
      </c>
      <c r="H3">
        <f>COUNTIFS(DataRegularSeason20242025!$E$3:$E$1315,$A3,DataRegularSeason20242025!$N$3:$N$1315,1)</f>
        <v>17</v>
      </c>
      <c r="I3">
        <f>41-Table3[[#This Row],[GP_H]]</f>
        <v>24</v>
      </c>
      <c r="J3">
        <f t="shared" si="0"/>
        <v>34</v>
      </c>
      <c r="K3">
        <f>82-Table3[[#This Row],[GP]]</f>
        <v>48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6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11</v>
      </c>
      <c r="U3">
        <f>COUNTIFS(DataRegularSeason20242025!$E$3:$E$1315,$A3, DataRegularSeason20242025!$L$3:$L$1315, $A3,DataRegularSeason20242025!$N$3:$N$1315,1,DataRegularSeason20242025!$M$3:$M$1315,"REG")</f>
        <v>9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 t="shared" si="2"/>
        <v>6</v>
      </c>
      <c r="Y3">
        <f>COUNTIFS(DataRegularSeason20242025!$E$3:$E$1315,$A3, DataRegularSeason20242025!$S$3:$S$1315, $A3,DataRegularSeason20242025!$M$3:$M$1315,"REG")</f>
        <v>5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0.6470588235294118</v>
      </c>
      <c r="AC3">
        <f>Table3[[#This Row],[W_A]]+Table3[[#This Row],[W_H]]</f>
        <v>22</v>
      </c>
      <c r="AD3">
        <f>Table3[[#This Row],[L_A]]+Table3[[#This Row],[L_H]]</f>
        <v>12</v>
      </c>
      <c r="AE3">
        <f>Table3[[#This Row],[RW_A]]+Table3[[#This Row],[RW_H]]</f>
        <v>18</v>
      </c>
      <c r="AF3">
        <f>Table3[[#This Row],[RL_A]]+Table3[[#This Row],[RL_H]]</f>
        <v>7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0.26470588235294118</v>
      </c>
      <c r="AO3">
        <f>(2*(Table3[[#This Row],[W_A]]+Table3[[#This Row],[W_H]]))+Table3[[#This Row],[OTL_A]]+Table3[[#This Row],[SOL_A]]+Table3[[#This Row],[OTL_H]]+Table3[[#This Row],[SOL_H]]</f>
        <v>49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3" s="10">
        <f>Table3[[#This Row],[PTS]]/(2*Table3[[#This Row],[GP]])</f>
        <v>0.72058823529411764</v>
      </c>
      <c r="AR3" s="10">
        <f>Table3[[#This Row],[PTS2]]/(3*Table3[[#This Row],[GP]])</f>
        <v>0.65686274509803921</v>
      </c>
      <c r="AS3">
        <f>(2*Table3[[#This Row],[GR]])+Table3[[#This Row],[PTS]]</f>
        <v>145</v>
      </c>
      <c r="AT3">
        <f>(3*Table3[[#This Row],[GR]])+Table3[[#This Row],[PTS2]]</f>
        <v>211</v>
      </c>
      <c r="AU3">
        <f>Table3[[#This Row],[PTS]]+(2 * Table3[[#This Row],[GR]] * Table3[[#This Row],[PTS%]])</f>
        <v>118.17647058823529</v>
      </c>
      <c r="AV3">
        <f>Table3[[#This Row],[PTS2]]+(3 * Table3[[#This Row],[GR]] * Table3[[#This Row],[PTS%2]])</f>
        <v>161.58823529411765</v>
      </c>
      <c r="AW3" s="15" t="str">
        <f>_xlfn.CONCAT(TEXT(Table3[[#This Row],[W]], "0"), "-", TEXT(Table3[[#This Row],[RL]],"0"), "-", TEXT(Table3[[#This Row],[OTL]]+Table3[[#This Row],[SOL]], "0"))</f>
        <v>22-7-5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61</v>
      </c>
      <c r="AZ3">
        <f>SUMIF(DataRegularSeason20242025!$D$3:$D$1315,$A3, DataRegularSeason20242025!$K$3:$K$1315)</f>
        <v>46</v>
      </c>
      <c r="BA3">
        <f t="shared" si="3"/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54</v>
      </c>
      <c r="BD3">
        <f>SUMIF(DataRegularSeason20242025!$E$3:$E$1315,$A3,DataRegularSeason20242025!$J$3:$J$1315)</f>
        <v>44</v>
      </c>
      <c r="BE3">
        <f t="shared" si="4"/>
        <v>10</v>
      </c>
      <c r="BF3">
        <f t="shared" si="5"/>
        <v>115</v>
      </c>
      <c r="BG3">
        <f t="shared" si="6"/>
        <v>90</v>
      </c>
      <c r="BH3">
        <f t="shared" si="7"/>
        <v>25</v>
      </c>
      <c r="BI3" s="12">
        <f>Table3[[#This Row],[GF]]/Table3[[#This Row],[GP]]</f>
        <v>3.3823529411764706</v>
      </c>
      <c r="BJ3" s="12">
        <f>Table3[[#This Row],[GA]]/Table3[[#This Row],[GP]]</f>
        <v>2.6470588235294117</v>
      </c>
      <c r="BK3" s="12">
        <f>(Table3[[#This Row],[GF]]-Table3[[#This Row],[GA]])/Table3[[#This Row],[GP]]</f>
        <v>0.73529411764705888</v>
      </c>
      <c r="BL3" s="42" t="str">
        <f>_xlfn.CONCAT(TEXT(Table3[[#This Row],[W_H]], "0"), "-", TEXT(Table3[[#This Row],[RL_H]],"0"), "-", TEXT(Table3[[#This Row],[OTL_H]]+Table3[[#This Row],[SOL_H]], "0"))</f>
        <v>11-5-1</v>
      </c>
      <c r="BM3" s="42" t="str">
        <f>_xlfn.CONCAT(TEXT(Table3[[#This Row],[W_A]], "0"), "-", TEXT(Table3[[#This Row],[RL_A]],"0"), "-", TEXT(Table3[[#This Row],[OTL_A]]+Table3[[#This Row],[SOL_A]], "0"))</f>
        <v>11-2-4</v>
      </c>
      <c r="BN3" s="42">
        <f>((2*(Table3[[#This Row],[W_H]]))+Table3[[#This Row],[OTL_H]]+Table3[[#This Row],[SOL_H]])/(2*Table3[[#This Row],[GP_H]])</f>
        <v>0.67647058823529416</v>
      </c>
      <c r="BO3" s="42">
        <f>((2*(Table3[[#This Row],[W_A]]))+Table3[[#This Row],[OTL_A]]+Table3[[#This Row],[SOL_A]])/(2*Table3[[#This Row],[GP_A]])</f>
        <v>0.76470588235294112</v>
      </c>
      <c r="BP3" s="16">
        <f>(Table3[[#This Row],[W]]*$CX$3)+(Table3[[#This Row],[L]]*$CX$4)+(Table3[[#This Row],[GF]]*$CX$5)+(Table3[[#This Row],[GA]]*$CX$6)</f>
        <v>40.85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105.22993079584775</v>
      </c>
      <c r="BR3" s="16">
        <f>(Table3[[#This Row],[W]]*0.7) + ((Table3[[#This Row],[GF]] - Table3[[#This Row],[GA]])*0.25)+(Table3[[#This Row],[GF]]*0.1)+(Table3[[#This Row],[GA]]*0.05)+(Table3[[#This Row],[L]]*0.3)</f>
        <v>41.25</v>
      </c>
      <c r="BS3" s="16">
        <f>Table3[[#This Row],[TeamCost83]]/Table3[[#This Row],[GP]]</f>
        <v>1.213235294117647</v>
      </c>
      <c r="BT3">
        <f>COUNTIFS(Table2[AwayTeam],$A3,Table2[PredictedWinner], $A3, Table2[GameIsOver], 1)</f>
        <v>10</v>
      </c>
      <c r="BU3">
        <f>COUNTIFS(Table2[HomeTeam],$A3,Table2[PredictedWinner], $A3, Table2[GameIsOver], 1)</f>
        <v>12</v>
      </c>
      <c r="BV3">
        <f t="shared" si="8"/>
        <v>22</v>
      </c>
      <c r="BW3">
        <f t="shared" si="9"/>
        <v>7</v>
      </c>
      <c r="BX3">
        <f t="shared" si="10"/>
        <v>5</v>
      </c>
      <c r="BY3">
        <f t="shared" si="11"/>
        <v>12</v>
      </c>
      <c r="BZ3">
        <f>Table3[[#This Row],[TimesPredictedWinner]]/Table3[[#This Row],[GP]]</f>
        <v>0.6470588235294118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8.8000000000000007</v>
      </c>
      <c r="CK3">
        <f>Table3[[#This Row],[Column4]]+Table3[[#This Row],[Column3]]</f>
        <v>17.200000000000003</v>
      </c>
      <c r="CL3">
        <f>Table3[[#This Row],[Column5]]/Table3[[#This Row],[GP]]</f>
        <v>0.50588235294117656</v>
      </c>
      <c r="CR3" t="s">
        <v>137</v>
      </c>
      <c r="CS3">
        <f>SUM($D$2:$D$33)/2</f>
        <v>447</v>
      </c>
      <c r="CW3" t="s">
        <v>90</v>
      </c>
      <c r="CX3" s="16">
        <v>0.5</v>
      </c>
      <c r="CY3">
        <f>INDEX($AC$2:$AC$33,MATCH("CGY",$A$2:$A$33,0),1)</f>
        <v>13</v>
      </c>
      <c r="DA3" s="16">
        <f>CX3*CY3</f>
        <v>6.5</v>
      </c>
      <c r="DB3" s="10">
        <f>DA3/$DA$7</f>
        <v>0.17980636237897646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27</v>
      </c>
      <c r="E4" s="10">
        <f>Table3[[#This Row],[Watched]]/Table3[[#This Row],[GP]]</f>
        <v>0.84375</v>
      </c>
      <c r="F4">
        <f>COUNTIFS(DataRegularSeason20242025!$N$3:$N$1315,1,DataRegularSeason20242025!$D$3:$D$1315,$A4)</f>
        <v>15</v>
      </c>
      <c r="G4">
        <f>41-Table3[[#This Row],[GP_A]]</f>
        <v>26</v>
      </c>
      <c r="H4">
        <f>COUNTIFS(DataRegularSeason20242025!$E$3:$E$1315,$A4,DataRegularSeason20242025!$N$3:$N$1315,1)</f>
        <v>17</v>
      </c>
      <c r="I4">
        <f>41-Table3[[#This Row],[GP_H]]</f>
        <v>24</v>
      </c>
      <c r="J4">
        <f t="shared" si="0"/>
        <v>32</v>
      </c>
      <c r="K4">
        <f>82-Table3[[#This Row],[GP]]</f>
        <v>50</v>
      </c>
      <c r="L4">
        <f>COUNTIFS(DataRegularSeason20242025!$D$3:$D$1315,$A4, DataRegularSeason20242025!$L$3:$L$1315, $A4,DataRegularSeason20242025!$N$3:$N$1315,1)</f>
        <v>10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3</v>
      </c>
      <c r="P4">
        <f t="shared" si="1"/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11</v>
      </c>
      <c r="U4">
        <f>COUNTIFS(DataRegularSeason20242025!$E$3:$E$1315,$A4, DataRegularSeason20242025!$L$3:$L$1315, $A4,DataRegularSeason20242025!$N$3:$N$1315,1,DataRegularSeason20242025!$M$3:$M$1315,"REG")</f>
        <v>7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 t="shared" si="2"/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0.65625</v>
      </c>
      <c r="AC4">
        <f>Table3[[#This Row],[W_A]]+Table3[[#This Row],[W_H]]</f>
        <v>21</v>
      </c>
      <c r="AD4">
        <f>Table3[[#This Row],[L_A]]+Table3[[#This Row],[L_H]]</f>
        <v>11</v>
      </c>
      <c r="AE4">
        <f>Table3[[#This Row],[RW_A]]+Table3[[#This Row],[RW_H]]</f>
        <v>13</v>
      </c>
      <c r="AF4">
        <f>Table3[[#This Row],[RL_A]]+Table3[[#This Row],[RL_H]]</f>
        <v>9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4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8-2</v>
      </c>
      <c r="AL4">
        <f>SUM(Table3[[#This Row],[OTW]],Table3[[#This Row],[OTL]],Table3[[#This Row],[SOW]],Table3[[#This Row],[SOL]])</f>
        <v>10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0.3125</v>
      </c>
      <c r="AO4">
        <f>(2*(Table3[[#This Row],[W_A]]+Table3[[#This Row],[W_H]]))+Table3[[#This Row],[OTL_A]]+Table3[[#This Row],[SOL_A]]+Table3[[#This Row],[OTL_H]]+Table3[[#This Row],[SOL_H]]</f>
        <v>44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4" s="10">
        <f>Table3[[#This Row],[PTS]]/(2*Table3[[#This Row],[GP]])</f>
        <v>0.6875</v>
      </c>
      <c r="AR4" s="10">
        <f>Table3[[#This Row],[PTS2]]/(3*Table3[[#This Row],[GP]])</f>
        <v>0.59375</v>
      </c>
      <c r="AS4">
        <f>(2*Table3[[#This Row],[GR]])+Table3[[#This Row],[PTS]]</f>
        <v>144</v>
      </c>
      <c r="AT4">
        <f>(3*Table3[[#This Row],[GR]])+Table3[[#This Row],[PTS2]]</f>
        <v>207</v>
      </c>
      <c r="AU4">
        <f>Table3[[#This Row],[PTS]]+(2 * Table3[[#This Row],[GR]] * Table3[[#This Row],[PTS%]])</f>
        <v>112.75</v>
      </c>
      <c r="AV4">
        <f>Table3[[#This Row],[PTS2]]+(3 * Table3[[#This Row],[GR]] * Table3[[#This Row],[PTS%2]])</f>
        <v>146.0625</v>
      </c>
      <c r="AW4" s="15" t="str">
        <f>_xlfn.CONCAT(TEXT(Table3[[#This Row],[W]], "0"), "-", TEXT(Table3[[#This Row],[RL]],"0"), "-", TEXT(Table3[[#This Row],[OTL]]+Table3[[#This Row],[SOL]], "0"))</f>
        <v>21-9-2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48</v>
      </c>
      <c r="AZ4">
        <f>SUMIF(DataRegularSeason20242025!$D$3:$D$1315,$A4, DataRegularSeason20242025!$K$3:$K$1315)</f>
        <v>39</v>
      </c>
      <c r="BA4">
        <f t="shared" si="3"/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60</v>
      </c>
      <c r="BD4">
        <f>SUMIF(DataRegularSeason20242025!$E$3:$E$1315,$A4,DataRegularSeason20242025!$J$3:$J$1315)</f>
        <v>51</v>
      </c>
      <c r="BE4">
        <f t="shared" si="4"/>
        <v>9</v>
      </c>
      <c r="BF4">
        <f t="shared" si="5"/>
        <v>108</v>
      </c>
      <c r="BG4">
        <f t="shared" si="6"/>
        <v>90</v>
      </c>
      <c r="BH4">
        <f t="shared" si="7"/>
        <v>18</v>
      </c>
      <c r="BI4" s="12">
        <f>Table3[[#This Row],[GF]]/Table3[[#This Row],[GP]]</f>
        <v>3.375</v>
      </c>
      <c r="BJ4" s="12">
        <f>Table3[[#This Row],[GA]]/Table3[[#This Row],[GP]]</f>
        <v>2.8125</v>
      </c>
      <c r="BK4" s="12">
        <f>(Table3[[#This Row],[GF]]-Table3[[#This Row],[GA]])/Table3[[#This Row],[GP]]</f>
        <v>0.5625</v>
      </c>
      <c r="BL4" s="42" t="str">
        <f>_xlfn.CONCAT(TEXT(Table3[[#This Row],[W_H]], "0"), "-", TEXT(Table3[[#This Row],[RL_H]],"0"), "-", TEXT(Table3[[#This Row],[OTL_H]]+Table3[[#This Row],[SOL_H]], "0"))</f>
        <v>11-5-1</v>
      </c>
      <c r="BM4" s="42" t="str">
        <f>_xlfn.CONCAT(TEXT(Table3[[#This Row],[W_A]], "0"), "-", TEXT(Table3[[#This Row],[RL_A]],"0"), "-", TEXT(Table3[[#This Row],[OTL_A]]+Table3[[#This Row],[SOL_A]], "0"))</f>
        <v>10-4-1</v>
      </c>
      <c r="BN4" s="42">
        <f>((2*(Table3[[#This Row],[W_H]]))+Table3[[#This Row],[OTL_H]]+Table3[[#This Row],[SOL_H]])/(2*Table3[[#This Row],[GP_H]])</f>
        <v>0.67647058823529416</v>
      </c>
      <c r="BO4" s="42">
        <f>((2*(Table3[[#This Row],[W_A]]))+Table3[[#This Row],[OTL_A]]+Table3[[#This Row],[SOL_A]])/(2*Table3[[#This Row],[GP_A]])</f>
        <v>0.7</v>
      </c>
      <c r="BP4" s="16">
        <f>(Table3[[#This Row],[W]]*$CX$3)+(Table3[[#This Row],[L]]*$CX$4)+(Table3[[#This Row],[GF]]*$CX$5)+(Table3[[#This Row],[GA]]*$CX$6)</f>
        <v>39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104.69609375</v>
      </c>
      <c r="BR4" s="16">
        <f>(Table3[[#This Row],[W]]*0.7) + ((Table3[[#This Row],[GF]] - Table3[[#This Row],[GA]])*0.25)+(Table3[[#This Row],[GF]]*0.1)+(Table3[[#This Row],[GA]]*0.05)+(Table3[[#This Row],[L]]*0.3)</f>
        <v>37.799999999999997</v>
      </c>
      <c r="BS4" s="16">
        <f>Table3[[#This Row],[TeamCost83]]/Table3[[#This Row],[GP]]</f>
        <v>1.1812499999999999</v>
      </c>
      <c r="BT4">
        <f>COUNTIFS(Table2[AwayTeam],$A4,Table2[PredictedWinner], $A4, Table2[GameIsOver], 1)</f>
        <v>11</v>
      </c>
      <c r="BU4">
        <f>COUNTIFS(Table2[HomeTeam],$A4,Table2[PredictedWinner], $A4, Table2[GameIsOver], 1)</f>
        <v>16</v>
      </c>
      <c r="BV4">
        <f t="shared" si="8"/>
        <v>27</v>
      </c>
      <c r="BW4">
        <f t="shared" si="9"/>
        <v>4</v>
      </c>
      <c r="BX4">
        <f t="shared" si="10"/>
        <v>1</v>
      </c>
      <c r="BY4">
        <f t="shared" si="11"/>
        <v>5</v>
      </c>
      <c r="BZ4">
        <f>Table3[[#This Row],[TimesPredictedWinner]]/Table3[[#This Row],[GP]]</f>
        <v>0.84375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8.6</v>
      </c>
      <c r="CJ4">
        <f>SUMIFS(Table2[GamePredictionScore], Table2[HomeTeam], Table3[[#This Row],[Teams]])</f>
        <v>8.5</v>
      </c>
      <c r="CK4">
        <f>Table3[[#This Row],[Column4]]+Table3[[#This Row],[Column3]]</f>
        <v>17.100000000000001</v>
      </c>
      <c r="CL4">
        <f>Table3[[#This Row],[Column5]]/Table3[[#This Row],[GP]]</f>
        <v>0.53437500000000004</v>
      </c>
      <c r="CR4" t="s">
        <v>138</v>
      </c>
      <c r="CS4">
        <f>$CS$2-$CS$3</f>
        <v>81</v>
      </c>
      <c r="CW4" t="s">
        <v>119</v>
      </c>
      <c r="CX4" s="16">
        <v>0.3</v>
      </c>
      <c r="CY4">
        <f>INDEX($AD$2:$AD$33,MATCH("CGY",$A$2:$A$33,0),1)</f>
        <v>21</v>
      </c>
      <c r="DA4" s="16">
        <f>CX4*CY4</f>
        <v>6.3</v>
      </c>
      <c r="DB4" s="10">
        <f>DA4/$DA$7</f>
        <v>0.17427385892116179</v>
      </c>
    </row>
    <row r="5" spans="1:144" x14ac:dyDescent="0.25">
      <c r="A5" t="s">
        <v>26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26</v>
      </c>
      <c r="E5" s="10">
        <f>Table3[[#This Row],[Watched]]/Table3[[#This Row],[GP]]</f>
        <v>0.83870967741935487</v>
      </c>
      <c r="F5">
        <f>COUNTIFS(DataRegularSeason20242025!$N$3:$N$1315,1,DataRegularSeason20242025!$D$3:$D$1315,$A5)</f>
        <v>16</v>
      </c>
      <c r="G5">
        <f>41-Table3[[#This Row],[GP_A]]</f>
        <v>25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 t="shared" si="0"/>
        <v>31</v>
      </c>
      <c r="K5">
        <f>82-Table3[[#This Row],[GP]]</f>
        <v>51</v>
      </c>
      <c r="L5">
        <f>COUNTIFS(DataRegularSeason20242025!$D$3:$D$1315,$A5, DataRegularSeason20242025!$L$3:$L$1315, $A5,DataRegularSeason20242025!$N$3:$N$1315,1)</f>
        <v>9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3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 t="shared" si="1"/>
        <v>7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4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7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1</v>
      </c>
      <c r="X5">
        <f t="shared" si="2"/>
        <v>8</v>
      </c>
      <c r="Y5">
        <f>COUNTIFS(DataRegularSeason20242025!$E$3:$E$1315,$A5, DataRegularSeason20242025!$S$3:$S$1315, $A5,DataRegularSeason20242025!$M$3:$M$1315,"REG")</f>
        <v>4</v>
      </c>
      <c r="Z5">
        <f>COUNTIFS(DataRegularSeason20242025!$E$3:$E$1315,$A5, DataRegularSeason20242025!$S$3:$S$1315, $A5,DataRegularSeason20242025!$M$3:$M$1315,"OT")</f>
        <v>2</v>
      </c>
      <c r="AA5">
        <f>COUNTIFS(DataRegularSeason20242025!$E$3:$E$1315,$A5, DataRegularSeason20242025!$S$3:$S$1315, $A5,DataRegularSeason20242025!$M$3:$M$1315,"SO")</f>
        <v>2</v>
      </c>
      <c r="AB5">
        <f>Table3[[#This Row],[W]]/MAX(1,Table3[[#This Row],[W]]+Table3[[#This Row],[L]])</f>
        <v>0.5161290322580645</v>
      </c>
      <c r="AC5">
        <f>Table3[[#This Row],[W_A]]+Table3[[#This Row],[W_H]]</f>
        <v>16</v>
      </c>
      <c r="AD5">
        <f>Table3[[#This Row],[L_A]]+Table3[[#This Row],[L_H]]</f>
        <v>15</v>
      </c>
      <c r="AE5">
        <f>Table3[[#This Row],[RW_A]]+Table3[[#This Row],[RW_H]]</f>
        <v>12</v>
      </c>
      <c r="AF5">
        <f>Table3[[#This Row],[RL_A]]+Table3[[#This Row],[RL_H]]</f>
        <v>6</v>
      </c>
      <c r="AG5">
        <f>Table3[[#This Row],[OTW_A]]+Table3[[#This Row],[OTW_H]]</f>
        <v>3</v>
      </c>
      <c r="AH5">
        <f>Table3[[#This Row],[OTL_A]]+Table3[[#This Row],[OTL_H]]</f>
        <v>6</v>
      </c>
      <c r="AI5">
        <f>Table3[[#This Row],[SOW_A]]+Table3[[#This Row],[SOW_H]]</f>
        <v>1</v>
      </c>
      <c r="AJ5">
        <f>Table3[[#This Row],[SOL_A]]+Table3[[#This Row],[SOL_H]]</f>
        <v>3</v>
      </c>
      <c r="AK5" s="15" t="str">
        <f>_xlfn.CONCAT(TEXT(Table3[[#This Row],[OTW]]+Table3[[#This Row],[SOW]], "0"), "-", TEXT(Table3[[#This Row],[OTL]]+Table3[[#This Row],[SOL]],"0"))</f>
        <v>4-9</v>
      </c>
      <c r="AL5">
        <f>SUM(Table3[[#This Row],[OTW]],Table3[[#This Row],[OTL]],Table3[[#This Row],[SOW]],Table3[[#This Row],[SOL]])</f>
        <v>13</v>
      </c>
      <c r="AM5">
        <f>(Table3[[#This Row],[OTW]]+Table3[[#This Row],[SOW]])/IF(Table3[[#This Row],[Total_ExtraTimes]]=0,1,Table3[[#This Row],[Total_ExtraTimes]])</f>
        <v>0.30769230769230771</v>
      </c>
      <c r="AN5">
        <f>Table3[[#This Row],[Total_ExtraTimes]]/MAX(1,Table3[[#This Row],[GP]])</f>
        <v>0.41935483870967744</v>
      </c>
      <c r="AO5">
        <f>(2*(Table3[[#This Row],[W_A]]+Table3[[#This Row],[W_H]]))+Table3[[#This Row],[OTL_A]]+Table3[[#This Row],[SOL_A]]+Table3[[#This Row],[OTL_H]]+Table3[[#This Row],[SOL_H]]</f>
        <v>41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5" s="10">
        <f>Table3[[#This Row],[PTS]]/(2*Table3[[#This Row],[GP]])</f>
        <v>0.66129032258064513</v>
      </c>
      <c r="AR5" s="10">
        <f>Table3[[#This Row],[PTS2]]/(3*Table3[[#This Row],[GP]])</f>
        <v>0.56989247311827962</v>
      </c>
      <c r="AS5">
        <f>(2*Table3[[#This Row],[GR]])+Table3[[#This Row],[PTS]]</f>
        <v>143</v>
      </c>
      <c r="AT5">
        <f>(3*Table3[[#This Row],[GR]])+Table3[[#This Row],[PTS2]]</f>
        <v>206</v>
      </c>
      <c r="AU5">
        <f>Table3[[#This Row],[PTS]]+(2 * Table3[[#This Row],[GR]] * Table3[[#This Row],[PTS%]])</f>
        <v>108.45161290322581</v>
      </c>
      <c r="AV5">
        <f>Table3[[#This Row],[PTS2]]+(3 * Table3[[#This Row],[GR]] * Table3[[#This Row],[PTS%2]])</f>
        <v>140.19354838709677</v>
      </c>
      <c r="AW5" s="15" t="str">
        <f>_xlfn.CONCAT(TEXT(Table3[[#This Row],[W]], "0"), "-", TEXT(Table3[[#This Row],[RL]],"0"), "-", TEXT(Table3[[#This Row],[OTL]]+Table3[[#This Row],[SOL]], "0"))</f>
        <v>16-6-9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46</v>
      </c>
      <c r="AZ5">
        <f>SUMIF(DataRegularSeason20242025!$D$3:$D$1315,$A5, DataRegularSeason20242025!$K$3:$K$1315)</f>
        <v>40</v>
      </c>
      <c r="BA5">
        <f t="shared" si="3"/>
        <v>6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50</v>
      </c>
      <c r="BD5">
        <f>SUMIF(DataRegularSeason20242025!$E$3:$E$1315,$A5,DataRegularSeason20242025!$J$3:$J$1315)</f>
        <v>50</v>
      </c>
      <c r="BE5">
        <f t="shared" si="4"/>
        <v>0</v>
      </c>
      <c r="BF5">
        <f t="shared" si="5"/>
        <v>96</v>
      </c>
      <c r="BG5">
        <f t="shared" si="6"/>
        <v>90</v>
      </c>
      <c r="BH5">
        <f t="shared" si="7"/>
        <v>6</v>
      </c>
      <c r="BI5" s="12">
        <f>Table3[[#This Row],[GF]]/Table3[[#This Row],[GP]]</f>
        <v>3.096774193548387</v>
      </c>
      <c r="BJ5" s="12">
        <f>Table3[[#This Row],[GA]]/Table3[[#This Row],[GP]]</f>
        <v>2.903225806451613</v>
      </c>
      <c r="BK5" s="12">
        <f>(Table3[[#This Row],[GF]]-Table3[[#This Row],[GA]])/Table3[[#This Row],[GP]]</f>
        <v>0.19354838709677419</v>
      </c>
      <c r="BL5" s="42" t="str">
        <f>_xlfn.CONCAT(TEXT(Table3[[#This Row],[W_H]], "0"), "-", TEXT(Table3[[#This Row],[RL_H]],"0"), "-", TEXT(Table3[[#This Row],[OTL_H]]+Table3[[#This Row],[SOL_H]], "0"))</f>
        <v>7-4-4</v>
      </c>
      <c r="BM5" s="42" t="str">
        <f>_xlfn.CONCAT(TEXT(Table3[[#This Row],[W_A]], "0"), "-", TEXT(Table3[[#This Row],[RL_A]],"0"), "-", TEXT(Table3[[#This Row],[OTL_A]]+Table3[[#This Row],[SOL_A]], "0"))</f>
        <v>9-2-5</v>
      </c>
      <c r="BN5" s="42">
        <f>((2*(Table3[[#This Row],[W_H]]))+Table3[[#This Row],[OTL_H]]+Table3[[#This Row],[SOL_H]])/(2*Table3[[#This Row],[GP_H]])</f>
        <v>0.6</v>
      </c>
      <c r="BO5" s="42">
        <f>((2*(Table3[[#This Row],[W_A]]))+Table3[[#This Row],[OTL_A]]+Table3[[#This Row],[SOL_A]])/(2*Table3[[#This Row],[GP_A]])</f>
        <v>0.71875</v>
      </c>
      <c r="BP5" s="16">
        <f>(Table3[[#This Row],[W]]*$CX$3)+(Table3[[#This Row],[L]]*$CX$4)+(Table3[[#This Row],[GF]]*$CX$5)+(Table3[[#This Row],[GA]]*$CX$6)</f>
        <v>35.9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98.940166493236205</v>
      </c>
      <c r="BR5" s="16">
        <f>(Table3[[#This Row],[W]]*0.7) + ((Table3[[#This Row],[GF]] - Table3[[#This Row],[GA]])*0.25)+(Table3[[#This Row],[GF]]*0.1)+(Table3[[#This Row],[GA]]*0.05)+(Table3[[#This Row],[L]]*0.3)</f>
        <v>31.3</v>
      </c>
      <c r="BS5" s="16">
        <f>Table3[[#This Row],[TeamCost83]]/Table3[[#This Row],[GP]]</f>
        <v>1.0096774193548388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6</v>
      </c>
      <c r="BV5">
        <f t="shared" si="8"/>
        <v>12</v>
      </c>
      <c r="BW5">
        <f t="shared" si="9"/>
        <v>10</v>
      </c>
      <c r="BX5">
        <f t="shared" si="10"/>
        <v>9</v>
      </c>
      <c r="BY5">
        <f t="shared" si="11"/>
        <v>19</v>
      </c>
      <c r="BZ5">
        <f>Table3[[#This Row],[TimesPredictedWinner]]/Table3[[#This Row],[GP]]</f>
        <v>0.38709677419354838</v>
      </c>
      <c r="CB5">
        <v>2023</v>
      </c>
      <c r="CD5" s="1">
        <v>45748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6.0999999999999988</v>
      </c>
      <c r="CJ5">
        <f>SUMIFS(Table2[GamePredictionScore], Table2[HomeTeam], Table3[[#This Row],[Teams]])</f>
        <v>6.8000000000000007</v>
      </c>
      <c r="CK5">
        <f>Table3[[#This Row],[Column4]]+Table3[[#This Row],[Column3]]</f>
        <v>12.899999999999999</v>
      </c>
      <c r="CL5">
        <f>Table3[[#This Row],[Column5]]/Table3[[#This Row],[GP]]</f>
        <v>0.41612903225806447</v>
      </c>
      <c r="CR5" t="s">
        <v>140</v>
      </c>
      <c r="CS5">
        <f>SUM($BF$2:$BF$33)</f>
        <v>3242</v>
      </c>
      <c r="CW5" t="s">
        <v>67</v>
      </c>
      <c r="CX5" s="16">
        <v>0.15</v>
      </c>
      <c r="CY5">
        <f>INDEX($BF$2:$BF$33,MATCH("CGY",$A$2:$A$33,0),1)</f>
        <v>87</v>
      </c>
      <c r="CZ5">
        <f>CY5/CY2</f>
        <v>2.5588235294117645</v>
      </c>
      <c r="DA5" s="16">
        <f>CX5*CY5</f>
        <v>13.049999999999999</v>
      </c>
      <c r="DB5" s="10">
        <f>DA5/$DA$7</f>
        <v>0.36099585062240658</v>
      </c>
    </row>
    <row r="6" spans="1:144" ht="15.75" thickBot="1" x14ac:dyDescent="0.3">
      <c r="A6" t="s">
        <v>36</v>
      </c>
      <c r="B6" t="s">
        <v>90</v>
      </c>
      <c r="C6" t="s">
        <v>88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26</v>
      </c>
      <c r="E6" s="10">
        <f>Table3[[#This Row],[Watched]]/Table3[[#This Row],[GP]]</f>
        <v>0.76470588235294112</v>
      </c>
      <c r="F6">
        <f>COUNTIFS(DataRegularSeason20242025!$N$3:$N$1315,1,DataRegularSeason20242025!$D$3:$D$1315,$A6)</f>
        <v>15</v>
      </c>
      <c r="G6">
        <f>41-Table3[[#This Row],[GP_A]]</f>
        <v>26</v>
      </c>
      <c r="H6">
        <f>COUNTIFS(DataRegularSeason20242025!$E$3:$E$1315,$A6,DataRegularSeason20242025!$N$3:$N$1315,1)</f>
        <v>19</v>
      </c>
      <c r="I6">
        <f>41-Table3[[#This Row],[GP_H]]</f>
        <v>22</v>
      </c>
      <c r="J6">
        <f t="shared" si="0"/>
        <v>34</v>
      </c>
      <c r="K6">
        <f>82-Table3[[#This Row],[GP]]</f>
        <v>48</v>
      </c>
      <c r="L6">
        <f>COUNTIFS(DataRegularSeason20242025!$D$3:$D$1315,$A6, DataRegularSeason20242025!$L$3:$L$1315, $A6,DataRegularSeason20242025!$N$3:$N$1315,1)</f>
        <v>8</v>
      </c>
      <c r="M6">
        <f>COUNTIFS(DataRegularSeason20242025!$D$3:$D$1315,$A6, DataRegularSeason20242025!$L$3:$L$1315, $A6,DataRegularSeason20242025!$N$3:$N$1315,1,DataRegularSeason20242025!$M$3:$M$1315,"REG")</f>
        <v>7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7</v>
      </c>
      <c r="Q6">
        <f>COUNTIFS(DataRegularSeason20242025!$D$3:$D$1315,$A6, DataRegularSeason20242025!$S$3:$S$1315, $A6,DataRegularSeason20242025!$M$3:$M$1315,"REG")</f>
        <v>6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12</v>
      </c>
      <c r="U6">
        <f>COUNTIFS(DataRegularSeason20242025!$E$3:$E$1315,$A6, DataRegularSeason20242025!$L$3:$L$1315, $A6,DataRegularSeason20242025!$N$3:$N$1315,1,DataRegularSeason20242025!$M$3:$M$1315,"REG")</f>
        <v>7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3</v>
      </c>
      <c r="X6">
        <f t="shared" si="2"/>
        <v>7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3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0.58823529411764708</v>
      </c>
      <c r="AC6">
        <f>Table3[[#This Row],[W_A]]+Table3[[#This Row],[W_H]]</f>
        <v>20</v>
      </c>
      <c r="AD6">
        <f>Table3[[#This Row],[L_A]]+Table3[[#This Row],[L_H]]</f>
        <v>14</v>
      </c>
      <c r="AE6">
        <f>Table3[[#This Row],[RW_A]]+Table3[[#This Row],[RW_H]]</f>
        <v>14</v>
      </c>
      <c r="AF6">
        <f>Table3[[#This Row],[RL_A]]+Table3[[#This Row],[RL_H]]</f>
        <v>9</v>
      </c>
      <c r="AG6">
        <f>Table3[[#This Row],[OTW_A]]+Table3[[#This Row],[OTW_H]]</f>
        <v>3</v>
      </c>
      <c r="AH6">
        <f>Table3[[#This Row],[OTL_A]]+Table3[[#This Row],[OTL_H]]</f>
        <v>4</v>
      </c>
      <c r="AI6">
        <f>Table3[[#This Row],[SOW_A]]+Table3[[#This Row],[SOW_H]]</f>
        <v>3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6-5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0.54545454545454541</v>
      </c>
      <c r="AN6">
        <f>Table3[[#This Row],[Total_ExtraTimes]]/MAX(1,Table3[[#This Row],[GP]])</f>
        <v>0.3235294117647059</v>
      </c>
      <c r="AO6">
        <f>(2*(Table3[[#This Row],[W_A]]+Table3[[#This Row],[W_H]]))+Table3[[#This Row],[OTL_A]]+Table3[[#This Row],[SOL_A]]+Table3[[#This Row],[OTL_H]]+Table3[[#This Row],[SOL_H]]</f>
        <v>45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59</v>
      </c>
      <c r="AQ6" s="10">
        <f>Table3[[#This Row],[PTS]]/(2*Table3[[#This Row],[GP]])</f>
        <v>0.66176470588235292</v>
      </c>
      <c r="AR6" s="10">
        <f>Table3[[#This Row],[PTS2]]/(3*Table3[[#This Row],[GP]])</f>
        <v>0.57843137254901966</v>
      </c>
      <c r="AS6">
        <f>(2*Table3[[#This Row],[GR]])+Table3[[#This Row],[PTS]]</f>
        <v>141</v>
      </c>
      <c r="AT6">
        <f>(3*Table3[[#This Row],[GR]])+Table3[[#This Row],[PTS2]]</f>
        <v>203</v>
      </c>
      <c r="AU6">
        <f>Table3[[#This Row],[PTS]]+(2 * Table3[[#This Row],[GR]] * Table3[[#This Row],[PTS%]])</f>
        <v>108.52941176470588</v>
      </c>
      <c r="AV6">
        <f>Table3[[#This Row],[PTS2]]+(3 * Table3[[#This Row],[GR]] * Table3[[#This Row],[PTS%2]])</f>
        <v>142.29411764705884</v>
      </c>
      <c r="AW6" s="15" t="str">
        <f>_xlfn.CONCAT(TEXT(Table3[[#This Row],[W]], "0"), "-", TEXT(Table3[[#This Row],[RL]],"0"), "-", TEXT(Table3[[#This Row],[OTL]]+Table3[[#This Row],[SOL]], "0"))</f>
        <v>20-9-5</v>
      </c>
      <c r="AX6">
        <f>COUNTIFS(DataRegularSeason20242025!$D$3:$D$1315,Table3[[#This Row],[Teams]],DataRegularSeason20242025!$K$3:$K$1315,0)</f>
        <v>4</v>
      </c>
      <c r="AY6">
        <f>SUMIF(DataRegularSeason20242025!$D$3:$D$1315,$A6, DataRegularSeason20242025!$J$3:$J$1315)</f>
        <v>41</v>
      </c>
      <c r="AZ6">
        <f>SUMIF(DataRegularSeason20242025!$D$3:$D$1315,$A6, DataRegularSeason20242025!$K$3:$K$1315)</f>
        <v>35</v>
      </c>
      <c r="BA6">
        <f t="shared" si="3"/>
        <v>6</v>
      </c>
      <c r="BB6">
        <f>COUNTIFS(DataRegularSeason20242025!$E$3:$E$1315,Table3[[#This Row],[Teams]],DataRegularSeason20242025!$J$3:$J$1315,0)</f>
        <v>3</v>
      </c>
      <c r="BC6">
        <f>SUMIF(DataRegularSeason20242025!$E$3:$E$1315,$A6,DataRegularSeason20242025!$K$3:$K$1315)</f>
        <v>62</v>
      </c>
      <c r="BD6">
        <f>SUMIF(DataRegularSeason20242025!$E$3:$E$1315,$A6,DataRegularSeason20242025!$J$3:$J$1315)</f>
        <v>52</v>
      </c>
      <c r="BE6">
        <f t="shared" si="4"/>
        <v>10</v>
      </c>
      <c r="BF6">
        <f t="shared" si="5"/>
        <v>103</v>
      </c>
      <c r="BG6">
        <f t="shared" si="6"/>
        <v>87</v>
      </c>
      <c r="BH6">
        <f t="shared" si="7"/>
        <v>16</v>
      </c>
      <c r="BI6" s="12">
        <f>Table3[[#This Row],[GF]]/Table3[[#This Row],[GP]]</f>
        <v>3.0294117647058822</v>
      </c>
      <c r="BJ6" s="12">
        <f>Table3[[#This Row],[GA]]/Table3[[#This Row],[GP]]</f>
        <v>2.5588235294117645</v>
      </c>
      <c r="BK6" s="12">
        <f>(Table3[[#This Row],[GF]]-Table3[[#This Row],[GA]])/Table3[[#This Row],[GP]]</f>
        <v>0.47058823529411764</v>
      </c>
      <c r="BL6" s="42" t="str">
        <f>_xlfn.CONCAT(TEXT(Table3[[#This Row],[W_H]], "0"), "-", TEXT(Table3[[#This Row],[RL_H]],"0"), "-", TEXT(Table3[[#This Row],[OTL_H]]+Table3[[#This Row],[SOL_H]], "0"))</f>
        <v>12-3-4</v>
      </c>
      <c r="BM6" s="42" t="str">
        <f>_xlfn.CONCAT(TEXT(Table3[[#This Row],[W_A]], "0"), "-", TEXT(Table3[[#This Row],[RL_A]],"0"), "-", TEXT(Table3[[#This Row],[OTL_A]]+Table3[[#This Row],[SOL_A]], "0"))</f>
        <v>8-6-1</v>
      </c>
      <c r="BN6" s="42">
        <f>((2*(Table3[[#This Row],[W_H]]))+Table3[[#This Row],[OTL_H]]+Table3[[#This Row],[SOL_H]])/(2*Table3[[#This Row],[GP_H]])</f>
        <v>0.73684210526315785</v>
      </c>
      <c r="BO6" s="42">
        <f>((2*(Table3[[#This Row],[W_A]]))+Table3[[#This Row],[OTL_A]]+Table3[[#This Row],[SOL_A]])/(2*Table3[[#This Row],[GP_A]])</f>
        <v>0.56666666666666665</v>
      </c>
      <c r="BP6" s="16">
        <f>(Table3[[#This Row],[W]]*$CX$3)+(Table3[[#This Row],[L]]*$CX$4)+(Table3[[#This Row],[GF]]*$CX$5)+(Table3[[#This Row],[GA]]*$CX$6)</f>
        <v>38.35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97.636851211072681</v>
      </c>
      <c r="BR6" s="16">
        <f>(Table3[[#This Row],[W]]*0.7) + ((Table3[[#This Row],[GF]] - Table3[[#This Row],[GA]])*0.25)+(Table3[[#This Row],[GF]]*0.1)+(Table3[[#This Row],[GA]]*0.05)+(Table3[[#This Row],[L]]*0.3)</f>
        <v>36.85</v>
      </c>
      <c r="BS6" s="16">
        <f>Table3[[#This Row],[TeamCost83]]/Table3[[#This Row],[GP]]</f>
        <v>1.0838235294117649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12</v>
      </c>
      <c r="BV6">
        <f t="shared" si="8"/>
        <v>17</v>
      </c>
      <c r="BW6">
        <f t="shared" si="9"/>
        <v>10</v>
      </c>
      <c r="BX6">
        <f t="shared" si="10"/>
        <v>7</v>
      </c>
      <c r="BY6">
        <f t="shared" si="11"/>
        <v>17</v>
      </c>
      <c r="BZ6">
        <f>Table3[[#This Row],[TimesPredictedWinner]]/Table3[[#This Row],[GP]]</f>
        <v>0.5</v>
      </c>
      <c r="CD6" s="1">
        <v>45762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7.0000000000000009</v>
      </c>
      <c r="CJ6">
        <f>SUMIFS(Table2[GamePredictionScore], Table2[HomeTeam], Table3[[#This Row],[Teams]])</f>
        <v>7.8999999999999986</v>
      </c>
      <c r="CK6">
        <f>Table3[[#This Row],[Column4]]+Table3[[#This Row],[Column3]]</f>
        <v>14.899999999999999</v>
      </c>
      <c r="CL6">
        <f>Table3[[#This Row],[Column5]]/Table3[[#This Row],[GP]]</f>
        <v>0.438235294117647</v>
      </c>
      <c r="CR6" t="s">
        <v>141</v>
      </c>
      <c r="CS6">
        <f>SUM($AX$2:$AX$33)+SUM($BB$2:$BB$33)</f>
        <v>51</v>
      </c>
      <c r="CW6" t="s">
        <v>68</v>
      </c>
      <c r="CX6" s="16">
        <v>0.1</v>
      </c>
      <c r="CY6">
        <f>INDEX($BG$2:$BG$33,MATCH("CGY",$A$2:$A$33,0),1)</f>
        <v>103</v>
      </c>
      <c r="CZ6">
        <f>CY6/CY2</f>
        <v>3.0294117647058822</v>
      </c>
      <c r="DA6" s="16">
        <f>CX6*CY6</f>
        <v>10.3</v>
      </c>
      <c r="DB6" s="10">
        <f>DA6/$DA$7</f>
        <v>0.28492392807745504</v>
      </c>
    </row>
    <row r="7" spans="1:144" ht="16.5" thickTop="1" thickBot="1" x14ac:dyDescent="0.3">
      <c r="A7" t="s">
        <v>43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24</v>
      </c>
      <c r="E7" s="10">
        <f>Table3[[#This Row],[Watched]]/Table3[[#This Row],[GP]]</f>
        <v>0.72727272727272729</v>
      </c>
      <c r="F7">
        <f>COUNTIFS(DataRegularSeason20242025!$N$3:$N$1315,1,DataRegularSeason20242025!$D$3:$D$1315,$A7)</f>
        <v>16</v>
      </c>
      <c r="G7">
        <f>41-Table3[[#This Row],[GP_A]]</f>
        <v>25</v>
      </c>
      <c r="H7">
        <f>COUNTIFS(DataRegularSeason20242025!$E$3:$E$1315,$A7,DataRegularSeason20242025!$N$3:$N$1315,1)</f>
        <v>17</v>
      </c>
      <c r="I7">
        <f>41-Table3[[#This Row],[GP_H]]</f>
        <v>24</v>
      </c>
      <c r="J7">
        <f t="shared" si="0"/>
        <v>33</v>
      </c>
      <c r="K7">
        <f>82-Table3[[#This Row],[GP]]</f>
        <v>49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8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8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10</v>
      </c>
      <c r="U7">
        <f>COUNTIFS(DataRegularSeason20242025!$E$3:$E$1315,$A7, DataRegularSeason20242025!$L$3:$L$1315, $A7,DataRegularSeason20242025!$N$3:$N$1315,1,DataRegularSeason20242025!$M$3:$M$1315,"REG")</f>
        <v>9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 t="shared" si="2"/>
        <v>7</v>
      </c>
      <c r="Y7">
        <f>COUNTIFS(DataRegularSeason20242025!$E$3:$E$1315,$A7, DataRegularSeason20242025!$S$3:$S$1315, $A7,DataRegularSeason20242025!$M$3:$M$1315,"REG")</f>
        <v>5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2</v>
      </c>
      <c r="AB7">
        <f>Table3[[#This Row],[W]]/MAX(1,Table3[[#This Row],[W]]+Table3[[#This Row],[L]])</f>
        <v>0.54545454545454541</v>
      </c>
      <c r="AC7">
        <f>Table3[[#This Row],[W_A]]+Table3[[#This Row],[W_H]]</f>
        <v>18</v>
      </c>
      <c r="AD7">
        <f>Table3[[#This Row],[L_A]]+Table3[[#This Row],[L_H]]</f>
        <v>15</v>
      </c>
      <c r="AE7">
        <f>Table3[[#This Row],[RW_A]]+Table3[[#This Row],[RW_H]]</f>
        <v>17</v>
      </c>
      <c r="AF7">
        <f>Table3[[#This Row],[RL_A]]+Table3[[#This Row],[RL_H]]</f>
        <v>11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0</v>
      </c>
      <c r="AJ7">
        <f>Table3[[#This Row],[SOL_A]]+Table3[[#This Row],[SOL_H]]</f>
        <v>4</v>
      </c>
      <c r="AK7" s="15" t="str">
        <f>_xlfn.CONCAT(TEXT(Table3[[#This Row],[OTW]]+Table3[[#This Row],[SOW]], "0"), "-", TEXT(Table3[[#This Row],[OTL]]+Table3[[#This Row],[SOL]],"0"))</f>
        <v>1-4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0.2</v>
      </c>
      <c r="AN7">
        <f>Table3[[#This Row],[Total_ExtraTimes]]/MAX(1,Table3[[#This Row],[GP]])</f>
        <v>0.15151515151515152</v>
      </c>
      <c r="AO7">
        <f>(2*(Table3[[#This Row],[W_A]]+Table3[[#This Row],[W_H]]))+Table3[[#This Row],[OTL_A]]+Table3[[#This Row],[SOL_A]]+Table3[[#This Row],[OTL_H]]+Table3[[#This Row],[SOL_H]]</f>
        <v>40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7" s="10">
        <f>Table3[[#This Row],[PTS]]/(2*Table3[[#This Row],[GP]])</f>
        <v>0.60606060606060608</v>
      </c>
      <c r="AR7" s="10">
        <f>Table3[[#This Row],[PTS2]]/(3*Table3[[#This Row],[GP]])</f>
        <v>0.5757575757575758</v>
      </c>
      <c r="AS7">
        <f>(2*Table3[[#This Row],[GR]])+Table3[[#This Row],[PTS]]</f>
        <v>138</v>
      </c>
      <c r="AT7">
        <f>(3*Table3[[#This Row],[GR]])+Table3[[#This Row],[PTS2]]</f>
        <v>204</v>
      </c>
      <c r="AU7">
        <f>Table3[[#This Row],[PTS]]+(2 * Table3[[#This Row],[GR]] * Table3[[#This Row],[PTS%]])</f>
        <v>99.393939393939405</v>
      </c>
      <c r="AV7">
        <f>Table3[[#This Row],[PTS2]]+(3 * Table3[[#This Row],[GR]] * Table3[[#This Row],[PTS%2]])</f>
        <v>141.63636363636363</v>
      </c>
      <c r="AW7" s="15" t="str">
        <f>_xlfn.CONCAT(TEXT(Table3[[#This Row],[W]], "0"), "-", TEXT(Table3[[#This Row],[RL]],"0"), "-", TEXT(Table3[[#This Row],[OTL]]+Table3[[#This Row],[SOL]], "0"))</f>
        <v>18-11-4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51</v>
      </c>
      <c r="AZ7">
        <f>SUMIF(DataRegularSeason20242025!$D$3:$D$1315,$A7, DataRegularSeason20242025!$K$3:$K$1315)</f>
        <v>44</v>
      </c>
      <c r="BA7">
        <f t="shared" si="3"/>
        <v>7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55</v>
      </c>
      <c r="BD7">
        <f>SUMIF(DataRegularSeason20242025!$E$3:$E$1315,$A7,DataRegularSeason20242025!$J$3:$J$1315)</f>
        <v>44</v>
      </c>
      <c r="BE7">
        <f t="shared" si="4"/>
        <v>11</v>
      </c>
      <c r="BF7">
        <f t="shared" si="5"/>
        <v>106</v>
      </c>
      <c r="BG7">
        <f t="shared" si="6"/>
        <v>88</v>
      </c>
      <c r="BH7">
        <f t="shared" si="7"/>
        <v>18</v>
      </c>
      <c r="BI7" s="12">
        <f>Table3[[#This Row],[GF]]/Table3[[#This Row],[GP]]</f>
        <v>3.2121212121212119</v>
      </c>
      <c r="BJ7" s="12">
        <f>Table3[[#This Row],[GA]]/Table3[[#This Row],[GP]]</f>
        <v>2.6666666666666665</v>
      </c>
      <c r="BK7" s="12">
        <f>(Table3[[#This Row],[GF]]-Table3[[#This Row],[GA]])/Table3[[#This Row],[GP]]</f>
        <v>0.54545454545454541</v>
      </c>
      <c r="BL7" s="42" t="str">
        <f>_xlfn.CONCAT(TEXT(Table3[[#This Row],[W_H]], "0"), "-", TEXT(Table3[[#This Row],[RL_H]],"0"), "-", TEXT(Table3[[#This Row],[OTL_H]]+Table3[[#This Row],[SOL_H]], "0"))</f>
        <v>10-5-2</v>
      </c>
      <c r="BM7" s="42" t="str">
        <f>_xlfn.CONCAT(TEXT(Table3[[#This Row],[W_A]], "0"), "-", TEXT(Table3[[#This Row],[RL_A]],"0"), "-", TEXT(Table3[[#This Row],[OTL_A]]+Table3[[#This Row],[SOL_A]], "0"))</f>
        <v>8-6-2</v>
      </c>
      <c r="BN7" s="42">
        <f>((2*(Table3[[#This Row],[W_H]]))+Table3[[#This Row],[OTL_H]]+Table3[[#This Row],[SOL_H]])/(2*Table3[[#This Row],[GP_H]])</f>
        <v>0.6470588235294118</v>
      </c>
      <c r="BO7" s="42">
        <f>((2*(Table3[[#This Row],[W_A]]))+Table3[[#This Row],[OTL_A]]+Table3[[#This Row],[SOL_A]])/(2*Table3[[#This Row],[GP_A]])</f>
        <v>0.5625</v>
      </c>
      <c r="BP7" s="16">
        <f>(Table3[[#This Row],[W]]*$CX$3)+(Table3[[#This Row],[L]]*$CX$4)+(Table3[[#This Row],[GF]]*$CX$5)+(Table3[[#This Row],[GA]]*$CX$6)</f>
        <v>38.200000000000003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100.62240587695133</v>
      </c>
      <c r="BR7" s="16">
        <f>(Table3[[#This Row],[W]]*0.7) + ((Table3[[#This Row],[GF]] - Table3[[#This Row],[GA]])*0.25)+(Table3[[#This Row],[GF]]*0.1)+(Table3[[#This Row],[GA]]*0.05)+(Table3[[#This Row],[L]]*0.3)</f>
        <v>36.6</v>
      </c>
      <c r="BS7" s="16">
        <f>Table3[[#This Row],[TeamCost83]]/Table3[[#This Row],[GP]]</f>
        <v>1.1090909090909091</v>
      </c>
      <c r="BT7">
        <f>COUNTIFS(Table2[AwayTeam],$A7,Table2[PredictedWinner], $A7, Table2[GameIsOver], 1)</f>
        <v>8</v>
      </c>
      <c r="BU7">
        <f>COUNTIFS(Table2[HomeTeam],$A7,Table2[PredictedWinner], $A7, Table2[GameIsOver], 1)</f>
        <v>15</v>
      </c>
      <c r="BV7">
        <f t="shared" si="8"/>
        <v>23</v>
      </c>
      <c r="BW7">
        <f t="shared" si="9"/>
        <v>8</v>
      </c>
      <c r="BX7">
        <f t="shared" si="10"/>
        <v>2</v>
      </c>
      <c r="BY7">
        <f t="shared" si="11"/>
        <v>10</v>
      </c>
      <c r="BZ7">
        <f>Table3[[#This Row],[TimesPredictedWinner]]/Table3[[#This Row],[GP]]</f>
        <v>0.69696969696969702</v>
      </c>
      <c r="CB7">
        <v>2018</v>
      </c>
      <c r="CD7" s="1">
        <v>45736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8.5000000000000018</v>
      </c>
      <c r="CJ7">
        <f>SUMIFS(Table2[GamePredictionScore], Table2[HomeTeam], Table3[[#This Row],[Teams]])</f>
        <v>8.9</v>
      </c>
      <c r="CK7">
        <f>Table3[[#This Row],[Column4]]+Table3[[#This Row],[Column3]]</f>
        <v>17.400000000000002</v>
      </c>
      <c r="CL7">
        <f>Table3[[#This Row],[Column5]]/Table3[[#This Row],[GP]]</f>
        <v>0.52727272727272734</v>
      </c>
      <c r="CR7" t="s">
        <v>142</v>
      </c>
      <c r="CS7">
        <f>SUM($AG$2:$AG$33)</f>
        <v>90</v>
      </c>
      <c r="CW7" t="s">
        <v>543</v>
      </c>
      <c r="CX7">
        <f>INDEX($AQ$2:$AQ$33,MATCH("CGY",$A$2:$A$33,0),1)</f>
        <v>0.44117647058823528</v>
      </c>
      <c r="CZ7" s="17">
        <f>(CX4+(ABS(CX3-CX4)*CX7))+(CX5*CZ5)+(CX6*CZ6)</f>
        <v>1.075</v>
      </c>
      <c r="DA7" s="88">
        <f>SUM(DA3:DA6)</f>
        <v>36.150000000000006</v>
      </c>
      <c r="DD7" t="s">
        <v>763</v>
      </c>
    </row>
    <row r="8" spans="1:144" ht="15.75" thickTop="1" x14ac:dyDescent="0.25">
      <c r="A8" t="s">
        <v>32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26</v>
      </c>
      <c r="E8" s="10">
        <f>Table3[[#This Row],[Watched]]/Table3[[#This Row],[GP]]</f>
        <v>0.76470588235294112</v>
      </c>
      <c r="F8">
        <f>COUNTIFS(DataRegularSeason20242025!$N$3:$N$1315,1,DataRegularSeason20242025!$D$3:$D$1315,$A8)</f>
        <v>16</v>
      </c>
      <c r="G8">
        <f>41-Table3[[#This Row],[GP_A]]</f>
        <v>25</v>
      </c>
      <c r="H8">
        <f>COUNTIFS(DataRegularSeason20242025!$E$3:$E$1315,$A8,DataRegularSeason20242025!$N$3:$N$1315,1)</f>
        <v>18</v>
      </c>
      <c r="I8">
        <f>41-Table3[[#This Row],[GP_H]]</f>
        <v>23</v>
      </c>
      <c r="J8">
        <f t="shared" si="0"/>
        <v>34</v>
      </c>
      <c r="K8">
        <f>82-Table3[[#This Row],[GP]]</f>
        <v>48</v>
      </c>
      <c r="L8">
        <f>COUNTIFS(DataRegularSeason20242025!$D$3:$D$1315,$A8, DataRegularSeason20242025!$L$3:$L$1315, $A8,DataRegularSeason20242025!$N$3:$N$1315,1)</f>
        <v>9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7</v>
      </c>
      <c r="Q8">
        <f>COUNTIFS(DataRegularSeason20242025!$D$3:$D$1315,$A8, DataRegularSeason20242025!$S$3:$S$1315, $A8,DataRegularSeason20242025!$M$3:$M$1315,"REG")</f>
        <v>6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10</v>
      </c>
      <c r="U8">
        <f>COUNTIFS(DataRegularSeason20242025!$E$3:$E$1315,$A8, DataRegularSeason20242025!$L$3:$L$1315, $A8,DataRegularSeason20242025!$N$3:$N$1315,1,DataRegularSeason20242025!$M$3:$M$1315,"REG")</f>
        <v>7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3</v>
      </c>
      <c r="X8">
        <f t="shared" si="2"/>
        <v>8</v>
      </c>
      <c r="Y8">
        <f>COUNTIFS(DataRegularSeason20242025!$E$3:$E$1315,$A8, DataRegularSeason20242025!$S$3:$S$1315, $A8,DataRegularSeason20242025!$M$3:$M$1315,"REG")</f>
        <v>6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0.55882352941176472</v>
      </c>
      <c r="AC8">
        <f>Table3[[#This Row],[W_A]]+Table3[[#This Row],[W_H]]</f>
        <v>19</v>
      </c>
      <c r="AD8">
        <f>Table3[[#This Row],[L_A]]+Table3[[#This Row],[L_H]]</f>
        <v>15</v>
      </c>
      <c r="AE8">
        <f>Table3[[#This Row],[RW_A]]+Table3[[#This Row],[RW_H]]</f>
        <v>13</v>
      </c>
      <c r="AF8">
        <f>Table3[[#This Row],[RL_A]]+Table3[[#This Row],[RL_H]]</f>
        <v>12</v>
      </c>
      <c r="AG8">
        <f>Table3[[#This Row],[OTW_A]]+Table3[[#This Row],[OTW_H]]</f>
        <v>3</v>
      </c>
      <c r="AH8">
        <f>Table3[[#This Row],[OTL_A]]+Table3[[#This Row],[OTL_H]]</f>
        <v>0</v>
      </c>
      <c r="AI8">
        <f>Table3[[#This Row],[SOW_A]]+Table3[[#This Row],[SOW_H]]</f>
        <v>3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6-3</v>
      </c>
      <c r="AL8">
        <f>SUM(Table3[[#This Row],[OTW]],Table3[[#This Row],[OTL]],Table3[[#This Row],[SOW]],Table3[[#This Row],[SOL]])</f>
        <v>9</v>
      </c>
      <c r="AM8">
        <f>(Table3[[#This Row],[OTW]]+Table3[[#This Row],[SOW]])/IF(Table3[[#This Row],[Total_ExtraTimes]]=0,1,Table3[[#This Row],[Total_ExtraTimes]])</f>
        <v>0.66666666666666663</v>
      </c>
      <c r="AN8">
        <f>Table3[[#This Row],[Total_ExtraTimes]]/MAX(1,Table3[[#This Row],[GP]])</f>
        <v>0.26470588235294118</v>
      </c>
      <c r="AO8">
        <f>(2*(Table3[[#This Row],[W_A]]+Table3[[#This Row],[W_H]]))+Table3[[#This Row],[OTL_A]]+Table3[[#This Row],[SOL_A]]+Table3[[#This Row],[OTL_H]]+Table3[[#This Row],[SOL_H]]</f>
        <v>41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8" s="10">
        <f>Table3[[#This Row],[PTS]]/(2*Table3[[#This Row],[GP]])</f>
        <v>0.6029411764705882</v>
      </c>
      <c r="AR8" s="10">
        <f>Table3[[#This Row],[PTS2]]/(3*Table3[[#This Row],[GP]])</f>
        <v>0.52941176470588236</v>
      </c>
      <c r="AS8">
        <f>(2*Table3[[#This Row],[GR]])+Table3[[#This Row],[PTS]]</f>
        <v>137</v>
      </c>
      <c r="AT8">
        <f>(3*Table3[[#This Row],[GR]])+Table3[[#This Row],[PTS2]]</f>
        <v>198</v>
      </c>
      <c r="AU8">
        <f>Table3[[#This Row],[PTS]]+(2 * Table3[[#This Row],[GR]] * Table3[[#This Row],[PTS%]])</f>
        <v>98.882352941176464</v>
      </c>
      <c r="AV8">
        <f>Table3[[#This Row],[PTS2]]+(3 * Table3[[#This Row],[GR]] * Table3[[#This Row],[PTS%2]])</f>
        <v>130.23529411764707</v>
      </c>
      <c r="AW8" s="15" t="str">
        <f>_xlfn.CONCAT(TEXT(Table3[[#This Row],[W]], "0"), "-", TEXT(Table3[[#This Row],[RL]],"0"), "-", TEXT(Table3[[#This Row],[OTL]]+Table3[[#This Row],[SOL]], "0"))</f>
        <v>19-12-3</v>
      </c>
      <c r="AX8">
        <f>COUNTIFS(DataRegularSeason20242025!$D$3:$D$1315,Table3[[#This Row],[Teams]],DataRegularSeason20242025!$K$3:$K$1315,0)</f>
        <v>3</v>
      </c>
      <c r="AY8">
        <f>SUMIF(DataRegularSeason20242025!$D$3:$D$1315,$A8, DataRegularSeason20242025!$J$3:$J$1315)</f>
        <v>47</v>
      </c>
      <c r="AZ8">
        <f>SUMIF(DataRegularSeason20242025!$D$3:$D$1315,$A8, DataRegularSeason20242025!$K$3:$K$1315)</f>
        <v>44</v>
      </c>
      <c r="BA8">
        <f t="shared" si="3"/>
        <v>3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55</v>
      </c>
      <c r="BD8">
        <f>SUMIF(DataRegularSeason20242025!$E$3:$E$1315,$A8,DataRegularSeason20242025!$J$3:$J$1315)</f>
        <v>52</v>
      </c>
      <c r="BE8">
        <f t="shared" si="4"/>
        <v>3</v>
      </c>
      <c r="BF8">
        <f t="shared" si="5"/>
        <v>102</v>
      </c>
      <c r="BG8">
        <f t="shared" si="6"/>
        <v>96</v>
      </c>
      <c r="BH8">
        <f t="shared" si="7"/>
        <v>6</v>
      </c>
      <c r="BI8" s="12">
        <f>Table3[[#This Row],[GF]]/Table3[[#This Row],[GP]]</f>
        <v>3</v>
      </c>
      <c r="BJ8" s="12">
        <f>Table3[[#This Row],[GA]]/Table3[[#This Row],[GP]]</f>
        <v>2.8235294117647061</v>
      </c>
      <c r="BK8" s="12">
        <f>(Table3[[#This Row],[GF]]-Table3[[#This Row],[GA]])/Table3[[#This Row],[GP]]</f>
        <v>0.17647058823529413</v>
      </c>
      <c r="BL8" s="42" t="str">
        <f>_xlfn.CONCAT(TEXT(Table3[[#This Row],[W_H]], "0"), "-", TEXT(Table3[[#This Row],[RL_H]],"0"), "-", TEXT(Table3[[#This Row],[OTL_H]]+Table3[[#This Row],[SOL_H]], "0"))</f>
        <v>10-6-2</v>
      </c>
      <c r="BM8" s="42" t="str">
        <f>_xlfn.CONCAT(TEXT(Table3[[#This Row],[W_A]], "0"), "-", TEXT(Table3[[#This Row],[RL_A]],"0"), "-", TEXT(Table3[[#This Row],[OTL_A]]+Table3[[#This Row],[SOL_A]], "0"))</f>
        <v>9-6-1</v>
      </c>
      <c r="BN8" s="42">
        <f>((2*(Table3[[#This Row],[W_H]]))+Table3[[#This Row],[OTL_H]]+Table3[[#This Row],[SOL_H]])/(2*Table3[[#This Row],[GP_H]])</f>
        <v>0.61111111111111116</v>
      </c>
      <c r="BO8" s="42">
        <f>((2*(Table3[[#This Row],[W_A]]))+Table3[[#This Row],[OTL_A]]+Table3[[#This Row],[SOL_A]])/(2*Table3[[#This Row],[GP_A]])</f>
        <v>0.59375</v>
      </c>
      <c r="BP8" s="16">
        <f>(Table3[[#This Row],[W]]*$CX$3)+(Table3[[#This Row],[L]]*$CX$4)+(Table3[[#This Row],[GF]]*$CX$5)+(Table3[[#This Row],[GA]]*$CX$6)</f>
        <v>38.9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99.967301038062288</v>
      </c>
      <c r="BR8" s="16">
        <f>(Table3[[#This Row],[W]]*0.7) + ((Table3[[#This Row],[GF]] - Table3[[#This Row],[GA]])*0.25)+(Table3[[#This Row],[GF]]*0.1)+(Table3[[#This Row],[GA]]*0.05)+(Table3[[#This Row],[L]]*0.3)</f>
        <v>34.299999999999997</v>
      </c>
      <c r="BS8" s="16">
        <f>Table3[[#This Row],[TeamCost83]]/Table3[[#This Row],[GP]]</f>
        <v>1.0088235294117647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11</v>
      </c>
      <c r="BV8">
        <f t="shared" si="8"/>
        <v>14</v>
      </c>
      <c r="BW8">
        <f t="shared" si="9"/>
        <v>13</v>
      </c>
      <c r="BX8">
        <f t="shared" si="10"/>
        <v>7</v>
      </c>
      <c r="BY8">
        <f t="shared" si="11"/>
        <v>20</v>
      </c>
      <c r="BZ8">
        <f>Table3[[#This Row],[TimesPredictedWinner]]/Table3[[#This Row],[GP]]</f>
        <v>0.41176470588235292</v>
      </c>
      <c r="CB8">
        <v>1983</v>
      </c>
      <c r="CC8" s="1">
        <v>45759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6.8</v>
      </c>
      <c r="CJ8">
        <f>SUMIFS(Table2[GamePredictionScore], Table2[HomeTeam], Table3[[#This Row],[Teams]])</f>
        <v>8.1</v>
      </c>
      <c r="CK8">
        <f>Table3[[#This Row],[Column4]]+Table3[[#This Row],[Column3]]</f>
        <v>14.899999999999999</v>
      </c>
      <c r="CL8">
        <f>Table3[[#This Row],[Column5]]/Table3[[#This Row],[GP]]</f>
        <v>0.438235294117647</v>
      </c>
      <c r="CR8" t="s">
        <v>143</v>
      </c>
      <c r="CS8">
        <f>SUM($AI$2:$AI$33)</f>
        <v>51</v>
      </c>
      <c r="CY8" t="s">
        <v>153</v>
      </c>
      <c r="CZ8" s="17">
        <f>CZ7*82</f>
        <v>88.149999999999991</v>
      </c>
      <c r="DA8" s="16">
        <f>DA7+((82-CY2)*CZ7)</f>
        <v>87.75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27</v>
      </c>
      <c r="E9" s="10">
        <f>Table3[[#This Row],[Watched]]/Table3[[#This Row],[GP]]</f>
        <v>0.79411764705882348</v>
      </c>
      <c r="F9">
        <f>COUNTIFS(DataRegularSeason20242025!$N$3:$N$1315,1,DataRegularSeason20242025!$D$3:$D$1315,$A9)</f>
        <v>19</v>
      </c>
      <c r="G9">
        <f>41-Table3[[#This Row],[GP_A]]</f>
        <v>22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 t="shared" si="0"/>
        <v>34</v>
      </c>
      <c r="K9">
        <f>82-Table3[[#This Row],[GP]]</f>
        <v>48</v>
      </c>
      <c r="L9">
        <f>COUNTIFS(DataRegularSeason20242025!$D$3:$D$1315,$A9, DataRegularSeason20242025!$L$3:$L$1315, $A9,DataRegularSeason20242025!$N$3:$N$1315,1)</f>
        <v>9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2</v>
      </c>
      <c r="P9">
        <f t="shared" si="1"/>
        <v>10</v>
      </c>
      <c r="Q9">
        <f>COUNTIFS(DataRegularSeason20242025!$D$3:$D$1315,$A9, DataRegularSeason20242025!$S$3:$S$1315, $A9,DataRegularSeason20242025!$M$3:$M$1315,"REG")</f>
        <v>8</v>
      </c>
      <c r="R9">
        <f>COUNTIFS(DataRegularSeason20242025!$D$3:$D$1315,$A9, DataRegularSeason20242025!$S$3:$S$1315, $A9,DataRegularSeason20242025!$M$3:$M$1315,"OT")</f>
        <v>2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11</v>
      </c>
      <c r="U9">
        <f>COUNTIFS(DataRegularSeason20242025!$E$3:$E$1315,$A9, DataRegularSeason20242025!$L$3:$L$1315, $A9,DataRegularSeason20242025!$N$3:$N$1315,1,DataRegularSeason20242025!$M$3:$M$1315,"REG")</f>
        <v>7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2</v>
      </c>
      <c r="X9">
        <f t="shared" si="2"/>
        <v>4</v>
      </c>
      <c r="Y9">
        <f>COUNTIFS(DataRegularSeason20242025!$E$3:$E$1315,$A9, DataRegularSeason20242025!$S$3:$S$1315, $A9,DataRegularSeason20242025!$M$3:$M$1315,"REG")</f>
        <v>4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0.58823529411764708</v>
      </c>
      <c r="AC9">
        <f>Table3[[#This Row],[W_A]]+Table3[[#This Row],[W_H]]</f>
        <v>20</v>
      </c>
      <c r="AD9">
        <f>Table3[[#This Row],[L_A]]+Table3[[#This Row],[L_H]]</f>
        <v>14</v>
      </c>
      <c r="AE9">
        <f>Table3[[#This Row],[RW_A]]+Table3[[#This Row],[RW_H]]</f>
        <v>12</v>
      </c>
      <c r="AF9">
        <f>Table3[[#This Row],[RL_A]]+Table3[[#This Row],[RL_H]]</f>
        <v>12</v>
      </c>
      <c r="AG9">
        <f>Table3[[#This Row],[OTW_A]]+Table3[[#This Row],[OTW_H]]</f>
        <v>4</v>
      </c>
      <c r="AH9">
        <f>Table3[[#This Row],[OTL_A]]+Table3[[#This Row],[OTL_H]]</f>
        <v>2</v>
      </c>
      <c r="AI9">
        <f>Table3[[#This Row],[SOW_A]]+Table3[[#This Row],[SOW_H]]</f>
        <v>4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8-2</v>
      </c>
      <c r="AL9">
        <f>SUM(Table3[[#This Row],[OTW]],Table3[[#This Row],[OTL]],Table3[[#This Row],[SOW]],Table3[[#This Row],[SOL]])</f>
        <v>10</v>
      </c>
      <c r="AM9">
        <f>(Table3[[#This Row],[OTW]]+Table3[[#This Row],[SOW]])/IF(Table3[[#This Row],[Total_ExtraTimes]]=0,1,Table3[[#This Row],[Total_ExtraTimes]])</f>
        <v>0.8</v>
      </c>
      <c r="AN9">
        <f>Table3[[#This Row],[Total_ExtraTimes]]/MAX(1,Table3[[#This Row],[GP]])</f>
        <v>0.29411764705882354</v>
      </c>
      <c r="AO9">
        <f>(2*(Table3[[#This Row],[W_A]]+Table3[[#This Row],[W_H]]))+Table3[[#This Row],[OTL_A]]+Table3[[#This Row],[SOL_A]]+Table3[[#This Row],[OTL_H]]+Table3[[#This Row],[SOL_H]]</f>
        <v>42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9" s="10">
        <f>Table3[[#This Row],[PTS]]/(2*Table3[[#This Row],[GP]])</f>
        <v>0.61764705882352944</v>
      </c>
      <c r="AR9" s="10">
        <f>Table3[[#This Row],[PTS2]]/(3*Table3[[#This Row],[GP]])</f>
        <v>0.52941176470588236</v>
      </c>
      <c r="AS9">
        <f>(2*Table3[[#This Row],[GR]])+Table3[[#This Row],[PTS]]</f>
        <v>138</v>
      </c>
      <c r="AT9">
        <f>(3*Table3[[#This Row],[GR]])+Table3[[#This Row],[PTS2]]</f>
        <v>198</v>
      </c>
      <c r="AU9">
        <f>Table3[[#This Row],[PTS]]+(2 * Table3[[#This Row],[GR]] * Table3[[#This Row],[PTS%]])</f>
        <v>101.29411764705883</v>
      </c>
      <c r="AV9">
        <f>Table3[[#This Row],[PTS2]]+(3 * Table3[[#This Row],[GR]] * Table3[[#This Row],[PTS%2]])</f>
        <v>130.23529411764707</v>
      </c>
      <c r="AW9" s="15" t="str">
        <f>_xlfn.CONCAT(TEXT(Table3[[#This Row],[W]], "0"), "-", TEXT(Table3[[#This Row],[RL]],"0"), "-", TEXT(Table3[[#This Row],[OTL]]+Table3[[#This Row],[SOL]], "0"))</f>
        <v>20-12-2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63</v>
      </c>
      <c r="AZ9">
        <f>SUMIF(DataRegularSeason20242025!$D$3:$D$1315,$A9, DataRegularSeason20242025!$K$3:$K$1315)</f>
        <v>67</v>
      </c>
      <c r="BA9">
        <f t="shared" si="3"/>
        <v>-4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58</v>
      </c>
      <c r="BD9">
        <f>SUMIF(DataRegularSeason20242025!$E$3:$E$1315,$A9,DataRegularSeason20242025!$J$3:$J$1315)</f>
        <v>45</v>
      </c>
      <c r="BE9">
        <f t="shared" si="4"/>
        <v>13</v>
      </c>
      <c r="BF9">
        <f t="shared" si="5"/>
        <v>121</v>
      </c>
      <c r="BG9">
        <f t="shared" si="6"/>
        <v>112</v>
      </c>
      <c r="BH9">
        <f t="shared" si="7"/>
        <v>9</v>
      </c>
      <c r="BI9" s="12">
        <f>Table3[[#This Row],[GF]]/Table3[[#This Row],[GP]]</f>
        <v>3.5588235294117645</v>
      </c>
      <c r="BJ9" s="12">
        <f>Table3[[#This Row],[GA]]/Table3[[#This Row],[GP]]</f>
        <v>3.2941176470588234</v>
      </c>
      <c r="BK9" s="12">
        <f>(Table3[[#This Row],[GF]]-Table3[[#This Row],[GA]])/Table3[[#This Row],[GP]]</f>
        <v>0.26470588235294118</v>
      </c>
      <c r="BL9" s="42" t="str">
        <f>_xlfn.CONCAT(TEXT(Table3[[#This Row],[W_H]], "0"), "-", TEXT(Table3[[#This Row],[RL_H]],"0"), "-", TEXT(Table3[[#This Row],[OTL_H]]+Table3[[#This Row],[SOL_H]], "0"))</f>
        <v>11-4-0</v>
      </c>
      <c r="BM9" s="42" t="str">
        <f>_xlfn.CONCAT(TEXT(Table3[[#This Row],[W_A]], "0"), "-", TEXT(Table3[[#This Row],[RL_A]],"0"), "-", TEXT(Table3[[#This Row],[OTL_A]]+Table3[[#This Row],[SOL_A]], "0"))</f>
        <v>9-8-2</v>
      </c>
      <c r="BN9" s="42">
        <f>((2*(Table3[[#This Row],[W_H]]))+Table3[[#This Row],[OTL_H]]+Table3[[#This Row],[SOL_H]])/(2*Table3[[#This Row],[GP_H]])</f>
        <v>0.73333333333333328</v>
      </c>
      <c r="BO9" s="42">
        <f>((2*(Table3[[#This Row],[W_A]]))+Table3[[#This Row],[OTL_A]]+Table3[[#This Row],[SOL_A]])/(2*Table3[[#This Row],[GP_A]])</f>
        <v>0.52631578947368418</v>
      </c>
      <c r="BP9" s="16">
        <f>(Table3[[#This Row],[W]]*$CX$3)+(Table3[[#This Row],[L]]*$CX$4)+(Table3[[#This Row],[GF]]*$CX$5)+(Table3[[#This Row],[GA]]*$CX$6)</f>
        <v>43.55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115.35674740484428</v>
      </c>
      <c r="BR9" s="16">
        <f>(Table3[[#This Row],[W]]*0.7) + ((Table3[[#This Row],[GF]] - Table3[[#This Row],[GA]])*0.25)+(Table3[[#This Row],[GF]]*0.1)+(Table3[[#This Row],[GA]]*0.05)+(Table3[[#This Row],[L]]*0.3)</f>
        <v>38.150000000000006</v>
      </c>
      <c r="BS9" s="16">
        <f>Table3[[#This Row],[TeamCost83]]/Table3[[#This Row],[GP]]</f>
        <v>1.122058823529412</v>
      </c>
      <c r="BT9">
        <f>COUNTIFS(Table2[AwayTeam],$A9,Table2[PredictedWinner], $A9, Table2[GameIsOver], 1)</f>
        <v>11</v>
      </c>
      <c r="BU9">
        <f>COUNTIFS(Table2[HomeTeam],$A9,Table2[PredictedWinner], $A9, Table2[GameIsOver], 1)</f>
        <v>8</v>
      </c>
      <c r="BV9">
        <f t="shared" si="8"/>
        <v>19</v>
      </c>
      <c r="BW9">
        <f t="shared" si="9"/>
        <v>8</v>
      </c>
      <c r="BX9">
        <f t="shared" si="10"/>
        <v>7</v>
      </c>
      <c r="BY9">
        <f t="shared" si="11"/>
        <v>15</v>
      </c>
      <c r="BZ9">
        <f>Table3[[#This Row],[TimesPredictedWinner]]/Table3[[#This Row],[GP]]</f>
        <v>0.55882352941176472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7.9000000000000012</v>
      </c>
      <c r="CJ9">
        <f>SUMIFS(Table2[GamePredictionScore], Table2[HomeTeam], Table3[[#This Row],[Teams]])</f>
        <v>6.6</v>
      </c>
      <c r="CK9">
        <f>Table3[[#This Row],[Column4]]+Table3[[#This Row],[Column3]]</f>
        <v>14.5</v>
      </c>
      <c r="CL9">
        <f>Table3[[#This Row],[Column5]]/Table3[[#This Row],[GP]]</f>
        <v>0.4264705882352941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1.075</v>
      </c>
      <c r="DC9" t="s">
        <v>764</v>
      </c>
      <c r="DE9" s="16">
        <f>DE8+DA7</f>
        <v>126.5</v>
      </c>
    </row>
    <row r="10" spans="1:144" x14ac:dyDescent="0.25">
      <c r="A10" t="s">
        <v>42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24</v>
      </c>
      <c r="E10" s="10">
        <f>Table3[[#This Row],[Watched]]/Table3[[#This Row],[GP]]</f>
        <v>0.75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19</v>
      </c>
      <c r="I10">
        <f>41-Table3[[#This Row],[GP_H]]</f>
        <v>22</v>
      </c>
      <c r="J10">
        <f t="shared" si="0"/>
        <v>32</v>
      </c>
      <c r="K10">
        <f>82-Table3[[#This Row],[GP]]</f>
        <v>50</v>
      </c>
      <c r="L10">
        <f>COUNTIFS(DataRegularSeason20242025!$D$3:$D$1315,$A10, DataRegularSeason20242025!$L$3:$L$1315, $A10,DataRegularSeason20242025!$N$3:$N$1315,1)</f>
        <v>6</v>
      </c>
      <c r="M10">
        <f>COUNTIFS(DataRegularSeason20242025!$D$3:$D$1315,$A10, DataRegularSeason20242025!$L$3:$L$1315, $A10,DataRegularSeason20242025!$N$3:$N$1315,1,DataRegularSeason20242025!$M$3:$M$1315,"REG")</f>
        <v>4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2</v>
      </c>
      <c r="P10">
        <f t="shared" si="1"/>
        <v>7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10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2</v>
      </c>
      <c r="W10">
        <f>COUNTIFS(DataRegularSeason20242025!$E$3:$E$1315,$A10, DataRegularSeason20242025!$L$3:$L$1315, $A10,DataRegularSeason20242025!$N$3:$N$1315,1,DataRegularSeason20242025!$M$3:$M$1315,"SO")</f>
        <v>2</v>
      </c>
      <c r="X10">
        <f t="shared" si="2"/>
        <v>9</v>
      </c>
      <c r="Y10">
        <f>COUNTIFS(DataRegularSeason20242025!$E$3:$E$1315,$A10, DataRegularSeason20242025!$S$3:$S$1315, $A10,DataRegularSeason20242025!$M$3:$M$1315,"REG")</f>
        <v>5</v>
      </c>
      <c r="Z10">
        <f>COUNTIFS(DataRegularSeason20242025!$E$3:$E$1315,$A10, DataRegularSeason20242025!$S$3:$S$1315, $A10,DataRegularSeason20242025!$M$3:$M$1315,"OT")</f>
        <v>3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</v>
      </c>
      <c r="AC10">
        <f>Table3[[#This Row],[W_A]]+Table3[[#This Row],[W_H]]</f>
        <v>16</v>
      </c>
      <c r="AD10">
        <f>Table3[[#This Row],[L_A]]+Table3[[#This Row],[L_H]]</f>
        <v>16</v>
      </c>
      <c r="AE10">
        <f>Table3[[#This Row],[RW_A]]+Table3[[#This Row],[RW_H]]</f>
        <v>10</v>
      </c>
      <c r="AF10">
        <f>Table3[[#This Row],[RL_A]]+Table3[[#This Row],[RL_H]]</f>
        <v>9</v>
      </c>
      <c r="AG10">
        <f>Table3[[#This Row],[OTW_A]]+Table3[[#This Row],[OTW_H]]</f>
        <v>2</v>
      </c>
      <c r="AH10">
        <f>Table3[[#This Row],[OTL_A]]+Table3[[#This Row],[OTL_H]]</f>
        <v>4</v>
      </c>
      <c r="AI10">
        <f>Table3[[#This Row],[SOW_A]]+Table3[[#This Row],[SOW_H]]</f>
        <v>4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6-7</v>
      </c>
      <c r="AL10">
        <f>SUM(Table3[[#This Row],[OTW]],Table3[[#This Row],[OTL]],Table3[[#This Row],[SOW]],Table3[[#This Row],[SOL]])</f>
        <v>13</v>
      </c>
      <c r="AM10">
        <f>(Table3[[#This Row],[OTW]]+Table3[[#This Row],[SOW]])/IF(Table3[[#This Row],[Total_ExtraTimes]]=0,1,Table3[[#This Row],[Total_ExtraTimes]])</f>
        <v>0.46153846153846156</v>
      </c>
      <c r="AN10">
        <f>Table3[[#This Row],[Total_ExtraTimes]]/MAX(1,Table3[[#This Row],[GP]])</f>
        <v>0.40625</v>
      </c>
      <c r="AO10">
        <f>(2*(Table3[[#This Row],[W_A]]+Table3[[#This Row],[W_H]]))+Table3[[#This Row],[OTL_A]]+Table3[[#This Row],[SOL_A]]+Table3[[#This Row],[OTL_H]]+Table3[[#This Row],[SOL_H]]</f>
        <v>39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0" s="10">
        <f>Table3[[#This Row],[PTS]]/(2*Table3[[#This Row],[GP]])</f>
        <v>0.609375</v>
      </c>
      <c r="AR10" s="10">
        <f>Table3[[#This Row],[PTS2]]/(3*Table3[[#This Row],[GP]])</f>
        <v>0.51041666666666663</v>
      </c>
      <c r="AS10">
        <f>(2*Table3[[#This Row],[GR]])+Table3[[#This Row],[PTS]]</f>
        <v>139</v>
      </c>
      <c r="AT10">
        <f>(3*Table3[[#This Row],[GR]])+Table3[[#This Row],[PTS2]]</f>
        <v>199</v>
      </c>
      <c r="AU10">
        <f>Table3[[#This Row],[PTS]]+(2 * Table3[[#This Row],[GR]] * Table3[[#This Row],[PTS%]])</f>
        <v>99.9375</v>
      </c>
      <c r="AV10">
        <f>Table3[[#This Row],[PTS2]]+(3 * Table3[[#This Row],[GR]] * Table3[[#This Row],[PTS%2]])</f>
        <v>125.5625</v>
      </c>
      <c r="AW10" s="15" t="str">
        <f>_xlfn.CONCAT(TEXT(Table3[[#This Row],[W]], "0"), "-", TEXT(Table3[[#This Row],[RL]],"0"), "-", TEXT(Table3[[#This Row],[OTL]]+Table3[[#This Row],[SOL]], "0"))</f>
        <v>16-9-7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38</v>
      </c>
      <c r="AZ10">
        <f>SUMIF(DataRegularSeason20242025!$D$3:$D$1315,$A10, DataRegularSeason20242025!$K$3:$K$1315)</f>
        <v>39</v>
      </c>
      <c r="BA10">
        <f t="shared" si="3"/>
        <v>-1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57</v>
      </c>
      <c r="BD10">
        <f>SUMIF(DataRegularSeason20242025!$E$3:$E$1315,$A10,DataRegularSeason20242025!$J$3:$J$1315)</f>
        <v>51</v>
      </c>
      <c r="BE10">
        <f t="shared" si="4"/>
        <v>6</v>
      </c>
      <c r="BF10">
        <f t="shared" si="5"/>
        <v>95</v>
      </c>
      <c r="BG10">
        <f t="shared" si="6"/>
        <v>90</v>
      </c>
      <c r="BH10">
        <f t="shared" si="7"/>
        <v>5</v>
      </c>
      <c r="BI10" s="12">
        <f>Table3[[#This Row],[GF]]/Table3[[#This Row],[GP]]</f>
        <v>2.96875</v>
      </c>
      <c r="BJ10" s="12">
        <f>Table3[[#This Row],[GA]]/Table3[[#This Row],[GP]]</f>
        <v>2.8125</v>
      </c>
      <c r="BK10" s="12">
        <f>(Table3[[#This Row],[GF]]-Table3[[#This Row],[GA]])/Table3[[#This Row],[GP]]</f>
        <v>0.15625</v>
      </c>
      <c r="BL10" s="42" t="str">
        <f>_xlfn.CONCAT(TEXT(Table3[[#This Row],[W_H]], "0"), "-", TEXT(Table3[[#This Row],[RL_H]],"0"), "-", TEXT(Table3[[#This Row],[OTL_H]]+Table3[[#This Row],[SOL_H]], "0"))</f>
        <v>10-5-4</v>
      </c>
      <c r="BM10" s="42" t="str">
        <f>_xlfn.CONCAT(TEXT(Table3[[#This Row],[W_A]], "0"), "-", TEXT(Table3[[#This Row],[RL_A]],"0"), "-", TEXT(Table3[[#This Row],[OTL_A]]+Table3[[#This Row],[SOL_A]], "0"))</f>
        <v>6-4-3</v>
      </c>
      <c r="BN10" s="42">
        <f>((2*(Table3[[#This Row],[W_H]]))+Table3[[#This Row],[OTL_H]]+Table3[[#This Row],[SOL_H]])/(2*Table3[[#This Row],[GP_H]])</f>
        <v>0.63157894736842102</v>
      </c>
      <c r="BO10" s="42">
        <f>((2*(Table3[[#This Row],[W_A]]))+Table3[[#This Row],[OTL_A]]+Table3[[#This Row],[SOL_A]])/(2*Table3[[#This Row],[GP_A]])</f>
        <v>0.57692307692307687</v>
      </c>
      <c r="BP10" s="16">
        <f>(Table3[[#This Row],[W]]*$CX$3)+(Table3[[#This Row],[L]]*$CX$4)+(Table3[[#This Row],[GF]]*$CX$5)+(Table3[[#This Row],[GA]]*$CX$6)</f>
        <v>36.049999999999997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96.709179687499997</v>
      </c>
      <c r="BR10" s="16">
        <f>(Table3[[#This Row],[W]]*0.7) + ((Table3[[#This Row],[GF]] - Table3[[#This Row],[GA]])*0.25)+(Table3[[#This Row],[GF]]*0.1)+(Table3[[#This Row],[GA]]*0.05)+(Table3[[#This Row],[L]]*0.3)</f>
        <v>31.25</v>
      </c>
      <c r="BS10" s="16">
        <f>Table3[[#This Row],[TeamCost83]]/Table3[[#This Row],[GP]]</f>
        <v>0.9765625</v>
      </c>
      <c r="BT10">
        <f>COUNTIFS(Table2[AwayTeam],$A10,Table2[PredictedWinner], $A10, Table2[GameIsOver], 1)</f>
        <v>3</v>
      </c>
      <c r="BU10">
        <f>COUNTIFS(Table2[HomeTeam],$A10,Table2[PredictedWinner], $A10, Table2[GameIsOver], 1)</f>
        <v>7</v>
      </c>
      <c r="BV10">
        <f t="shared" si="8"/>
        <v>10</v>
      </c>
      <c r="BW10">
        <f t="shared" si="9"/>
        <v>10</v>
      </c>
      <c r="BX10">
        <f t="shared" si="10"/>
        <v>12</v>
      </c>
      <c r="BY10">
        <f t="shared" si="11"/>
        <v>22</v>
      </c>
      <c r="BZ10">
        <f>Table3[[#This Row],[TimesPredictedWinner]]/Table3[[#This Row],[GP]]</f>
        <v>0.3125</v>
      </c>
      <c r="CB10">
        <v>1975</v>
      </c>
      <c r="CC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7.2000000000000011</v>
      </c>
      <c r="CJ10">
        <f>SUMIFS(Table2[GamePredictionScore], Table2[HomeTeam], Table3[[#This Row],[Teams]])</f>
        <v>8.7000000000000011</v>
      </c>
      <c r="CK10">
        <f>Table3[[#This Row],[Column4]]+Table3[[#This Row],[Column3]]</f>
        <v>15.900000000000002</v>
      </c>
      <c r="CL10">
        <f>Table3[[#This Row],[Column5]]/Table3[[#This Row],[GP]]</f>
        <v>0.49687500000000007</v>
      </c>
      <c r="CR10" t="s">
        <v>147</v>
      </c>
      <c r="CS10" s="1">
        <f>_xlfn.MAXIFS(DataRegularSeason20242025!$B$3:$B$1315,DataRegularSeason20242025!$N$3:$N$1315,1)</f>
        <v>46007</v>
      </c>
      <c r="CW10" t="s">
        <v>153</v>
      </c>
      <c r="CX10" s="16">
        <f>CW9*82</f>
        <v>88.149999999999991</v>
      </c>
    </row>
    <row r="11" spans="1:144" x14ac:dyDescent="0.25">
      <c r="A11" t="s">
        <v>20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28</v>
      </c>
      <c r="E11" s="10">
        <f>Table3[[#This Row],[Watched]]/Table3[[#This Row],[GP]]</f>
        <v>0.875</v>
      </c>
      <c r="F11">
        <f>COUNTIFS(DataRegularSeason20242025!$N$3:$N$1315,1,DataRegularSeason20242025!$D$3:$D$1315,$A11)</f>
        <v>15</v>
      </c>
      <c r="G11">
        <f>41-Table3[[#This Row],[GP_A]]</f>
        <v>26</v>
      </c>
      <c r="H11">
        <f>COUNTIFS(DataRegularSeason20242025!$E$3:$E$1315,$A11,DataRegularSeason20242025!$N$3:$N$1315,1)</f>
        <v>17</v>
      </c>
      <c r="I11">
        <f>41-Table3[[#This Row],[GP_H]]</f>
        <v>24</v>
      </c>
      <c r="J11">
        <f t="shared" si="0"/>
        <v>32</v>
      </c>
      <c r="K11">
        <f>82-Table3[[#This Row],[GP]]</f>
        <v>50</v>
      </c>
      <c r="L11">
        <f>COUNTIFS(DataRegularSeason20242025!$D$3:$D$1315,$A11, DataRegularSeason20242025!$L$3:$L$1315, $A11,DataRegularSeason20242025!$N$3:$N$1315,1)</f>
        <v>8</v>
      </c>
      <c r="M11">
        <f>COUNTIFS(DataRegularSeason20242025!$D$3:$D$1315,$A11, DataRegularSeason20242025!$L$3:$L$1315, $A11,DataRegularSeason20242025!$N$3:$N$1315,1,DataRegularSeason20242025!$M$3:$M$1315,"REG")</f>
        <v>7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7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3</v>
      </c>
      <c r="T11">
        <f>COUNTIFS(DataRegularSeason20242025!$E$3:$E$1315,$A11, DataRegularSeason20242025!$L$3:$L$1315, $A11, DataRegularSeason20242025!$N$3:$N$1315,1)</f>
        <v>6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11</v>
      </c>
      <c r="Y11">
        <f>COUNTIFS(DataRegularSeason20242025!$E$3:$E$1315,$A11, DataRegularSeason20242025!$S$3:$S$1315, $A11,DataRegularSeason20242025!$M$3:$M$1315,"REG")</f>
        <v>6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2</v>
      </c>
      <c r="AB11">
        <f>Table3[[#This Row],[W]]/MAX(1,Table3[[#This Row],[W]]+Table3[[#This Row],[L]])</f>
        <v>0.4375</v>
      </c>
      <c r="AC11">
        <f>Table3[[#This Row],[W_A]]+Table3[[#This Row],[W_H]]</f>
        <v>14</v>
      </c>
      <c r="AD11">
        <f>Table3[[#This Row],[L_A]]+Table3[[#This Row],[L_H]]</f>
        <v>18</v>
      </c>
      <c r="AE11">
        <f>Table3[[#This Row],[RW_A]]+Table3[[#This Row],[RW_H]]</f>
        <v>13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4</v>
      </c>
      <c r="AI11">
        <f>Table3[[#This Row],[SOW_A]]+Table3[[#This Row],[SOW_H]]</f>
        <v>0</v>
      </c>
      <c r="AJ11">
        <f>Table3[[#This Row],[SOL_A]]+Table3[[#This Row],[SOL_H]]</f>
        <v>5</v>
      </c>
      <c r="AK11" s="15" t="str">
        <f>_xlfn.CONCAT(TEXT(Table3[[#This Row],[OTW]]+Table3[[#This Row],[SOW]], "0"), "-", TEXT(Table3[[#This Row],[OTL]]+Table3[[#This Row],[SOL]],"0"))</f>
        <v>1-9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0.1</v>
      </c>
      <c r="AN11">
        <f>Table3[[#This Row],[Total_ExtraTimes]]/MAX(1,Table3[[#This Row],[GP]])</f>
        <v>0.3125</v>
      </c>
      <c r="AO11">
        <f>(2*(Table3[[#This Row],[W_A]]+Table3[[#This Row],[W_H]]))+Table3[[#This Row],[OTL_A]]+Table3[[#This Row],[SOL_A]]+Table3[[#This Row],[OTL_H]]+Table3[[#This Row],[SOL_H]]</f>
        <v>37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1" s="10">
        <f>Table3[[#This Row],[PTS]]/(2*Table3[[#This Row],[GP]])</f>
        <v>0.578125</v>
      </c>
      <c r="AR11" s="10">
        <f>Table3[[#This Row],[PTS2]]/(3*Table3[[#This Row],[GP]])</f>
        <v>0.52083333333333337</v>
      </c>
      <c r="AS11">
        <f>(2*Table3[[#This Row],[GR]])+Table3[[#This Row],[PTS]]</f>
        <v>137</v>
      </c>
      <c r="AT11">
        <f>(3*Table3[[#This Row],[GR]])+Table3[[#This Row],[PTS2]]</f>
        <v>200</v>
      </c>
      <c r="AU11">
        <f>Table3[[#This Row],[PTS]]+(2 * Table3[[#This Row],[GR]] * Table3[[#This Row],[PTS%]])</f>
        <v>94.8125</v>
      </c>
      <c r="AV11">
        <f>Table3[[#This Row],[PTS2]]+(3 * Table3[[#This Row],[GR]] * Table3[[#This Row],[PTS%2]])</f>
        <v>128.125</v>
      </c>
      <c r="AW11" s="15" t="str">
        <f>_xlfn.CONCAT(TEXT(Table3[[#This Row],[W]], "0"), "-", TEXT(Table3[[#This Row],[RL]],"0"), "-", TEXT(Table3[[#This Row],[OTL]]+Table3[[#This Row],[SOL]], "0"))</f>
        <v>14-9-9</v>
      </c>
      <c r="AX11">
        <f>COUNTIFS(DataRegularSeason20242025!$D$3:$D$1315,Table3[[#This Row],[Teams]],DataRegularSeason20242025!$K$3:$K$1315,0)</f>
        <v>2</v>
      </c>
      <c r="AY11">
        <f>SUMIF(DataRegularSeason20242025!$D$3:$D$1315,$A11, DataRegularSeason20242025!$J$3:$J$1315)</f>
        <v>46</v>
      </c>
      <c r="AZ11">
        <f>SUMIF(DataRegularSeason20242025!$D$3:$D$1315,$A11, DataRegularSeason20242025!$K$3:$K$1315)</f>
        <v>36</v>
      </c>
      <c r="BA11">
        <f t="shared" si="3"/>
        <v>10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57</v>
      </c>
      <c r="BD11">
        <f>SUMIF(DataRegularSeason20242025!$E$3:$E$1315,$A11,DataRegularSeason20242025!$J$3:$J$1315)</f>
        <v>66</v>
      </c>
      <c r="BE11">
        <f t="shared" si="4"/>
        <v>-9</v>
      </c>
      <c r="BF11">
        <f t="shared" si="5"/>
        <v>103</v>
      </c>
      <c r="BG11">
        <f t="shared" si="6"/>
        <v>102</v>
      </c>
      <c r="BH11">
        <f t="shared" si="7"/>
        <v>1</v>
      </c>
      <c r="BI11" s="12">
        <f>Table3[[#This Row],[GF]]/Table3[[#This Row],[GP]]</f>
        <v>3.21875</v>
      </c>
      <c r="BJ11" s="12">
        <f>Table3[[#This Row],[GA]]/Table3[[#This Row],[GP]]</f>
        <v>3.1875</v>
      </c>
      <c r="BK11" s="12">
        <f>(Table3[[#This Row],[GF]]-Table3[[#This Row],[GA]])/Table3[[#This Row],[GP]]</f>
        <v>3.125E-2</v>
      </c>
      <c r="BL11" s="42" t="str">
        <f>_xlfn.CONCAT(TEXT(Table3[[#This Row],[W_H]], "0"), "-", TEXT(Table3[[#This Row],[RL_H]],"0"), "-", TEXT(Table3[[#This Row],[OTL_H]]+Table3[[#This Row],[SOL_H]], "0"))</f>
        <v>6-6-5</v>
      </c>
      <c r="BM11" s="42" t="str">
        <f>_xlfn.CONCAT(TEXT(Table3[[#This Row],[W_A]], "0"), "-", TEXT(Table3[[#This Row],[RL_A]],"0"), "-", TEXT(Table3[[#This Row],[OTL_A]]+Table3[[#This Row],[SOL_A]], "0"))</f>
        <v>8-3-4</v>
      </c>
      <c r="BN11" s="42">
        <f>((2*(Table3[[#This Row],[W_H]]))+Table3[[#This Row],[OTL_H]]+Table3[[#This Row],[SOL_H]])/(2*Table3[[#This Row],[GP_H]])</f>
        <v>0.5</v>
      </c>
      <c r="BO11" s="42">
        <f>((2*(Table3[[#This Row],[W_A]]))+Table3[[#This Row],[OTL_A]]+Table3[[#This Row],[SOL_A]])/(2*Table3[[#This Row],[GP_A]])</f>
        <v>0.66666666666666663</v>
      </c>
      <c r="BP11" s="16">
        <f>(Table3[[#This Row],[W]]*$CX$3)+(Table3[[#This Row],[L]]*$CX$4)+(Table3[[#This Row],[GF]]*$CX$5)+(Table3[[#This Row],[GA]]*$CX$6)</f>
        <v>38.049999999999997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104.84316406250001</v>
      </c>
      <c r="BR11" s="16">
        <f>(Table3[[#This Row],[W]]*0.7) + ((Table3[[#This Row],[GF]] - Table3[[#This Row],[GA]])*0.25)+(Table3[[#This Row],[GF]]*0.1)+(Table3[[#This Row],[GA]]*0.05)+(Table3[[#This Row],[L]]*0.3)</f>
        <v>30.85</v>
      </c>
      <c r="BS11" s="16">
        <f>Table3[[#This Row],[TeamCost83]]/Table3[[#This Row],[GP]]</f>
        <v>0.96406250000000004</v>
      </c>
      <c r="BT11">
        <f>COUNTIFS(Table2[AwayTeam],$A11,Table2[PredictedWinner], $A11, Table2[GameIsOver], 1)</f>
        <v>8</v>
      </c>
      <c r="BU11">
        <f>COUNTIFS(Table2[HomeTeam],$A11,Table2[PredictedWinner], $A11, Table2[GameIsOver], 1)</f>
        <v>14</v>
      </c>
      <c r="BV11">
        <f t="shared" si="8"/>
        <v>22</v>
      </c>
      <c r="BW11">
        <f t="shared" si="9"/>
        <v>7</v>
      </c>
      <c r="BX11">
        <f t="shared" si="10"/>
        <v>3</v>
      </c>
      <c r="BY11">
        <f t="shared" si="11"/>
        <v>10</v>
      </c>
      <c r="BZ11">
        <f>Table3[[#This Row],[TimesPredictedWinner]]/Table3[[#This Row],[GP]]</f>
        <v>0.6875</v>
      </c>
      <c r="CB11">
        <v>2017</v>
      </c>
      <c r="CC11" s="1">
        <v>45753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4.7</v>
      </c>
      <c r="CJ11">
        <f>SUMIFS(Table2[GamePredictionScore], Table2[HomeTeam], Table3[[#This Row],[Teams]])</f>
        <v>5.8</v>
      </c>
      <c r="CK11">
        <f>Table3[[#This Row],[Column4]]+Table3[[#This Row],[Column3]]</f>
        <v>10.5</v>
      </c>
      <c r="CL11">
        <f>Table3[[#This Row],[Column5]]/Table3[[#This Row],[GP]]</f>
        <v>0.328125</v>
      </c>
      <c r="CR11" t="s">
        <v>148</v>
      </c>
      <c r="CS11">
        <f>$CS$2/($CS$10-$CS$9)</f>
        <v>7.5428571428571427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32</v>
      </c>
      <c r="E12" s="10">
        <f>Table3[[#This Row],[Watched]]/Table3[[#This Row],[GP]]</f>
        <v>0.96969696969696972</v>
      </c>
      <c r="F12">
        <f>COUNTIFS(DataRegularSeason20242025!$N$3:$N$1315,1,DataRegularSeason20242025!$D$3:$D$1315,$A12)</f>
        <v>15</v>
      </c>
      <c r="G12">
        <f>41-Table3[[#This Row],[GP_A]]</f>
        <v>26</v>
      </c>
      <c r="H12">
        <f>COUNTIFS(DataRegularSeason20242025!$E$3:$E$1315,$A12,DataRegularSeason20242025!$N$3:$N$1315,1)</f>
        <v>18</v>
      </c>
      <c r="I12">
        <f>41-Table3[[#This Row],[GP_H]]</f>
        <v>23</v>
      </c>
      <c r="J12">
        <f t="shared" si="0"/>
        <v>33</v>
      </c>
      <c r="K12">
        <f>82-Table3[[#This Row],[GP]]</f>
        <v>49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6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6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8</v>
      </c>
      <c r="U12">
        <f>COUNTIFS(DataRegularSeason20242025!$E$3:$E$1315,$A12, DataRegularSeason20242025!$L$3:$L$1315, $A12,DataRegularSeason20242025!$N$3:$N$1315,1,DataRegularSeason20242025!$M$3:$M$1315,"REG")</f>
        <v>4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 t="shared" si="2"/>
        <v>10</v>
      </c>
      <c r="Y12">
        <f>COUNTIFS(DataRegularSeason20242025!$E$3:$E$1315,$A12, DataRegularSeason20242025!$S$3:$S$1315, $A12,DataRegularSeason20242025!$M$3:$M$1315,"REG")</f>
        <v>9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0.51515151515151514</v>
      </c>
      <c r="AC12">
        <f>Table3[[#This Row],[W_A]]+Table3[[#This Row],[W_H]]</f>
        <v>17</v>
      </c>
      <c r="AD12">
        <f>Table3[[#This Row],[L_A]]+Table3[[#This Row],[L_H]]</f>
        <v>16</v>
      </c>
      <c r="AE12">
        <f>Table3[[#This Row],[RW_A]]+Table3[[#This Row],[RW_H]]</f>
        <v>10</v>
      </c>
      <c r="AF12">
        <f>Table3[[#This Row],[RL_A]]+Table3[[#This Row],[RL_H]]</f>
        <v>12</v>
      </c>
      <c r="AG12">
        <f>Table3[[#This Row],[OTW_A]]+Table3[[#This Row],[OTW_H]]</f>
        <v>5</v>
      </c>
      <c r="AH12">
        <f>Table3[[#This Row],[OTL_A]]+Table3[[#This Row],[OTL_H]]</f>
        <v>2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7-4</v>
      </c>
      <c r="AL12">
        <f>SUM(Table3[[#This Row],[OTW]],Table3[[#This Row],[OTL]],Table3[[#This Row],[SOW]],Table3[[#This Row],[SOL]])</f>
        <v>11</v>
      </c>
      <c r="AM12">
        <f>(Table3[[#This Row],[OTW]]+Table3[[#This Row],[SOW]])/IF(Table3[[#This Row],[Total_ExtraTimes]]=0,1,Table3[[#This Row],[Total_ExtraTimes]])</f>
        <v>0.63636363636363635</v>
      </c>
      <c r="AN12">
        <f>Table3[[#This Row],[Total_ExtraTimes]]/MAX(1,Table3[[#This Row],[GP]])</f>
        <v>0.33333333333333331</v>
      </c>
      <c r="AO12">
        <f>(2*(Table3[[#This Row],[W_A]]+Table3[[#This Row],[W_H]]))+Table3[[#This Row],[OTL_A]]+Table3[[#This Row],[SOL_A]]+Table3[[#This Row],[OTL_H]]+Table3[[#This Row],[SOL_H]]</f>
        <v>38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2" s="10">
        <f>Table3[[#This Row],[PTS]]/(2*Table3[[#This Row],[GP]])</f>
        <v>0.5757575757575758</v>
      </c>
      <c r="AR12" s="10">
        <f>Table3[[#This Row],[PTS2]]/(3*Table3[[#This Row],[GP]])</f>
        <v>0.48484848484848486</v>
      </c>
      <c r="AS12">
        <f>(2*Table3[[#This Row],[GR]])+Table3[[#This Row],[PTS]]</f>
        <v>136</v>
      </c>
      <c r="AT12">
        <f>(3*Table3[[#This Row],[GR]])+Table3[[#This Row],[PTS2]]</f>
        <v>195</v>
      </c>
      <c r="AU12">
        <f>Table3[[#This Row],[PTS]]+(2 * Table3[[#This Row],[GR]] * Table3[[#This Row],[PTS%]])</f>
        <v>94.424242424242436</v>
      </c>
      <c r="AV12">
        <f>Table3[[#This Row],[PTS2]]+(3 * Table3[[#This Row],[GR]] * Table3[[#This Row],[PTS%2]])</f>
        <v>119.27272727272728</v>
      </c>
      <c r="AW12" s="15" t="str">
        <f>_xlfn.CONCAT(TEXT(Table3[[#This Row],[W]], "0"), "-", TEXT(Table3[[#This Row],[RL]],"0"), "-", TEXT(Table3[[#This Row],[OTL]]+Table3[[#This Row],[SOL]], "0"))</f>
        <v>17-12-4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51</v>
      </c>
      <c r="AZ12">
        <f>SUMIF(DataRegularSeason20242025!$D$3:$D$1315,$A12, DataRegularSeason20242025!$K$3:$K$1315)</f>
        <v>48</v>
      </c>
      <c r="BA12">
        <f t="shared" si="3"/>
        <v>3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55</v>
      </c>
      <c r="BD12">
        <f>SUMIF(DataRegularSeason20242025!$E$3:$E$1315,$A12,DataRegularSeason20242025!$J$3:$J$1315)</f>
        <v>69</v>
      </c>
      <c r="BE12">
        <f t="shared" si="4"/>
        <v>-14</v>
      </c>
      <c r="BF12">
        <f t="shared" si="5"/>
        <v>106</v>
      </c>
      <c r="BG12">
        <f t="shared" si="6"/>
        <v>117</v>
      </c>
      <c r="BH12">
        <f t="shared" si="7"/>
        <v>-11</v>
      </c>
      <c r="BI12" s="12">
        <f>Table3[[#This Row],[GF]]/Table3[[#This Row],[GP]]</f>
        <v>3.2121212121212119</v>
      </c>
      <c r="BJ12" s="12">
        <f>Table3[[#This Row],[GA]]/Table3[[#This Row],[GP]]</f>
        <v>3.5454545454545454</v>
      </c>
      <c r="BK12" s="12">
        <f>(Table3[[#This Row],[GF]]-Table3[[#This Row],[GA]])/Table3[[#This Row],[GP]]</f>
        <v>-0.33333333333333331</v>
      </c>
      <c r="BL12" s="42" t="str">
        <f>_xlfn.CONCAT(TEXT(Table3[[#This Row],[W_H]], "0"), "-", TEXT(Table3[[#This Row],[RL_H]],"0"), "-", TEXT(Table3[[#This Row],[OTL_H]]+Table3[[#This Row],[SOL_H]], "0"))</f>
        <v>8-9-1</v>
      </c>
      <c r="BM12" s="42" t="str">
        <f>_xlfn.CONCAT(TEXT(Table3[[#This Row],[W_A]], "0"), "-", TEXT(Table3[[#This Row],[RL_A]],"0"), "-", TEXT(Table3[[#This Row],[OTL_A]]+Table3[[#This Row],[SOL_A]], "0"))</f>
        <v>9-3-3</v>
      </c>
      <c r="BN12" s="42">
        <f>((2*(Table3[[#This Row],[W_H]]))+Table3[[#This Row],[OTL_H]]+Table3[[#This Row],[SOL_H]])/(2*Table3[[#This Row],[GP_H]])</f>
        <v>0.47222222222222221</v>
      </c>
      <c r="BO12" s="42">
        <f>((2*(Table3[[#This Row],[W_A]]))+Table3[[#This Row],[OTL_A]]+Table3[[#This Row],[SOL_A]])/(2*Table3[[#This Row],[GP_A]])</f>
        <v>0.7</v>
      </c>
      <c r="BP12" s="16">
        <f>(Table3[[#This Row],[W]]*$CX$3)+(Table3[[#This Row],[L]]*$CX$4)+(Table3[[#This Row],[GF]]*$CX$5)+(Table3[[#This Row],[GA]]*$CX$6)</f>
        <v>40.9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110.51340679522498</v>
      </c>
      <c r="BR12" s="16">
        <f>(Table3[[#This Row],[W]]*0.7) + ((Table3[[#This Row],[GF]] - Table3[[#This Row],[GA]])*0.25)+(Table3[[#This Row],[GF]]*0.1)+(Table3[[#This Row],[GA]]*0.05)+(Table3[[#This Row],[L]]*0.3)</f>
        <v>30.400000000000002</v>
      </c>
      <c r="BS12" s="16">
        <f>Table3[[#This Row],[TeamCost83]]/Table3[[#This Row],[GP]]</f>
        <v>0.92121212121212126</v>
      </c>
      <c r="BT12">
        <f>COUNTIFS(Table2[AwayTeam],$A12,Table2[PredictedWinner], $A12, Table2[GameIsOver], 1)</f>
        <v>5</v>
      </c>
      <c r="BU12">
        <f>COUNTIFS(Table2[HomeTeam],$A12,Table2[PredictedWinner], $A12, Table2[GameIsOver], 1)</f>
        <v>10</v>
      </c>
      <c r="BV12">
        <f t="shared" si="8"/>
        <v>15</v>
      </c>
      <c r="BW12">
        <f t="shared" si="9"/>
        <v>10</v>
      </c>
      <c r="BX12">
        <f t="shared" si="10"/>
        <v>8</v>
      </c>
      <c r="BY12">
        <f t="shared" si="11"/>
        <v>18</v>
      </c>
      <c r="BZ12">
        <f>Table3[[#This Row],[TimesPredictedWinner]]/Table3[[#This Row],[GP]]</f>
        <v>0.45454545454545453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7.8</v>
      </c>
      <c r="CJ12">
        <f>SUMIFS(Table2[GamePredictionScore], Table2[HomeTeam], Table3[[#This Row],[Teams]])</f>
        <v>8.3999999999999986</v>
      </c>
      <c r="CK12">
        <f>Table3[[#This Row],[Column4]]+Table3[[#This Row],[Column3]]</f>
        <v>16.2</v>
      </c>
      <c r="CL12">
        <f>Table3[[#This Row],[Column5]]/Table3[[#This Row],[GP]]</f>
        <v>0.49090909090909091</v>
      </c>
      <c r="CR12" t="s">
        <v>149</v>
      </c>
      <c r="CS12">
        <f>$CS$3/($CS$10-$CS$9)</f>
        <v>6.3857142857142861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27</v>
      </c>
      <c r="E13" s="10">
        <f>Table3[[#This Row],[Watched]]/Table3[[#This Row],[GP]]</f>
        <v>0.81818181818181823</v>
      </c>
      <c r="F13">
        <f>COUNTIFS(DataRegularSeason20242025!$N$3:$N$1315,1,DataRegularSeason20242025!$D$3:$D$1315,$A13)</f>
        <v>17</v>
      </c>
      <c r="G13">
        <f>41-Table3[[#This Row],[GP_A]]</f>
        <v>24</v>
      </c>
      <c r="H13">
        <f>COUNTIFS(DataRegularSeason20242025!$E$3:$E$1315,$A13,DataRegularSeason20242025!$N$3:$N$1315,1)</f>
        <v>16</v>
      </c>
      <c r="I13">
        <f>41-Table3[[#This Row],[GP_H]]</f>
        <v>25</v>
      </c>
      <c r="J13">
        <f t="shared" si="0"/>
        <v>33</v>
      </c>
      <c r="K13">
        <f>82-Table3[[#This Row],[GP]]</f>
        <v>49</v>
      </c>
      <c r="L13">
        <f>COUNTIFS(DataRegularSeason20242025!$D$3:$D$1315,$A13, DataRegularSeason20242025!$L$3:$L$1315, $A13,DataRegularSeason20242025!$N$3:$N$1315,1)</f>
        <v>10</v>
      </c>
      <c r="M13">
        <f>COUNTIFS(DataRegularSeason20242025!$D$3:$D$1315,$A13, DataRegularSeason20242025!$L$3:$L$1315, $A13,DataRegularSeason20242025!$N$3:$N$1315,1,DataRegularSeason20242025!$M$3:$M$1315,"REG")</f>
        <v>10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7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8</v>
      </c>
      <c r="Y13">
        <f>COUNTIFS(DataRegularSeason20242025!$E$3:$E$1315,$A13, DataRegularSeason20242025!$S$3:$S$1315, $A13,DataRegularSeason20242025!$M$3:$M$1315,"REG")</f>
        <v>8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0.54545454545454541</v>
      </c>
      <c r="AC13">
        <f>Table3[[#This Row],[W_A]]+Table3[[#This Row],[W_H]]</f>
        <v>18</v>
      </c>
      <c r="AD13">
        <f>Table3[[#This Row],[L_A]]+Table3[[#This Row],[L_H]]</f>
        <v>15</v>
      </c>
      <c r="AE13">
        <f>Table3[[#This Row],[RW_A]]+Table3[[#This Row],[RW_H]]</f>
        <v>15</v>
      </c>
      <c r="AF13">
        <f>Table3[[#This Row],[RL_A]]+Table3[[#This Row],[RL_H]]</f>
        <v>12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3-3</v>
      </c>
      <c r="AL13">
        <f>SUM(Table3[[#This Row],[OTW]],Table3[[#This Row],[OTL]],Table3[[#This Row],[SOW]],Table3[[#This Row],[SOL]])</f>
        <v>6</v>
      </c>
      <c r="AM13">
        <f>(Table3[[#This Row],[OTW]]+Table3[[#This Row],[SOW]])/IF(Table3[[#This Row],[Total_ExtraTimes]]=0,1,Table3[[#This Row],[Total_ExtraTimes]])</f>
        <v>0.5</v>
      </c>
      <c r="AN13">
        <f>Table3[[#This Row],[Total_ExtraTimes]]/MAX(1,Table3[[#This Row],[GP]])</f>
        <v>0.18181818181818182</v>
      </c>
      <c r="AO13">
        <f>(2*(Table3[[#This Row],[W_A]]+Table3[[#This Row],[W_H]]))+Table3[[#This Row],[OTL_A]]+Table3[[#This Row],[SOL_A]]+Table3[[#This Row],[OTL_H]]+Table3[[#This Row],[SOL_H]]</f>
        <v>39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3" s="10">
        <f>Table3[[#This Row],[PTS]]/(2*Table3[[#This Row],[GP]])</f>
        <v>0.59090909090909094</v>
      </c>
      <c r="AR13" s="10">
        <f>Table3[[#This Row],[PTS2]]/(3*Table3[[#This Row],[GP]])</f>
        <v>0.54545454545454541</v>
      </c>
      <c r="AS13">
        <f>(2*Table3[[#This Row],[GR]])+Table3[[#This Row],[PTS]]</f>
        <v>137</v>
      </c>
      <c r="AT13">
        <f>(3*Table3[[#This Row],[GR]])+Table3[[#This Row],[PTS2]]</f>
        <v>201</v>
      </c>
      <c r="AU13">
        <f>Table3[[#This Row],[PTS]]+(2 * Table3[[#This Row],[GR]] * Table3[[#This Row],[PTS%]])</f>
        <v>96.909090909090907</v>
      </c>
      <c r="AV13">
        <f>Table3[[#This Row],[PTS2]]+(3 * Table3[[#This Row],[GR]] * Table3[[#This Row],[PTS%2]])</f>
        <v>134.18181818181819</v>
      </c>
      <c r="AW13" s="15" t="str">
        <f>_xlfn.CONCAT(TEXT(Table3[[#This Row],[W]], "0"), "-", TEXT(Table3[[#This Row],[RL]],"0"), "-", TEXT(Table3[[#This Row],[OTL]]+Table3[[#This Row],[SOL]], "0"))</f>
        <v>18-12-3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61</v>
      </c>
      <c r="AZ13">
        <f>SUMIF(DataRegularSeason20242025!$D$3:$D$1315,$A13, DataRegularSeason20242025!$K$3:$K$1315)</f>
        <v>41</v>
      </c>
      <c r="BA13">
        <f t="shared" si="3"/>
        <v>20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45</v>
      </c>
      <c r="BD13">
        <f>SUMIF(DataRegularSeason20242025!$E$3:$E$1315,$A13,DataRegularSeason20242025!$J$3:$J$1315)</f>
        <v>47</v>
      </c>
      <c r="BE13">
        <f t="shared" si="4"/>
        <v>-2</v>
      </c>
      <c r="BF13">
        <f t="shared" si="5"/>
        <v>106</v>
      </c>
      <c r="BG13">
        <f t="shared" si="6"/>
        <v>88</v>
      </c>
      <c r="BH13">
        <f t="shared" si="7"/>
        <v>18</v>
      </c>
      <c r="BI13" s="12">
        <f>Table3[[#This Row],[GF]]/Table3[[#This Row],[GP]]</f>
        <v>3.2121212121212119</v>
      </c>
      <c r="BJ13" s="12">
        <f>Table3[[#This Row],[GA]]/Table3[[#This Row],[GP]]</f>
        <v>2.6666666666666665</v>
      </c>
      <c r="BK13" s="12">
        <f>(Table3[[#This Row],[GF]]-Table3[[#This Row],[GA]])/Table3[[#This Row],[GP]]</f>
        <v>0.54545454545454541</v>
      </c>
      <c r="BL13" s="42" t="str">
        <f>_xlfn.CONCAT(TEXT(Table3[[#This Row],[W_H]], "0"), "-", TEXT(Table3[[#This Row],[RL_H]],"0"), "-", TEXT(Table3[[#This Row],[OTL_H]]+Table3[[#This Row],[SOL_H]], "0"))</f>
        <v>8-8-0</v>
      </c>
      <c r="BM13" s="42" t="str">
        <f>_xlfn.CONCAT(TEXT(Table3[[#This Row],[W_A]], "0"), "-", TEXT(Table3[[#This Row],[RL_A]],"0"), "-", TEXT(Table3[[#This Row],[OTL_A]]+Table3[[#This Row],[SOL_A]], "0"))</f>
        <v>10-4-3</v>
      </c>
      <c r="BN13" s="42">
        <f>((2*(Table3[[#This Row],[W_H]]))+Table3[[#This Row],[OTL_H]]+Table3[[#This Row],[SOL_H]])/(2*Table3[[#This Row],[GP_H]])</f>
        <v>0.5</v>
      </c>
      <c r="BO13" s="42">
        <f>((2*(Table3[[#This Row],[W_A]]))+Table3[[#This Row],[OTL_A]]+Table3[[#This Row],[SOL_A]])/(2*Table3[[#This Row],[GP_A]])</f>
        <v>0.67647058823529416</v>
      </c>
      <c r="BP13" s="16">
        <f>(Table3[[#This Row],[W]]*$CX$3)+(Table3[[#This Row],[L]]*$CX$4)+(Table3[[#This Row],[GF]]*$CX$5)+(Table3[[#This Row],[GA]]*$CX$6)</f>
        <v>38.200000000000003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100.61487603305785</v>
      </c>
      <c r="BR13" s="16">
        <f>(Table3[[#This Row],[W]]*0.7) + ((Table3[[#This Row],[GF]] - Table3[[#This Row],[GA]])*0.25)+(Table3[[#This Row],[GF]]*0.1)+(Table3[[#This Row],[GA]]*0.05)+(Table3[[#This Row],[L]]*0.3)</f>
        <v>36.6</v>
      </c>
      <c r="BS13" s="16">
        <f>Table3[[#This Row],[TeamCost83]]/Table3[[#This Row],[GP]]</f>
        <v>1.1090909090909091</v>
      </c>
      <c r="BT13">
        <f>COUNTIFS(Table2[AwayTeam],$A13,Table2[PredictedWinner], $A13, Table2[GameIsOver], 1)</f>
        <v>8</v>
      </c>
      <c r="BU13">
        <f>COUNTIFS(Table2[HomeTeam],$A13,Table2[PredictedWinner], $A13, Table2[GameIsOver], 1)</f>
        <v>7</v>
      </c>
      <c r="BV13">
        <f t="shared" si="8"/>
        <v>15</v>
      </c>
      <c r="BW13">
        <f t="shared" si="9"/>
        <v>9</v>
      </c>
      <c r="BX13">
        <f t="shared" si="10"/>
        <v>9</v>
      </c>
      <c r="BY13">
        <f t="shared" si="11"/>
        <v>18</v>
      </c>
      <c r="BZ13">
        <f>Table3[[#This Row],[TimesPredictedWinner]]/Table3[[#This Row],[GP]]</f>
        <v>0.45454545454545453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7.6999999999999993</v>
      </c>
      <c r="CJ13">
        <f>SUMIFS(Table2[GamePredictionScore], Table2[HomeTeam], Table3[[#This Row],[Teams]])</f>
        <v>9.7000000000000011</v>
      </c>
      <c r="CK13">
        <f>Table3[[#This Row],[Column4]]+Table3[[#This Row],[Column3]]</f>
        <v>17.399999999999999</v>
      </c>
      <c r="CL13">
        <f>Table3[[#This Row],[Column5]]/Table3[[#This Row],[GP]]</f>
        <v>0.52727272727272723</v>
      </c>
      <c r="CR13" t="s">
        <v>154</v>
      </c>
      <c r="CS13">
        <f>(CS5/CS2)/2</f>
        <v>3.0700757575757578</v>
      </c>
      <c r="DB13" s="156" t="s">
        <v>761</v>
      </c>
    </row>
    <row r="14" spans="1:144" x14ac:dyDescent="0.25">
      <c r="A14" t="s">
        <v>30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33</v>
      </c>
      <c r="E14" s="10">
        <f>Table3[[#This Row],[Watched]]/Table3[[#This Row],[GP]]</f>
        <v>0.97058823529411764</v>
      </c>
      <c r="F14">
        <f>COUNTIFS(DataRegularSeason20242025!$N$3:$N$1315,1,DataRegularSeason20242025!$D$3:$D$1315,$A14)</f>
        <v>17</v>
      </c>
      <c r="G14">
        <f>41-Table3[[#This Row],[GP_A]]</f>
        <v>24</v>
      </c>
      <c r="H14">
        <f>COUNTIFS(DataRegularSeason20242025!$E$3:$E$1315,$A14,DataRegularSeason20242025!$N$3:$N$1315,1)</f>
        <v>17</v>
      </c>
      <c r="I14">
        <f>41-Table3[[#This Row],[GP_H]]</f>
        <v>24</v>
      </c>
      <c r="J14">
        <f t="shared" si="0"/>
        <v>34</v>
      </c>
      <c r="K14">
        <f>82-Table3[[#This Row],[GP]]</f>
        <v>48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7</v>
      </c>
      <c r="N14">
        <f>COUNTIFS(DataRegularSeason20242025!$D$3:$D$1315,$A14, DataRegularSeason20242025!$L$3:$L$1315, $A14,DataRegularSeason20242025!$N$3:$N$1315,1,DataRegularSeason20242025!$M$3:$M$1315,"OT")</f>
        <v>0</v>
      </c>
      <c r="O14">
        <f>COUNTIFS(DataRegularSeason20242025!$D$3:$D$1315,$A14, DataRegularSeason20242025!$L$3:$L$1315, $A14,DataRegularSeason20242025!$N$3:$N$1315,1,DataRegularSeason20242025!$M$3:$M$1315,"SO")</f>
        <v>2</v>
      </c>
      <c r="P14">
        <f t="shared" si="1"/>
        <v>8</v>
      </c>
      <c r="Q14">
        <f>COUNTIFS(DataRegularSeason20242025!$D$3:$D$1315,$A14, DataRegularSeason20242025!$S$3:$S$1315, $A14,DataRegularSeason20242025!$M$3:$M$1315,"REG")</f>
        <v>6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2</v>
      </c>
      <c r="T14">
        <f>COUNTIFS(DataRegularSeason20242025!$E$3:$E$1315,$A14, DataRegularSeason20242025!$L$3:$L$1315, $A14, DataRegularSeason20242025!$N$3:$N$1315,1)</f>
        <v>10</v>
      </c>
      <c r="U14">
        <f>COUNTIFS(DataRegularSeason20242025!$E$3:$E$1315,$A14, DataRegularSeason20242025!$L$3:$L$1315, $A14,DataRegularSeason20242025!$N$3:$N$1315,1,DataRegularSeason20242025!$M$3:$M$1315,"REG")</f>
        <v>8</v>
      </c>
      <c r="V14">
        <f>COUNTIFS(DataRegularSeason20242025!$E$3:$E$1315,$A14, DataRegularSeason20242025!$L$3:$L$1315, $A14,DataRegularSeason20242025!$N$3:$N$1315,1,DataRegularSeason20242025!$M$3:$M$1315,"OT")</f>
        <v>2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7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0.55882352941176472</v>
      </c>
      <c r="AC14">
        <f>Table3[[#This Row],[W_A]]+Table3[[#This Row],[W_H]]</f>
        <v>19</v>
      </c>
      <c r="AD14">
        <f>Table3[[#This Row],[L_A]]+Table3[[#This Row],[L_H]]</f>
        <v>15</v>
      </c>
      <c r="AE14">
        <f>Table3[[#This Row],[RW_A]]+Table3[[#This Row],[RW_H]]</f>
        <v>15</v>
      </c>
      <c r="AF14">
        <f>Table3[[#This Row],[RL_A]]+Table3[[#This Row],[RL_H]]</f>
        <v>12</v>
      </c>
      <c r="AG14">
        <f>Table3[[#This Row],[OTW_A]]+Table3[[#This Row],[OTW_H]]</f>
        <v>2</v>
      </c>
      <c r="AH14">
        <f>Table3[[#This Row],[OTL_A]]+Table3[[#This Row],[OTL_H]]</f>
        <v>1</v>
      </c>
      <c r="AI14">
        <f>Table3[[#This Row],[SOW_A]]+Table3[[#This Row],[SOW_H]]</f>
        <v>2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0.20588235294117646</v>
      </c>
      <c r="AO14">
        <f>(2*(Table3[[#This Row],[W_A]]+Table3[[#This Row],[W_H]]))+Table3[[#This Row],[OTL_A]]+Table3[[#This Row],[SOL_A]]+Table3[[#This Row],[OTL_H]]+Table3[[#This Row],[SOL_H]]</f>
        <v>41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14" s="10">
        <f>Table3[[#This Row],[PTS]]/(2*Table3[[#This Row],[GP]])</f>
        <v>0.6029411764705882</v>
      </c>
      <c r="AR14" s="10">
        <f>Table3[[#This Row],[PTS2]]/(3*Table3[[#This Row],[GP]])</f>
        <v>0.5490196078431373</v>
      </c>
      <c r="AS14">
        <f>(2*Table3[[#This Row],[GR]])+Table3[[#This Row],[PTS]]</f>
        <v>137</v>
      </c>
      <c r="AT14">
        <f>(3*Table3[[#This Row],[GR]])+Table3[[#This Row],[PTS2]]</f>
        <v>200</v>
      </c>
      <c r="AU14">
        <f>Table3[[#This Row],[PTS]]+(2 * Table3[[#This Row],[GR]] * Table3[[#This Row],[PTS%]])</f>
        <v>98.882352941176464</v>
      </c>
      <c r="AV14">
        <f>Table3[[#This Row],[PTS2]]+(3 * Table3[[#This Row],[GR]] * Table3[[#This Row],[PTS%2]])</f>
        <v>135.05882352941177</v>
      </c>
      <c r="AW14" s="15" t="str">
        <f>_xlfn.CONCAT(TEXT(Table3[[#This Row],[W]], "0"), "-", TEXT(Table3[[#This Row],[RL]],"0"), "-", TEXT(Table3[[#This Row],[OTL]]+Table3[[#This Row],[SOL]], "0"))</f>
        <v>19-12-3</v>
      </c>
      <c r="AX14">
        <f>COUNTIFS(DataRegularSeason20242025!$D$3:$D$1315,Table3[[#This Row],[Teams]],DataRegularSeason20242025!$K$3:$K$1315,0)</f>
        <v>2</v>
      </c>
      <c r="AY14">
        <f>SUMIF(DataRegularSeason20242025!$D$3:$D$1315,$A14, DataRegularSeason20242025!$J$3:$J$1315)</f>
        <v>50</v>
      </c>
      <c r="AZ14">
        <f>SUMIF(DataRegularSeason20242025!$D$3:$D$1315,$A14, DataRegularSeason20242025!$K$3:$K$1315)</f>
        <v>50</v>
      </c>
      <c r="BA14">
        <f t="shared" si="3"/>
        <v>0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57</v>
      </c>
      <c r="BD14">
        <f>SUMIF(DataRegularSeason20242025!$E$3:$E$1315,$A14,DataRegularSeason20242025!$J$3:$J$1315)</f>
        <v>61</v>
      </c>
      <c r="BE14">
        <f t="shared" si="4"/>
        <v>-4</v>
      </c>
      <c r="BF14">
        <f t="shared" si="5"/>
        <v>107</v>
      </c>
      <c r="BG14">
        <f t="shared" si="6"/>
        <v>111</v>
      </c>
      <c r="BH14">
        <f t="shared" si="7"/>
        <v>-4</v>
      </c>
      <c r="BI14" s="12">
        <f>Table3[[#This Row],[GF]]/Table3[[#This Row],[GP]]</f>
        <v>3.1470588235294117</v>
      </c>
      <c r="BJ14" s="12">
        <f>Table3[[#This Row],[GA]]/Table3[[#This Row],[GP]]</f>
        <v>3.2647058823529411</v>
      </c>
      <c r="BK14" s="12">
        <f>(Table3[[#This Row],[GF]]-Table3[[#This Row],[GA]])/Table3[[#This Row],[GP]]</f>
        <v>-0.11764705882352941</v>
      </c>
      <c r="BL14" s="42" t="str">
        <f>_xlfn.CONCAT(TEXT(Table3[[#This Row],[W_H]], "0"), "-", TEXT(Table3[[#This Row],[RL_H]],"0"), "-", TEXT(Table3[[#This Row],[OTL_H]]+Table3[[#This Row],[SOL_H]], "0"))</f>
        <v>10-6-1</v>
      </c>
      <c r="BM14" s="42" t="str">
        <f>_xlfn.CONCAT(TEXT(Table3[[#This Row],[W_A]], "0"), "-", TEXT(Table3[[#This Row],[RL_A]],"0"), "-", TEXT(Table3[[#This Row],[OTL_A]]+Table3[[#This Row],[SOL_A]], "0"))</f>
        <v>9-6-2</v>
      </c>
      <c r="BN14" s="42">
        <f>((2*(Table3[[#This Row],[W_H]]))+Table3[[#This Row],[OTL_H]]+Table3[[#This Row],[SOL_H]])/(2*Table3[[#This Row],[GP_H]])</f>
        <v>0.61764705882352944</v>
      </c>
      <c r="BO14" s="42">
        <f>((2*(Table3[[#This Row],[W_A]]))+Table3[[#This Row],[OTL_A]]+Table3[[#This Row],[SOL_A]])/(2*Table3[[#This Row],[GP_A]])</f>
        <v>0.58823529411764708</v>
      </c>
      <c r="BP14" s="16">
        <f>(Table3[[#This Row],[W]]*$CX$3)+(Table3[[#This Row],[L]]*$CX$4)+(Table3[[#This Row],[GF]]*$CX$5)+(Table3[[#This Row],[GA]]*$CX$6)</f>
        <v>41.150000000000006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107.64377162629759</v>
      </c>
      <c r="BR14" s="16">
        <f>(Table3[[#This Row],[W]]*0.7) + ((Table3[[#This Row],[GF]] - Table3[[#This Row],[GA]])*0.25)+(Table3[[#This Row],[GF]]*0.1)+(Table3[[#This Row],[GA]]*0.05)+(Table3[[#This Row],[L]]*0.3)</f>
        <v>33.049999999999997</v>
      </c>
      <c r="BS14" s="16">
        <f>Table3[[#This Row],[TeamCost83]]/Table3[[#This Row],[GP]]</f>
        <v>0.97205882352941164</v>
      </c>
      <c r="BT14">
        <f>COUNTIFS(Table2[AwayTeam],$A14,Table2[PredictedWinner], $A14, Table2[GameIsOver], 1)</f>
        <v>9</v>
      </c>
      <c r="BU14">
        <f>COUNTIFS(Table2[HomeTeam],$A14,Table2[PredictedWinner], $A14, Table2[GameIsOver], 1)</f>
        <v>9</v>
      </c>
      <c r="BV14">
        <f t="shared" si="8"/>
        <v>18</v>
      </c>
      <c r="BW14">
        <f t="shared" si="9"/>
        <v>8</v>
      </c>
      <c r="BX14">
        <f t="shared" si="10"/>
        <v>8</v>
      </c>
      <c r="BY14">
        <f t="shared" si="11"/>
        <v>16</v>
      </c>
      <c r="BZ14">
        <f>Table3[[#This Row],[TimesPredictedWinner]]/Table3[[#This Row],[GP]]</f>
        <v>0.52941176470588236</v>
      </c>
      <c r="CB14">
        <v>2008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7.6000000000000005</v>
      </c>
      <c r="CJ14">
        <f>SUMIFS(Table2[GamePredictionScore], Table2[HomeTeam], Table3[[#This Row],[Teams]])</f>
        <v>5.3</v>
      </c>
      <c r="CK14">
        <f>Table3[[#This Row],[Column4]]+Table3[[#This Row],[Column3]]</f>
        <v>12.9</v>
      </c>
      <c r="CL14">
        <f>Table3[[#This Row],[Column5]]/Table3[[#This Row],[GP]]</f>
        <v>0.37941176470588234</v>
      </c>
      <c r="CR14" t="s">
        <v>460</v>
      </c>
      <c r="CS14">
        <f>CS7+CS8</f>
        <v>141</v>
      </c>
      <c r="DB14">
        <v>4.7474747474747404E+75</v>
      </c>
    </row>
    <row r="15" spans="1:144" ht="15.75" thickBot="1" x14ac:dyDescent="0.3">
      <c r="A15" t="s">
        <v>27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25</v>
      </c>
      <c r="E15" s="10">
        <f>Table3[[#This Row],[Watched]]/Table3[[#This Row],[GP]]</f>
        <v>0.78125</v>
      </c>
      <c r="F15">
        <f>COUNTIFS(DataRegularSeason20242025!$N$3:$N$1315,1,DataRegularSeason20242025!$D$3:$D$1315,$A15)</f>
        <v>18</v>
      </c>
      <c r="G15">
        <f>41-Table3[[#This Row],[GP_A]]</f>
        <v>23</v>
      </c>
      <c r="H15">
        <f>COUNTIFS(DataRegularSeason20242025!$E$3:$E$1315,$A15,DataRegularSeason20242025!$N$3:$N$1315,1)</f>
        <v>14</v>
      </c>
      <c r="I15">
        <f>41-Table3[[#This Row],[GP_H]]</f>
        <v>27</v>
      </c>
      <c r="J15">
        <f t="shared" si="0"/>
        <v>32</v>
      </c>
      <c r="K15">
        <f>82-Table3[[#This Row],[GP]]</f>
        <v>50</v>
      </c>
      <c r="L15">
        <f>COUNTIFS(DataRegularSeason20242025!$D$3:$D$1315,$A15, DataRegularSeason20242025!$L$3:$L$1315, $A15,DataRegularSeason20242025!$N$3:$N$1315,1)</f>
        <v>10</v>
      </c>
      <c r="M15">
        <f>COUNTIFS(DataRegularSeason20242025!$D$3:$D$1315,$A15, DataRegularSeason20242025!$L$3:$L$1315, $A15,DataRegularSeason20242025!$N$3:$N$1315,1,DataRegularSeason20242025!$M$3:$M$1315,"REG")</f>
        <v>6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 t="shared" si="1"/>
        <v>8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4</v>
      </c>
      <c r="T15">
        <f>COUNTIFS(DataRegularSeason20242025!$E$3:$E$1315,$A15, DataRegularSeason20242025!$L$3:$L$1315, $A15, DataRegularSeason20242025!$N$3:$N$1315,1)</f>
        <v>4</v>
      </c>
      <c r="U15">
        <f>COUNTIFS(DataRegularSeason20242025!$E$3:$E$1315,$A15, DataRegularSeason20242025!$L$3:$L$1315, $A15,DataRegularSeason20242025!$N$3:$N$1315,1,DataRegularSeason20242025!$M$3:$M$1315,"REG")</f>
        <v>3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10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3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0.4375</v>
      </c>
      <c r="AC15">
        <f>Table3[[#This Row],[W_A]]+Table3[[#This Row],[W_H]]</f>
        <v>14</v>
      </c>
      <c r="AD15">
        <f>Table3[[#This Row],[L_A]]+Table3[[#This Row],[L_H]]</f>
        <v>18</v>
      </c>
      <c r="AE15">
        <f>Table3[[#This Row],[RW_A]]+Table3[[#This Row],[RW_H]]</f>
        <v>9</v>
      </c>
      <c r="AF15">
        <f>Table3[[#This Row],[RL_A]]+Table3[[#This Row],[RL_H]]</f>
        <v>9</v>
      </c>
      <c r="AG15">
        <f>Table3[[#This Row],[OTW_A]]+Table3[[#This Row],[OTW_H]]</f>
        <v>4</v>
      </c>
      <c r="AH15">
        <f>Table3[[#This Row],[OTL_A]]+Table3[[#This Row],[OTL_H]]</f>
        <v>4</v>
      </c>
      <c r="AI15">
        <f>Table3[[#This Row],[SOW_A]]+Table3[[#This Row],[SOW_H]]</f>
        <v>1</v>
      </c>
      <c r="AJ15">
        <f>Table3[[#This Row],[SOL_A]]+Table3[[#This Row],[SOL_H]]</f>
        <v>5</v>
      </c>
      <c r="AK15" s="15" t="str">
        <f>_xlfn.CONCAT(TEXT(Table3[[#This Row],[OTW]]+Table3[[#This Row],[SOW]], "0"), "-", TEXT(Table3[[#This Row],[OTL]]+Table3[[#This Row],[SOL]],"0"))</f>
        <v>5-9</v>
      </c>
      <c r="AL15">
        <f>SUM(Table3[[#This Row],[OTW]],Table3[[#This Row],[OTL]],Table3[[#This Row],[SOW]],Table3[[#This Row],[SOL]])</f>
        <v>14</v>
      </c>
      <c r="AM15">
        <f>(Table3[[#This Row],[OTW]]+Table3[[#This Row],[SOW]])/IF(Table3[[#This Row],[Total_ExtraTimes]]=0,1,Table3[[#This Row],[Total_ExtraTimes]])</f>
        <v>0.35714285714285715</v>
      </c>
      <c r="AN15">
        <f>Table3[[#This Row],[Total_ExtraTimes]]/MAX(1,Table3[[#This Row],[GP]])</f>
        <v>0.4375</v>
      </c>
      <c r="AO15">
        <f>(2*(Table3[[#This Row],[W_A]]+Table3[[#This Row],[W_H]]))+Table3[[#This Row],[OTL_A]]+Table3[[#This Row],[SOL_A]]+Table3[[#This Row],[OTL_H]]+Table3[[#This Row],[SOL_H]]</f>
        <v>37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5" s="10">
        <f>Table3[[#This Row],[PTS]]/(2*Table3[[#This Row],[GP]])</f>
        <v>0.578125</v>
      </c>
      <c r="AR15" s="10">
        <f>Table3[[#This Row],[PTS2]]/(3*Table3[[#This Row],[GP]])</f>
        <v>0.47916666666666669</v>
      </c>
      <c r="AS15">
        <f>(2*Table3[[#This Row],[GR]])+Table3[[#This Row],[PTS]]</f>
        <v>137</v>
      </c>
      <c r="AT15">
        <f>(3*Table3[[#This Row],[GR]])+Table3[[#This Row],[PTS2]]</f>
        <v>196</v>
      </c>
      <c r="AU15">
        <f>Table3[[#This Row],[PTS]]+(2 * Table3[[#This Row],[GR]] * Table3[[#This Row],[PTS%]])</f>
        <v>94.8125</v>
      </c>
      <c r="AV15">
        <f>Table3[[#This Row],[PTS2]]+(3 * Table3[[#This Row],[GR]] * Table3[[#This Row],[PTS%2]])</f>
        <v>117.875</v>
      </c>
      <c r="AW15" s="15" t="str">
        <f>_xlfn.CONCAT(TEXT(Table3[[#This Row],[W]], "0"), "-", TEXT(Table3[[#This Row],[RL]],"0"), "-", TEXT(Table3[[#This Row],[OTL]]+Table3[[#This Row],[SOL]], "0"))</f>
        <v>14-9-9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55</v>
      </c>
      <c r="AZ15">
        <f>SUMIF(DataRegularSeason20242025!$D$3:$D$1315,$A15, DataRegularSeason20242025!$K$3:$K$1315)</f>
        <v>50</v>
      </c>
      <c r="BA15">
        <f t="shared" si="3"/>
        <v>5</v>
      </c>
      <c r="BB15">
        <f>COUNTIFS(DataRegularSeason20242025!$E$3:$E$1315,Table3[[#This Row],[Teams]],DataRegularSeason20242025!$J$3:$J$1315,0)</f>
        <v>2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36</v>
      </c>
      <c r="BE15">
        <f t="shared" si="4"/>
        <v>-7</v>
      </c>
      <c r="BF15">
        <f t="shared" si="5"/>
        <v>84</v>
      </c>
      <c r="BG15">
        <f t="shared" si="6"/>
        <v>86</v>
      </c>
      <c r="BH15">
        <f t="shared" si="7"/>
        <v>-2</v>
      </c>
      <c r="BI15" s="12">
        <f>Table3[[#This Row],[GF]]/Table3[[#This Row],[GP]]</f>
        <v>2.625</v>
      </c>
      <c r="BJ15" s="12">
        <f>Table3[[#This Row],[GA]]/Table3[[#This Row],[GP]]</f>
        <v>2.6875</v>
      </c>
      <c r="BK15" s="12">
        <f>(Table3[[#This Row],[GF]]-Table3[[#This Row],[GA]])/Table3[[#This Row],[GP]]</f>
        <v>-6.25E-2</v>
      </c>
      <c r="BL15" s="42" t="str">
        <f>_xlfn.CONCAT(TEXT(Table3[[#This Row],[W_H]], "0"), "-", TEXT(Table3[[#This Row],[RL_H]],"0"), "-", TEXT(Table3[[#This Row],[OTL_H]]+Table3[[#This Row],[SOL_H]], "0"))</f>
        <v>4-6-4</v>
      </c>
      <c r="BM15" s="42" t="str">
        <f>_xlfn.CONCAT(TEXT(Table3[[#This Row],[W_A]], "0"), "-", TEXT(Table3[[#This Row],[RL_A]],"0"), "-", TEXT(Table3[[#This Row],[OTL_A]]+Table3[[#This Row],[SOL_A]], "0"))</f>
        <v>10-3-5</v>
      </c>
      <c r="BN15" s="42">
        <f>((2*(Table3[[#This Row],[W_H]]))+Table3[[#This Row],[OTL_H]]+Table3[[#This Row],[SOL_H]])/(2*Table3[[#This Row],[GP_H]])</f>
        <v>0.42857142857142855</v>
      </c>
      <c r="BO15" s="42">
        <f>((2*(Table3[[#This Row],[W_A]]))+Table3[[#This Row],[OTL_A]]+Table3[[#This Row],[SOL_A]])/(2*Table3[[#This Row],[GP_A]])</f>
        <v>0.69444444444444442</v>
      </c>
      <c r="BP15" s="16">
        <f>(Table3[[#This Row],[W]]*$CX$3)+(Table3[[#This Row],[L]]*$CX$4)+(Table3[[#This Row],[GF]]*$CX$5)+(Table3[[#This Row],[GA]]*$CX$6)</f>
        <v>33.6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88.990039062499989</v>
      </c>
      <c r="BR15" s="16">
        <f>(Table3[[#This Row],[W]]*0.7) + ((Table3[[#This Row],[GF]] - Table3[[#This Row],[GA]])*0.25)+(Table3[[#This Row],[GF]]*0.1)+(Table3[[#This Row],[GA]]*0.05)+(Table3[[#This Row],[L]]*0.3)</f>
        <v>27.4</v>
      </c>
      <c r="BS15" s="16">
        <f>Table3[[#This Row],[TeamCost83]]/Table3[[#This Row],[GP]]</f>
        <v>0.85624999999999996</v>
      </c>
      <c r="BT15">
        <f>COUNTIFS(Table2[AwayTeam],$A15,Table2[PredictedWinner], $A15, Table2[GameIsOver], 1)</f>
        <v>5</v>
      </c>
      <c r="BU15">
        <f>COUNTIFS(Table2[HomeTeam],$A15,Table2[PredictedWinner], $A15, Table2[GameIsOver], 1)</f>
        <v>5</v>
      </c>
      <c r="BV15">
        <f t="shared" si="8"/>
        <v>10</v>
      </c>
      <c r="BW15">
        <f t="shared" si="9"/>
        <v>13</v>
      </c>
      <c r="BX15">
        <f t="shared" si="10"/>
        <v>9</v>
      </c>
      <c r="BY15">
        <f t="shared" si="11"/>
        <v>22</v>
      </c>
      <c r="BZ15">
        <f>Table3[[#This Row],[TimesPredictedWinner]]/Table3[[#This Row],[GP]]</f>
        <v>0.3125</v>
      </c>
      <c r="CB15">
        <v>2014</v>
      </c>
      <c r="CD15" s="1">
        <v>45752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8.2000000000000011</v>
      </c>
      <c r="CJ15">
        <f>SUMIFS(Table2[GamePredictionScore], Table2[HomeTeam], Table3[[#This Row],[Teams]])</f>
        <v>7.6000000000000005</v>
      </c>
      <c r="CK15">
        <f>Table3[[#This Row],[Column4]]+Table3[[#This Row],[Column3]]</f>
        <v>15.8</v>
      </c>
      <c r="CL15">
        <f>Table3[[#This Row],[Column5]]/Table3[[#This Row],[GP]]</f>
        <v>0.49375000000000002</v>
      </c>
      <c r="CR15" t="s">
        <v>461</v>
      </c>
      <c r="CS15">
        <f>CS14/CS2</f>
        <v>0.26704545454545453</v>
      </c>
    </row>
    <row r="16" spans="1:144" x14ac:dyDescent="0.25">
      <c r="A16" t="s">
        <v>15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27</v>
      </c>
      <c r="E16" s="10">
        <f>Table3[[#This Row],[Watched]]/Table3[[#This Row],[GP]]</f>
        <v>0.79411764705882348</v>
      </c>
      <c r="F16">
        <f>COUNTIFS(DataRegularSeason20242025!$N$3:$N$1315,1,DataRegularSeason20242025!$D$3:$D$1315,$A16)</f>
        <v>17</v>
      </c>
      <c r="G16">
        <f>41-Table3[[#This Row],[GP_A]]</f>
        <v>24</v>
      </c>
      <c r="H16">
        <f>COUNTIFS(DataRegularSeason20242025!$E$3:$E$1315,$A16,DataRegularSeason20242025!$N$3:$N$1315,1)</f>
        <v>17</v>
      </c>
      <c r="I16">
        <f>41-Table3[[#This Row],[GP_H]]</f>
        <v>24</v>
      </c>
      <c r="J16">
        <f t="shared" si="0"/>
        <v>34</v>
      </c>
      <c r="K16">
        <f>82-Table3[[#This Row],[GP]]</f>
        <v>48</v>
      </c>
      <c r="L16">
        <f>COUNTIFS(DataRegularSeason20242025!$D$3:$D$1315,$A16, DataRegularSeason20242025!$L$3:$L$1315, $A16,DataRegularSeason20242025!$N$3:$N$1315,1)</f>
        <v>8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9</v>
      </c>
      <c r="Q16">
        <f>COUNTIFS(DataRegularSeason20242025!$D$3:$D$1315,$A16, DataRegularSeason20242025!$S$3:$S$1315, $A16,DataRegularSeason20242025!$M$3:$M$1315,"REG")</f>
        <v>9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12</v>
      </c>
      <c r="U16">
        <f>COUNTIFS(DataRegularSeason20242025!$E$3:$E$1315,$A16, DataRegularSeason20242025!$L$3:$L$1315, $A16,DataRegularSeason20242025!$N$3:$N$1315,1,DataRegularSeason20242025!$M$3:$M$1315,"REG")</f>
        <v>8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5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0.58823529411764708</v>
      </c>
      <c r="AC16">
        <f>Table3[[#This Row],[W_A]]+Table3[[#This Row],[W_H]]</f>
        <v>20</v>
      </c>
      <c r="AD16">
        <f>Table3[[#This Row],[L_A]]+Table3[[#This Row],[L_H]]</f>
        <v>14</v>
      </c>
      <c r="AE16">
        <f>Table3[[#This Row],[RW_A]]+Table3[[#This Row],[RW_H]]</f>
        <v>14</v>
      </c>
      <c r="AF16">
        <f>Table3[[#This Row],[RL_A]]+Table3[[#This Row],[RL_H]]</f>
        <v>14</v>
      </c>
      <c r="AG16">
        <f>Table3[[#This Row],[OTW_A]]+Table3[[#This Row],[OTW_H]]</f>
        <v>4</v>
      </c>
      <c r="AH16">
        <f>Table3[[#This Row],[OTL_A]]+Table3[[#This Row],[OTL_H]]</f>
        <v>0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6-0</v>
      </c>
      <c r="AL16">
        <f>SUM(Table3[[#This Row],[OTW]],Table3[[#This Row],[OTL]],Table3[[#This Row],[SOW]],Table3[[#This Row],[SOL]])</f>
        <v>6</v>
      </c>
      <c r="AM16">
        <f>(Table3[[#This Row],[OTW]]+Table3[[#This Row],[SOW]])/IF(Table3[[#This Row],[Total_ExtraTimes]]=0,1,Table3[[#This Row],[Total_ExtraTimes]])</f>
        <v>1</v>
      </c>
      <c r="AN16">
        <f>Table3[[#This Row],[Total_ExtraTimes]]/MAX(1,Table3[[#This Row],[GP]])</f>
        <v>0.17647058823529413</v>
      </c>
      <c r="AO16">
        <f>(2*(Table3[[#This Row],[W_A]]+Table3[[#This Row],[W_H]]))+Table3[[#This Row],[OTL_A]]+Table3[[#This Row],[SOL_A]]+Table3[[#This Row],[OTL_H]]+Table3[[#This Row],[SOL_H]]</f>
        <v>40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6" s="10">
        <f>Table3[[#This Row],[PTS]]/(2*Table3[[#This Row],[GP]])</f>
        <v>0.58823529411764708</v>
      </c>
      <c r="AR16" s="10">
        <f>Table3[[#This Row],[PTS2]]/(3*Table3[[#This Row],[GP]])</f>
        <v>0.52941176470588236</v>
      </c>
      <c r="AS16">
        <f>(2*Table3[[#This Row],[GR]])+Table3[[#This Row],[PTS]]</f>
        <v>136</v>
      </c>
      <c r="AT16">
        <f>(3*Table3[[#This Row],[GR]])+Table3[[#This Row],[PTS2]]</f>
        <v>198</v>
      </c>
      <c r="AU16">
        <f>Table3[[#This Row],[PTS]]+(2 * Table3[[#This Row],[GR]] * Table3[[#This Row],[PTS%]])</f>
        <v>96.470588235294116</v>
      </c>
      <c r="AV16">
        <f>Table3[[#This Row],[PTS2]]+(3 * Table3[[#This Row],[GR]] * Table3[[#This Row],[PTS%2]])</f>
        <v>130.23529411764707</v>
      </c>
      <c r="AW16" s="15" t="str">
        <f>_xlfn.CONCAT(TEXT(Table3[[#This Row],[W]], "0"), "-", TEXT(Table3[[#This Row],[RL]],"0"), "-", TEXT(Table3[[#This Row],[OTL]]+Table3[[#This Row],[SOL]], "0"))</f>
        <v>20-14-0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54</v>
      </c>
      <c r="AZ16">
        <f>SUMIF(DataRegularSeason20242025!$D$3:$D$1315,$A16, DataRegularSeason20242025!$K$3:$K$1315)</f>
        <v>59</v>
      </c>
      <c r="BA16">
        <f t="shared" si="3"/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59</v>
      </c>
      <c r="BD16">
        <f>SUMIF(DataRegularSeason20242025!$E$3:$E$1315,$A16,DataRegularSeason20242025!$J$3:$J$1315)</f>
        <v>47</v>
      </c>
      <c r="BE16">
        <f t="shared" si="4"/>
        <v>12</v>
      </c>
      <c r="BF16">
        <f t="shared" si="5"/>
        <v>113</v>
      </c>
      <c r="BG16">
        <f t="shared" si="6"/>
        <v>106</v>
      </c>
      <c r="BH16">
        <f t="shared" si="7"/>
        <v>7</v>
      </c>
      <c r="BI16" s="12">
        <f>Table3[[#This Row],[GF]]/Table3[[#This Row],[GP]]</f>
        <v>3.3235294117647061</v>
      </c>
      <c r="BJ16" s="12">
        <f>Table3[[#This Row],[GA]]/Table3[[#This Row],[GP]]</f>
        <v>3.1176470588235294</v>
      </c>
      <c r="BK16" s="12">
        <f>(Table3[[#This Row],[GF]]-Table3[[#This Row],[GA]])/Table3[[#This Row],[GP]]</f>
        <v>0.20588235294117646</v>
      </c>
      <c r="BL16" s="42" t="str">
        <f>_xlfn.CONCAT(TEXT(Table3[[#This Row],[W_H]], "0"), "-", TEXT(Table3[[#This Row],[RL_H]],"0"), "-", TEXT(Table3[[#This Row],[OTL_H]]+Table3[[#This Row],[SOL_H]], "0"))</f>
        <v>12-5-0</v>
      </c>
      <c r="BM16" s="42" t="str">
        <f>_xlfn.CONCAT(TEXT(Table3[[#This Row],[W_A]], "0"), "-", TEXT(Table3[[#This Row],[RL_A]],"0"), "-", TEXT(Table3[[#This Row],[OTL_A]]+Table3[[#This Row],[SOL_A]], "0"))</f>
        <v>8-9-0</v>
      </c>
      <c r="BN16" s="42">
        <f>((2*(Table3[[#This Row],[W_H]]))+Table3[[#This Row],[OTL_H]]+Table3[[#This Row],[SOL_H]])/(2*Table3[[#This Row],[GP_H]])</f>
        <v>0.70588235294117652</v>
      </c>
      <c r="BO16" s="42">
        <f>((2*(Table3[[#This Row],[W_A]]))+Table3[[#This Row],[OTL_A]]+Table3[[#This Row],[SOL_A]])/(2*Table3[[#This Row],[GP_A]])</f>
        <v>0.47058823529411764</v>
      </c>
      <c r="BP16" s="16">
        <f>(Table3[[#This Row],[W]]*$CX$3)+(Table3[[#This Row],[L]]*$CX$4)+(Table3[[#This Row],[GF]]*$CX$5)+(Table3[[#This Row],[GA]]*$CX$6)</f>
        <v>41.75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109.20138408304499</v>
      </c>
      <c r="BR16" s="16">
        <f>(Table3[[#This Row],[W]]*0.7) + ((Table3[[#This Row],[GF]] - Table3[[#This Row],[GA]])*0.25)+(Table3[[#This Row],[GF]]*0.1)+(Table3[[#This Row],[GA]]*0.05)+(Table3[[#This Row],[L]]*0.3)</f>
        <v>36.550000000000004</v>
      </c>
      <c r="BS16" s="16">
        <f>Table3[[#This Row],[TeamCost83]]/Table3[[#This Row],[GP]]</f>
        <v>1.0750000000000002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8</v>
      </c>
      <c r="BV16">
        <f t="shared" si="8"/>
        <v>13</v>
      </c>
      <c r="BW16">
        <f t="shared" si="9"/>
        <v>12</v>
      </c>
      <c r="BX16">
        <f t="shared" si="10"/>
        <v>9</v>
      </c>
      <c r="BY16">
        <f t="shared" si="11"/>
        <v>21</v>
      </c>
      <c r="BZ16">
        <f>Table3[[#This Row],[TimesPredictedWinner]]/Table3[[#This Row],[GP]]</f>
        <v>0.38235294117647056</v>
      </c>
      <c r="CB16">
        <v>2011</v>
      </c>
      <c r="CC16" s="1">
        <v>45752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7.2</v>
      </c>
      <c r="CJ16">
        <f>SUMIFS(Table2[GamePredictionScore], Table2[HomeTeam], Table3[[#This Row],[Teams]])</f>
        <v>9.4</v>
      </c>
      <c r="CK16">
        <f>Table3[[#This Row],[Column4]]+Table3[[#This Row],[Column3]]</f>
        <v>16.600000000000001</v>
      </c>
      <c r="CL16">
        <f>Table3[[#This Row],[Column5]]/Table3[[#This Row],[GP]]</f>
        <v>0.4882352941176471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13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27</v>
      </c>
      <c r="E17" s="10">
        <f>Table3[[#This Row],[Watched]]/Table3[[#This Row],[GP]]</f>
        <v>0.84375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18</v>
      </c>
      <c r="I17">
        <f>41-Table3[[#This Row],[GP_H]]</f>
        <v>23</v>
      </c>
      <c r="J17">
        <f t="shared" si="0"/>
        <v>32</v>
      </c>
      <c r="K17">
        <f>82-Table3[[#This Row],[GP]]</f>
        <v>50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7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7</v>
      </c>
      <c r="Q17">
        <f>COUNTIFS(DataRegularSeason20242025!$D$3:$D$1315,$A17, DataRegularSeason20242025!$S$3:$S$1315, $A17,DataRegularSeason20242025!$M$3:$M$1315,"REG")</f>
        <v>7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10</v>
      </c>
      <c r="U17">
        <f>COUNTIFS(DataRegularSeason20242025!$E$3:$E$1315,$A17, DataRegularSeason20242025!$L$3:$L$1315, $A17,DataRegularSeason20242025!$N$3:$N$1315,1,DataRegularSeason20242025!$M$3:$M$1315,"REG")</f>
        <v>8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0.53125</v>
      </c>
      <c r="AC17">
        <f>Table3[[#This Row],[W_A]]+Table3[[#This Row],[W_H]]</f>
        <v>17</v>
      </c>
      <c r="AD17">
        <f>Table3[[#This Row],[L_A]]+Table3[[#This Row],[L_H]]</f>
        <v>15</v>
      </c>
      <c r="AE17">
        <f>Table3[[#This Row],[RW_A]]+Table3[[#This Row],[RW_H]]</f>
        <v>15</v>
      </c>
      <c r="AF17">
        <f>Table3[[#This Row],[RL_A]]+Table3[[#This Row],[RL_H]]</f>
        <v>13</v>
      </c>
      <c r="AG17">
        <f>Table3[[#This Row],[OTW_A]]+Table3[[#This Row],[OTW_H]]</f>
        <v>1</v>
      </c>
      <c r="AH17">
        <f>Table3[[#This Row],[OTL_A]]+Table3[[#This Row],[OTL_H]]</f>
        <v>1</v>
      </c>
      <c r="AI17">
        <f>Table3[[#This Row],[SOW_A]]+Table3[[#This Row],[SOW_H]]</f>
        <v>1</v>
      </c>
      <c r="AJ17">
        <f>Table3[[#This Row],[SOL_A]]+Table3[[#This Row],[SOL_H]]</f>
        <v>1</v>
      </c>
      <c r="AK17" s="15" t="str">
        <f>_xlfn.CONCAT(TEXT(Table3[[#This Row],[OTW]]+Table3[[#This Row],[SOW]], "0"), "-", TEXT(Table3[[#This Row],[OTL]]+Table3[[#This Row],[SOL]],"0"))</f>
        <v>2-2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0.125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7" s="10">
        <f>Table3[[#This Row],[PTS]]/(2*Table3[[#This Row],[GP]])</f>
        <v>0.5625</v>
      </c>
      <c r="AR17" s="10">
        <f>Table3[[#This Row],[PTS2]]/(3*Table3[[#This Row],[GP]])</f>
        <v>0.53125</v>
      </c>
      <c r="AS17">
        <f>(2*Table3[[#This Row],[GR]])+Table3[[#This Row],[PTS]]</f>
        <v>136</v>
      </c>
      <c r="AT17">
        <f>(3*Table3[[#This Row],[GR]])+Table3[[#This Row],[PTS2]]</f>
        <v>201</v>
      </c>
      <c r="AU17">
        <f>Table3[[#This Row],[PTS]]+(2 * Table3[[#This Row],[GR]] * Table3[[#This Row],[PTS%]])</f>
        <v>92.25</v>
      </c>
      <c r="AV17">
        <f>Table3[[#This Row],[PTS2]]+(3 * Table3[[#This Row],[GR]] * Table3[[#This Row],[PTS%2]])</f>
        <v>130.6875</v>
      </c>
      <c r="AW17" s="15" t="str">
        <f>_xlfn.CONCAT(TEXT(Table3[[#This Row],[W]], "0"), "-", TEXT(Table3[[#This Row],[RL]],"0"), "-", TEXT(Table3[[#This Row],[OTL]]+Table3[[#This Row],[SOL]], "0"))</f>
        <v>17-13-2</v>
      </c>
      <c r="AX17">
        <f>COUNTIFS(DataRegularSeason20242025!$D$3:$D$1315,Table3[[#This Row],[Teams]],DataRegularSeason20242025!$K$3:$K$1315,0)</f>
        <v>1</v>
      </c>
      <c r="AY17">
        <f>SUMIF(DataRegularSeason20242025!$D$3:$D$1315,$A17, DataRegularSeason20242025!$J$3:$J$1315)</f>
        <v>43</v>
      </c>
      <c r="AZ17">
        <f>SUMIF(DataRegularSeason20242025!$D$3:$D$1315,$A17, DataRegularSeason20242025!$K$3:$K$1315)</f>
        <v>46</v>
      </c>
      <c r="BA17">
        <f t="shared" si="3"/>
        <v>-3</v>
      </c>
      <c r="BB17">
        <f>COUNTIFS(DataRegularSeason20242025!$E$3:$E$1315,Table3[[#This Row],[Teams]],DataRegularSeason20242025!$J$3:$J$1315,0)</f>
        <v>2</v>
      </c>
      <c r="BC17">
        <f>SUMIF(DataRegularSeason20242025!$E$3:$E$1315,$A17,DataRegularSeason20242025!$K$3:$K$1315)</f>
        <v>60</v>
      </c>
      <c r="BD17">
        <f>SUMIF(DataRegularSeason20242025!$E$3:$E$1315,$A17,DataRegularSeason20242025!$J$3:$J$1315)</f>
        <v>55</v>
      </c>
      <c r="BE17">
        <f t="shared" si="4"/>
        <v>5</v>
      </c>
      <c r="BF17">
        <f t="shared" si="5"/>
        <v>103</v>
      </c>
      <c r="BG17">
        <f t="shared" si="6"/>
        <v>101</v>
      </c>
      <c r="BH17">
        <f t="shared" si="7"/>
        <v>2</v>
      </c>
      <c r="BI17" s="12">
        <f>Table3[[#This Row],[GF]]/Table3[[#This Row],[GP]]</f>
        <v>3.21875</v>
      </c>
      <c r="BJ17" s="12">
        <f>Table3[[#This Row],[GA]]/Table3[[#This Row],[GP]]</f>
        <v>3.15625</v>
      </c>
      <c r="BK17" s="12">
        <f>(Table3[[#This Row],[GF]]-Table3[[#This Row],[GA]])/Table3[[#This Row],[GP]]</f>
        <v>6.25E-2</v>
      </c>
      <c r="BL17" s="42" t="str">
        <f>_xlfn.CONCAT(TEXT(Table3[[#This Row],[W_H]], "0"), "-", TEXT(Table3[[#This Row],[RL_H]],"0"), "-", TEXT(Table3[[#This Row],[OTL_H]]+Table3[[#This Row],[SOL_H]], "0"))</f>
        <v>10-6-2</v>
      </c>
      <c r="BM17" s="42" t="str">
        <f>_xlfn.CONCAT(TEXT(Table3[[#This Row],[W_A]], "0"), "-", TEXT(Table3[[#This Row],[RL_A]],"0"), "-", TEXT(Table3[[#This Row],[OTL_A]]+Table3[[#This Row],[SOL_A]], "0"))</f>
        <v>7-7-0</v>
      </c>
      <c r="BN17" s="42">
        <f>((2*(Table3[[#This Row],[W_H]]))+Table3[[#This Row],[OTL_H]]+Table3[[#This Row],[SOL_H]])/(2*Table3[[#This Row],[GP_H]])</f>
        <v>0.61111111111111116</v>
      </c>
      <c r="BO17" s="42">
        <f>((2*(Table3[[#This Row],[W_A]]))+Table3[[#This Row],[OTL_A]]+Table3[[#This Row],[SOL_A]])/(2*Table3[[#This Row],[GP_A]])</f>
        <v>0.5</v>
      </c>
      <c r="BP17" s="16">
        <f>(Table3[[#This Row],[W]]*$CX$3)+(Table3[[#This Row],[L]]*$CX$4)+(Table3[[#This Row],[GF]]*$CX$5)+(Table3[[#This Row],[GA]]*$CX$6)</f>
        <v>38.549999999999997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105.07890624999999</v>
      </c>
      <c r="BR17" s="16">
        <f>(Table3[[#This Row],[W]]*0.7) + ((Table3[[#This Row],[GF]] - Table3[[#This Row],[GA]])*0.25)+(Table3[[#This Row],[GF]]*0.1)+(Table3[[#This Row],[GA]]*0.05)+(Table3[[#This Row],[L]]*0.3)</f>
        <v>32.25</v>
      </c>
      <c r="BS17" s="16">
        <f>Table3[[#This Row],[TeamCost83]]/Table3[[#This Row],[GP]]</f>
        <v>1.0078125</v>
      </c>
      <c r="BT17">
        <f>COUNTIFS(Table2[AwayTeam],$A17,Table2[PredictedWinner], $A17, Table2[GameIsOver], 1)</f>
        <v>7</v>
      </c>
      <c r="BU17">
        <f>COUNTIFS(Table2[HomeTeam],$A17,Table2[PredictedWinner], $A17, Table2[GameIsOver], 1)</f>
        <v>12</v>
      </c>
      <c r="BV17">
        <f t="shared" si="8"/>
        <v>19</v>
      </c>
      <c r="BW17">
        <f t="shared" si="9"/>
        <v>7</v>
      </c>
      <c r="BX17">
        <f t="shared" si="10"/>
        <v>6</v>
      </c>
      <c r="BY17">
        <f t="shared" si="11"/>
        <v>13</v>
      </c>
      <c r="BZ17">
        <f>Table3[[#This Row],[TimesPredictedWinner]]/Table3[[#This Row],[GP]]</f>
        <v>0.59375</v>
      </c>
      <c r="CB17">
        <v>2025</v>
      </c>
      <c r="CD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9</v>
      </c>
      <c r="CJ17">
        <f>SUMIFS(Table2[GamePredictionScore], Table2[HomeTeam], Table3[[#This Row],[Teams]])</f>
        <v>10.3</v>
      </c>
      <c r="CK17">
        <f>Table3[[#This Row],[Column4]]+Table3[[#This Row],[Column3]]</f>
        <v>19.3</v>
      </c>
      <c r="CL17">
        <f>Table3[[#This Row],[Column5]]/Table3[[#This Row],[GP]]</f>
        <v>0.60312500000000002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31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27</v>
      </c>
      <c r="E18" s="10">
        <f>Table3[[#This Row],[Watched]]/Table3[[#This Row],[GP]]</f>
        <v>0.81818181818181823</v>
      </c>
      <c r="F18">
        <f>COUNTIFS(DataRegularSeason20242025!$N$3:$N$1315,1,DataRegularSeason20242025!$D$3:$D$1315,$A18)</f>
        <v>16</v>
      </c>
      <c r="G18">
        <f>41-Table3[[#This Row],[GP_A]]</f>
        <v>25</v>
      </c>
      <c r="H18">
        <f>COUNTIFS(DataRegularSeason20242025!$E$3:$E$1315,$A18,DataRegularSeason20242025!$N$3:$N$1315,1)</f>
        <v>17</v>
      </c>
      <c r="I18">
        <f>41-Table3[[#This Row],[GP_H]]</f>
        <v>24</v>
      </c>
      <c r="J18">
        <f t="shared" si="0"/>
        <v>33</v>
      </c>
      <c r="K18">
        <f>82-Table3[[#This Row],[GP]]</f>
        <v>49</v>
      </c>
      <c r="L18">
        <f>COUNTIFS(DataRegularSeason20242025!$D$3:$D$1315,$A18, DataRegularSeason20242025!$L$3:$L$1315, $A18,DataRegularSeason20242025!$N$3:$N$1315,1)</f>
        <v>8</v>
      </c>
      <c r="M18">
        <f>COUNTIFS(DataRegularSeason20242025!$D$3:$D$1315,$A18, DataRegularSeason20242025!$L$3:$L$1315, $A18,DataRegularSeason20242025!$N$3:$N$1315,1,DataRegularSeason20242025!$M$3:$M$1315,"REG")</f>
        <v>6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 t="shared" si="1"/>
        <v>8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10</v>
      </c>
      <c r="U18">
        <f>COUNTIFS(DataRegularSeason20242025!$E$3:$E$1315,$A18, DataRegularSeason20242025!$L$3:$L$1315, $A18,DataRegularSeason20242025!$N$3:$N$1315,1,DataRegularSeason20242025!$M$3:$M$1315,"REG")</f>
        <v>6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7</v>
      </c>
      <c r="Y18">
        <f>COUNTIFS(DataRegularSeason20242025!$E$3:$E$1315,$A18, DataRegularSeason20242025!$S$3:$S$1315, $A18,DataRegularSeason20242025!$M$3:$M$1315,"REG")</f>
        <v>6</v>
      </c>
      <c r="Z18">
        <f>COUNTIFS(DataRegularSeason20242025!$E$3:$E$1315,$A18, DataRegularSeason20242025!$S$3:$S$1315, $A18,DataRegularSeason20242025!$M$3:$M$1315,"OT")</f>
        <v>1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0.54545454545454541</v>
      </c>
      <c r="AC18">
        <f>Table3[[#This Row],[W_A]]+Table3[[#This Row],[W_H]]</f>
        <v>18</v>
      </c>
      <c r="AD18">
        <f>Table3[[#This Row],[L_A]]+Table3[[#This Row],[L_H]]</f>
        <v>15</v>
      </c>
      <c r="AE18">
        <f>Table3[[#This Row],[RW_A]]+Table3[[#This Row],[RW_H]]</f>
        <v>12</v>
      </c>
      <c r="AF18">
        <f>Table3[[#This Row],[RL_A]]+Table3[[#This Row],[RL_H]]</f>
        <v>14</v>
      </c>
      <c r="AG18">
        <f>Table3[[#This Row],[OTW_A]]+Table3[[#This Row],[OTW_H]]</f>
        <v>4</v>
      </c>
      <c r="AH18">
        <f>Table3[[#This Row],[OTL_A]]+Table3[[#This Row],[OTL_H]]</f>
        <v>1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6-1</v>
      </c>
      <c r="AL18">
        <f>SUM(Table3[[#This Row],[OTW]],Table3[[#This Row],[OTL]],Table3[[#This Row],[SOW]],Table3[[#This Row],[SOL]])</f>
        <v>7</v>
      </c>
      <c r="AM18">
        <f>(Table3[[#This Row],[OTW]]+Table3[[#This Row],[SOW]])/IF(Table3[[#This Row],[Total_ExtraTimes]]=0,1,Table3[[#This Row],[Total_ExtraTimes]])</f>
        <v>0.8571428571428571</v>
      </c>
      <c r="AN18">
        <f>Table3[[#This Row],[Total_ExtraTimes]]/MAX(1,Table3[[#This Row],[GP]])</f>
        <v>0.21212121212121213</v>
      </c>
      <c r="AO18">
        <f>(2*(Table3[[#This Row],[W_A]]+Table3[[#This Row],[W_H]]))+Table3[[#This Row],[OTL_A]]+Table3[[#This Row],[SOL_A]]+Table3[[#This Row],[OTL_H]]+Table3[[#This Row],[SOL_H]]</f>
        <v>37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8" s="10">
        <f>Table3[[#This Row],[PTS]]/(2*Table3[[#This Row],[GP]])</f>
        <v>0.56060606060606055</v>
      </c>
      <c r="AR18" s="10">
        <f>Table3[[#This Row],[PTS2]]/(3*Table3[[#This Row],[GP]])</f>
        <v>0.49494949494949497</v>
      </c>
      <c r="AS18">
        <f>(2*Table3[[#This Row],[GR]])+Table3[[#This Row],[PTS]]</f>
        <v>135</v>
      </c>
      <c r="AT18">
        <f>(3*Table3[[#This Row],[GR]])+Table3[[#This Row],[PTS2]]</f>
        <v>196</v>
      </c>
      <c r="AU18">
        <f>Table3[[#This Row],[PTS]]+(2 * Table3[[#This Row],[GR]] * Table3[[#This Row],[PTS%]])</f>
        <v>91.939393939393938</v>
      </c>
      <c r="AV18">
        <f>Table3[[#This Row],[PTS2]]+(3 * Table3[[#This Row],[GR]] * Table3[[#This Row],[PTS%2]])</f>
        <v>121.75757575757576</v>
      </c>
      <c r="AW18" s="15" t="str">
        <f>_xlfn.CONCAT(TEXT(Table3[[#This Row],[W]], "0"), "-", TEXT(Table3[[#This Row],[RL]],"0"), "-", TEXT(Table3[[#This Row],[OTL]]+Table3[[#This Row],[SOL]], "0"))</f>
        <v>18-14-1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55</v>
      </c>
      <c r="BA18">
        <f t="shared" si="3"/>
        <v>-7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49</v>
      </c>
      <c r="BD18">
        <f>SUMIF(DataRegularSeason20242025!$E$3:$E$1315,$A18,DataRegularSeason20242025!$J$3:$J$1315)</f>
        <v>48</v>
      </c>
      <c r="BE18">
        <f t="shared" si="4"/>
        <v>1</v>
      </c>
      <c r="BF18">
        <f t="shared" si="5"/>
        <v>97</v>
      </c>
      <c r="BG18">
        <f t="shared" si="6"/>
        <v>103</v>
      </c>
      <c r="BH18">
        <f t="shared" si="7"/>
        <v>-6</v>
      </c>
      <c r="BI18" s="12">
        <f>Table3[[#This Row],[GF]]/Table3[[#This Row],[GP]]</f>
        <v>2.9393939393939394</v>
      </c>
      <c r="BJ18" s="12">
        <f>Table3[[#This Row],[GA]]/Table3[[#This Row],[GP]]</f>
        <v>3.1212121212121211</v>
      </c>
      <c r="BK18" s="12">
        <f>(Table3[[#This Row],[GF]]-Table3[[#This Row],[GA]])/Table3[[#This Row],[GP]]</f>
        <v>-0.18181818181818182</v>
      </c>
      <c r="BL18" s="42" t="str">
        <f>_xlfn.CONCAT(TEXT(Table3[[#This Row],[W_H]], "0"), "-", TEXT(Table3[[#This Row],[RL_H]],"0"), "-", TEXT(Table3[[#This Row],[OTL_H]]+Table3[[#This Row],[SOL_H]], "0"))</f>
        <v>10-6-1</v>
      </c>
      <c r="BM18" s="42" t="str">
        <f>_xlfn.CONCAT(TEXT(Table3[[#This Row],[W_A]], "0"), "-", TEXT(Table3[[#This Row],[RL_A]],"0"), "-", TEXT(Table3[[#This Row],[OTL_A]]+Table3[[#This Row],[SOL_A]], "0"))</f>
        <v>8-8-0</v>
      </c>
      <c r="BN18" s="42">
        <f>((2*(Table3[[#This Row],[W_H]]))+Table3[[#This Row],[OTL_H]]+Table3[[#This Row],[SOL_H]])/(2*Table3[[#This Row],[GP_H]])</f>
        <v>0.61764705882352944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38.349999999999994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101.12254361799816</v>
      </c>
      <c r="BR18" s="16">
        <f>(Table3[[#This Row],[W]]*0.7) + ((Table3[[#This Row],[GF]] - Table3[[#This Row],[GA]])*0.25)+(Table3[[#This Row],[GF]]*0.1)+(Table3[[#This Row],[GA]]*0.05)+(Table3[[#This Row],[L]]*0.3)</f>
        <v>30.450000000000003</v>
      </c>
      <c r="BS18" s="16">
        <f>Table3[[#This Row],[TeamCost83]]/Table3[[#This Row],[GP]]</f>
        <v>0.92272727272727284</v>
      </c>
      <c r="BT18">
        <f>COUNTIFS(Table2[AwayTeam],$A18,Table2[PredictedWinner], $A18, Table2[GameIsOver], 1)</f>
        <v>8</v>
      </c>
      <c r="BU18">
        <f>COUNTIFS(Table2[HomeTeam],$A18,Table2[PredictedWinner], $A18, Table2[GameIsOver], 1)</f>
        <v>14</v>
      </c>
      <c r="BV18">
        <f t="shared" si="8"/>
        <v>22</v>
      </c>
      <c r="BW18">
        <f t="shared" si="9"/>
        <v>8</v>
      </c>
      <c r="BX18">
        <f t="shared" si="10"/>
        <v>3</v>
      </c>
      <c r="BY18">
        <f t="shared" si="11"/>
        <v>11</v>
      </c>
      <c r="BZ18">
        <f>Table3[[#This Row],[TimesPredictedWinner]]/Table3[[#This Row],[GP]]</f>
        <v>0.66666666666666663</v>
      </c>
      <c r="CB18">
        <v>2003</v>
      </c>
      <c r="CD18" s="1">
        <v>45755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6.8999999999999986</v>
      </c>
      <c r="CJ18">
        <f>SUMIFS(Table2[GamePredictionScore], Table2[HomeTeam], Table3[[#This Row],[Teams]])</f>
        <v>7.8999999999999986</v>
      </c>
      <c r="CK18">
        <f>Table3[[#This Row],[Column4]]+Table3[[#This Row],[Column3]]</f>
        <v>14.799999999999997</v>
      </c>
      <c r="CL18">
        <f>Table3[[#This Row],[Column5]]/Table3[[#This Row],[GP]]</f>
        <v>0.44848484848484838</v>
      </c>
      <c r="CR18">
        <f>LARGE($AO$2:$AO$33,1)</f>
        <v>55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22</v>
      </c>
      <c r="B19" t="s">
        <v>90</v>
      </c>
      <c r="C19" t="s">
        <v>93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33</v>
      </c>
      <c r="E19" s="10">
        <f>Table3[[#This Row],[Watched]]/Table3[[#This Row],[GP]]</f>
        <v>0.97058823529411764</v>
      </c>
      <c r="F19">
        <f>COUNTIFS(DataRegularSeason20242025!$N$3:$N$1315,1,DataRegularSeason20242025!$D$3:$D$1315,$A19)</f>
        <v>20</v>
      </c>
      <c r="G19">
        <f>41-Table3[[#This Row],[GP_A]]</f>
        <v>21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 t="shared" si="0"/>
        <v>34</v>
      </c>
      <c r="K19">
        <f>82-Table3[[#This Row],[GP]]</f>
        <v>48</v>
      </c>
      <c r="L19">
        <f>COUNTIFS(DataRegularSeason20242025!$D$3:$D$1315,$A19, DataRegularSeason20242025!$L$3:$L$1315, $A19,DataRegularSeason20242025!$N$3:$N$1315,1)</f>
        <v>8</v>
      </c>
      <c r="M19">
        <f>COUNTIFS(DataRegularSeason20242025!$D$3:$D$1315,$A19, DataRegularSeason20242025!$L$3:$L$1315, $A19,DataRegularSeason20242025!$N$3:$N$1315,1,DataRegularSeason20242025!$M$3:$M$1315,"REG")</f>
        <v>5</v>
      </c>
      <c r="N19">
        <f>COUNTIFS(DataRegularSeason20242025!$D$3:$D$1315,$A19, DataRegularSeason20242025!$L$3:$L$1315, $A19,DataRegularSeason20242025!$N$3:$N$1315,1,DataRegularSeason20242025!$M$3:$M$1315,"OT")</f>
        <v>3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12</v>
      </c>
      <c r="Q19">
        <f>COUNTIFS(DataRegularSeason20242025!$D$3:$D$1315,$A19, DataRegularSeason20242025!$S$3:$S$1315, $A19,DataRegularSeason20242025!$M$3:$M$1315,"REG")</f>
        <v>9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8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2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6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2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0.47058823529411764</v>
      </c>
      <c r="AC19">
        <f>Table3[[#This Row],[W_A]]+Table3[[#This Row],[W_H]]</f>
        <v>16</v>
      </c>
      <c r="AD19">
        <f>Table3[[#This Row],[L_A]]+Table3[[#This Row],[L_H]]</f>
        <v>18</v>
      </c>
      <c r="AE19">
        <f>Table3[[#This Row],[RW_A]]+Table3[[#This Row],[RW_H]]</f>
        <v>11</v>
      </c>
      <c r="AF19">
        <f>Table3[[#This Row],[RL_A]]+Table3[[#This Row],[RL_H]]</f>
        <v>12</v>
      </c>
      <c r="AG19">
        <f>Table3[[#This Row],[OTW_A]]+Table3[[#This Row],[OTW_H]]</f>
        <v>5</v>
      </c>
      <c r="AH19">
        <f>Table3[[#This Row],[OTL_A]]+Table3[[#This Row],[OTL_H]]</f>
        <v>4</v>
      </c>
      <c r="AI19">
        <f>Table3[[#This Row],[SOW_A]]+Table3[[#This Row],[SOW_H]]</f>
        <v>0</v>
      </c>
      <c r="AJ19">
        <f>Table3[[#This Row],[SOL_A]]+Table3[[#This Row],[SOL_H]]</f>
        <v>2</v>
      </c>
      <c r="AK19" s="15" t="str">
        <f>_xlfn.CONCAT(TEXT(Table3[[#This Row],[OTW]]+Table3[[#This Row],[SOW]], "0"), "-", TEXT(Table3[[#This Row],[OTL]]+Table3[[#This Row],[SOL]],"0"))</f>
        <v>5-6</v>
      </c>
      <c r="AL19">
        <f>SUM(Table3[[#This Row],[OTW]],Table3[[#This Row],[OTL]],Table3[[#This Row],[SOW]],Table3[[#This Row],[SOL]])</f>
        <v>11</v>
      </c>
      <c r="AM19">
        <f>(Table3[[#This Row],[OTW]]+Table3[[#This Row],[SOW]])/IF(Table3[[#This Row],[Total_ExtraTimes]]=0,1,Table3[[#This Row],[Total_ExtraTimes]])</f>
        <v>0.45454545454545453</v>
      </c>
      <c r="AN19">
        <f>Table3[[#This Row],[Total_ExtraTimes]]/MAX(1,Table3[[#This Row],[GP]])</f>
        <v>0.3235294117647059</v>
      </c>
      <c r="AO19">
        <f>(2*(Table3[[#This Row],[W_A]]+Table3[[#This Row],[W_H]]))+Table3[[#This Row],[OTL_A]]+Table3[[#This Row],[SOL_A]]+Table3[[#This Row],[OTL_H]]+Table3[[#This Row],[SOL_H]]</f>
        <v>38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9" s="10">
        <f>Table3[[#This Row],[PTS]]/(2*Table3[[#This Row],[GP]])</f>
        <v>0.55882352941176472</v>
      </c>
      <c r="AR19" s="10">
        <f>Table3[[#This Row],[PTS2]]/(3*Table3[[#This Row],[GP]])</f>
        <v>0.48039215686274511</v>
      </c>
      <c r="AS19">
        <f>(2*Table3[[#This Row],[GR]])+Table3[[#This Row],[PTS]]</f>
        <v>134</v>
      </c>
      <c r="AT19">
        <f>(3*Table3[[#This Row],[GR]])+Table3[[#This Row],[PTS2]]</f>
        <v>193</v>
      </c>
      <c r="AU19">
        <f>Table3[[#This Row],[PTS]]+(2 * Table3[[#This Row],[GR]] * Table3[[#This Row],[PTS%]])</f>
        <v>91.64705882352942</v>
      </c>
      <c r="AV19">
        <f>Table3[[#This Row],[PTS2]]+(3 * Table3[[#This Row],[GR]] * Table3[[#This Row],[PTS%2]])</f>
        <v>118.17647058823529</v>
      </c>
      <c r="AW19" s="15" t="str">
        <f>_xlfn.CONCAT(TEXT(Table3[[#This Row],[W]], "0"), "-", TEXT(Table3[[#This Row],[RL]],"0"), "-", TEXT(Table3[[#This Row],[OTL]]+Table3[[#This Row],[SOL]], "0"))</f>
        <v>16-12-6</v>
      </c>
      <c r="AX19">
        <f>COUNTIFS(DataRegularSeason20242025!$D$3:$D$1315,Table3[[#This Row],[Teams]],DataRegularSeason20242025!$K$3:$K$1315,0)</f>
        <v>2</v>
      </c>
      <c r="AY19">
        <f>SUMIF(DataRegularSeason20242025!$D$3:$D$1315,$A19, DataRegularSeason20242025!$J$3:$J$1315)</f>
        <v>61</v>
      </c>
      <c r="AZ19">
        <f>SUMIF(DataRegularSeason20242025!$D$3:$D$1315,$A19, DataRegularSeason20242025!$K$3:$K$1315)</f>
        <v>66</v>
      </c>
      <c r="BA19">
        <f t="shared" si="3"/>
        <v>-5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55</v>
      </c>
      <c r="BD19">
        <f>SUMIF(DataRegularSeason20242025!$E$3:$E$1315,$A19,DataRegularSeason20242025!$J$3:$J$1315)</f>
        <v>52</v>
      </c>
      <c r="BE19">
        <f t="shared" si="4"/>
        <v>3</v>
      </c>
      <c r="BF19">
        <f t="shared" si="5"/>
        <v>116</v>
      </c>
      <c r="BG19">
        <f t="shared" si="6"/>
        <v>118</v>
      </c>
      <c r="BH19">
        <f t="shared" si="7"/>
        <v>-2</v>
      </c>
      <c r="BI19" s="12">
        <f>Table3[[#This Row],[GF]]/Table3[[#This Row],[GP]]</f>
        <v>3.4117647058823528</v>
      </c>
      <c r="BJ19" s="12">
        <f>Table3[[#This Row],[GA]]/Table3[[#This Row],[GP]]</f>
        <v>3.4705882352941178</v>
      </c>
      <c r="BK19" s="12">
        <f>(Table3[[#This Row],[GF]]-Table3[[#This Row],[GA]])/Table3[[#This Row],[GP]]</f>
        <v>-5.8823529411764705E-2</v>
      </c>
      <c r="BL19" s="42" t="str">
        <f>_xlfn.CONCAT(TEXT(Table3[[#This Row],[W_H]], "0"), "-", TEXT(Table3[[#This Row],[RL_H]],"0"), "-", TEXT(Table3[[#This Row],[OTL_H]]+Table3[[#This Row],[SOL_H]], "0"))</f>
        <v>8-3-3</v>
      </c>
      <c r="BM19" s="42" t="str">
        <f>_xlfn.CONCAT(TEXT(Table3[[#This Row],[W_A]], "0"), "-", TEXT(Table3[[#This Row],[RL_A]],"0"), "-", TEXT(Table3[[#This Row],[OTL_A]]+Table3[[#This Row],[SOL_A]], "0"))</f>
        <v>8-9-3</v>
      </c>
      <c r="BN19" s="42">
        <f>((2*(Table3[[#This Row],[W_H]]))+Table3[[#This Row],[OTL_H]]+Table3[[#This Row],[SOL_H]])/(2*Table3[[#This Row],[GP_H]])</f>
        <v>0.6785714285714286</v>
      </c>
      <c r="BO19" s="42">
        <f>((2*(Table3[[#This Row],[W_A]]))+Table3[[#This Row],[OTL_A]]+Table3[[#This Row],[SOL_A]])/(2*Table3[[#This Row],[GP_A]])</f>
        <v>0.47499999999999998</v>
      </c>
      <c r="BP19" s="16">
        <f>(Table3[[#This Row],[W]]*$CX$3)+(Table3[[#This Row],[L]]*$CX$4)+(Table3[[#This Row],[GF]]*$CX$5)+(Table3[[#This Row],[GA]]*$CX$6)</f>
        <v>42.599999999999994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114.01660899653977</v>
      </c>
      <c r="BR19" s="16">
        <f>(Table3[[#This Row],[W]]*0.7) + ((Table3[[#This Row],[GF]] - Table3[[#This Row],[GA]])*0.25)+(Table3[[#This Row],[GF]]*0.1)+(Table3[[#This Row],[GA]]*0.05)+(Table3[[#This Row],[L]]*0.3)</f>
        <v>33.6</v>
      </c>
      <c r="BS19" s="16">
        <f>Table3[[#This Row],[TeamCost83]]/Table3[[#This Row],[GP]]</f>
        <v>0.9882352941176471</v>
      </c>
      <c r="BT19">
        <f>COUNTIFS(Table2[AwayTeam],$A19,Table2[PredictedWinner], $A19, Table2[GameIsOver], 1)</f>
        <v>13</v>
      </c>
      <c r="BU19">
        <f>COUNTIFS(Table2[HomeTeam],$A19,Table2[PredictedWinner], $A19, Table2[GameIsOver], 1)</f>
        <v>10</v>
      </c>
      <c r="BV19">
        <f t="shared" si="8"/>
        <v>23</v>
      </c>
      <c r="BW19">
        <f t="shared" si="9"/>
        <v>7</v>
      </c>
      <c r="BX19">
        <f t="shared" si="10"/>
        <v>4</v>
      </c>
      <c r="BY19">
        <f t="shared" si="11"/>
        <v>11</v>
      </c>
      <c r="BZ19">
        <f>Table3[[#This Row],[TimesPredictedWinner]]/Table3[[#This Row],[GP]]</f>
        <v>0.67647058823529416</v>
      </c>
      <c r="CB19">
        <v>1990</v>
      </c>
      <c r="CD19" s="1">
        <v>45758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11.100000000000001</v>
      </c>
      <c r="CJ19">
        <f>SUMIFS(Table2[GamePredictionScore], Table2[HomeTeam], Table3[[#This Row],[Teams]])</f>
        <v>6.8</v>
      </c>
      <c r="CK19">
        <f>Table3[[#This Row],[Column4]]+Table3[[#This Row],[Column3]]</f>
        <v>17.900000000000002</v>
      </c>
      <c r="CL19">
        <f>Table3[[#This Row],[Column5]]/Table3[[#This Row],[GP]]</f>
        <v>0.52647058823529413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17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30</v>
      </c>
      <c r="E20" s="10">
        <f>Table3[[#This Row],[Watched]]/Table3[[#This Row],[GP]]</f>
        <v>0.9375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20</v>
      </c>
      <c r="I20">
        <f>41-Table3[[#This Row],[GP_H]]</f>
        <v>21</v>
      </c>
      <c r="J20">
        <f t="shared" si="0"/>
        <v>32</v>
      </c>
      <c r="K20">
        <f>82-Table3[[#This Row],[GP]]</f>
        <v>50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7</v>
      </c>
      <c r="Q20">
        <f>COUNTIFS(DataRegularSeason20242025!$D$3:$D$1315,$A20, DataRegularSeason20242025!$S$3:$S$1315, $A20,DataRegularSeason20242025!$M$3:$M$1315,"REG")</f>
        <v>7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10</v>
      </c>
      <c r="U20">
        <f>COUNTIFS(DataRegularSeason20242025!$E$3:$E$1315,$A20, DataRegularSeason20242025!$L$3:$L$1315, $A20,DataRegularSeason20242025!$N$3:$N$1315,1,DataRegularSeason20242025!$M$3:$M$1315,"REG")</f>
        <v>7</v>
      </c>
      <c r="V20">
        <f>COUNTIFS(DataRegularSeason20242025!$E$3:$E$1315,$A20, DataRegularSeason20242025!$L$3:$L$1315, $A20,DataRegularSeason20242025!$N$3:$N$1315,1,DataRegularSeason20242025!$M$3:$M$1315,"OT")</f>
        <v>3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10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4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0.46875</v>
      </c>
      <c r="AC20">
        <f>Table3[[#This Row],[W_A]]+Table3[[#This Row],[W_H]]</f>
        <v>15</v>
      </c>
      <c r="AD20">
        <f>Table3[[#This Row],[L_A]]+Table3[[#This Row],[L_H]]</f>
        <v>17</v>
      </c>
      <c r="AE20">
        <f>Table3[[#This Row],[RW_A]]+Table3[[#This Row],[RW_H]]</f>
        <v>11</v>
      </c>
      <c r="AF20">
        <f>Table3[[#This Row],[RL_A]]+Table3[[#This Row],[RL_H]]</f>
        <v>12</v>
      </c>
      <c r="AG20">
        <f>Table3[[#This Row],[OTW_A]]+Table3[[#This Row],[OTW_H]]</f>
        <v>4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4-5</v>
      </c>
      <c r="AL20">
        <f>SUM(Table3[[#This Row],[OTW]],Table3[[#This Row],[OTL]],Table3[[#This Row],[SOW]],Table3[[#This Row],[SOL]])</f>
        <v>9</v>
      </c>
      <c r="AM20">
        <f>(Table3[[#This Row],[OTW]]+Table3[[#This Row],[SOW]])/IF(Table3[[#This Row],[Total_ExtraTimes]]=0,1,Table3[[#This Row],[Total_ExtraTimes]])</f>
        <v>0.44444444444444442</v>
      </c>
      <c r="AN20">
        <f>Table3[[#This Row],[Total_ExtraTimes]]/MAX(1,Table3[[#This Row],[GP]])</f>
        <v>0.28125</v>
      </c>
      <c r="AO20">
        <f>(2*(Table3[[#This Row],[W_A]]+Table3[[#This Row],[W_H]]))+Table3[[#This Row],[OTL_A]]+Table3[[#This Row],[SOL_A]]+Table3[[#This Row],[OTL_H]]+Table3[[#This Row],[SOL_H]]</f>
        <v>35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20" s="10">
        <f>Table3[[#This Row],[PTS]]/(2*Table3[[#This Row],[GP]])</f>
        <v>0.546875</v>
      </c>
      <c r="AR20" s="10">
        <f>Table3[[#This Row],[PTS2]]/(3*Table3[[#This Row],[GP]])</f>
        <v>0.47916666666666669</v>
      </c>
      <c r="AS20">
        <f>(2*Table3[[#This Row],[GR]])+Table3[[#This Row],[PTS]]</f>
        <v>135</v>
      </c>
      <c r="AT20">
        <f>(3*Table3[[#This Row],[GR]])+Table3[[#This Row],[PTS2]]</f>
        <v>196</v>
      </c>
      <c r="AU20">
        <f>Table3[[#This Row],[PTS]]+(2 * Table3[[#This Row],[GR]] * Table3[[#This Row],[PTS%]])</f>
        <v>89.6875</v>
      </c>
      <c r="AV20">
        <f>Table3[[#This Row],[PTS2]]+(3 * Table3[[#This Row],[GR]] * Table3[[#This Row],[PTS%2]])</f>
        <v>117.875</v>
      </c>
      <c r="AW20" s="15" t="str">
        <f>_xlfn.CONCAT(TEXT(Table3[[#This Row],[W]], "0"), "-", TEXT(Table3[[#This Row],[RL]],"0"), "-", TEXT(Table3[[#This Row],[OTL]]+Table3[[#This Row],[SOL]], "0"))</f>
        <v>15-12-5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41</v>
      </c>
      <c r="AZ20">
        <f>SUMIF(DataRegularSeason20242025!$D$3:$D$1315,$A20, DataRegularSeason20242025!$K$3:$K$1315)</f>
        <v>41</v>
      </c>
      <c r="BA20">
        <f t="shared" si="3"/>
        <v>0</v>
      </c>
      <c r="BB20">
        <f>COUNTIFS(DataRegularSeason20242025!$E$3:$E$1315,Table3[[#This Row],[Teams]],DataRegularSeason20242025!$J$3:$J$1315,0)</f>
        <v>1</v>
      </c>
      <c r="BC20">
        <f>SUMIF(DataRegularSeason20242025!$E$3:$E$1315,$A20,DataRegularSeason20242025!$K$3:$K$1315)</f>
        <v>64</v>
      </c>
      <c r="BD20">
        <f>SUMIF(DataRegularSeason20242025!$E$3:$E$1315,$A20,DataRegularSeason20242025!$J$3:$J$1315)</f>
        <v>63</v>
      </c>
      <c r="BE20">
        <f t="shared" si="4"/>
        <v>1</v>
      </c>
      <c r="BF20">
        <f t="shared" si="5"/>
        <v>105</v>
      </c>
      <c r="BG20">
        <f t="shared" si="6"/>
        <v>104</v>
      </c>
      <c r="BH20">
        <f t="shared" si="7"/>
        <v>1</v>
      </c>
      <c r="BI20" s="12">
        <f>Table3[[#This Row],[GF]]/Table3[[#This Row],[GP]]</f>
        <v>3.28125</v>
      </c>
      <c r="BJ20" s="12">
        <f>Table3[[#This Row],[GA]]/Table3[[#This Row],[GP]]</f>
        <v>3.25</v>
      </c>
      <c r="BK20" s="12">
        <f>(Table3[[#This Row],[GF]]-Table3[[#This Row],[GA]])/Table3[[#This Row],[GP]]</f>
        <v>3.125E-2</v>
      </c>
      <c r="BL20" s="42" t="str">
        <f>_xlfn.CONCAT(TEXT(Table3[[#This Row],[W_H]], "0"), "-", TEXT(Table3[[#This Row],[RL_H]],"0"), "-", TEXT(Table3[[#This Row],[OTL_H]]+Table3[[#This Row],[SOL_H]], "0"))</f>
        <v>10-5-5</v>
      </c>
      <c r="BM20" s="42" t="str">
        <f>_xlfn.CONCAT(TEXT(Table3[[#This Row],[W_A]], "0"), "-", TEXT(Table3[[#This Row],[RL_A]],"0"), "-", TEXT(Table3[[#This Row],[OTL_A]]+Table3[[#This Row],[SOL_A]], "0"))</f>
        <v>5-7-0</v>
      </c>
      <c r="BN20" s="42">
        <f>((2*(Table3[[#This Row],[W_H]]))+Table3[[#This Row],[OTL_H]]+Table3[[#This Row],[SOL_H]])/(2*Table3[[#This Row],[GP_H]])</f>
        <v>0.625</v>
      </c>
      <c r="BO20" s="42">
        <f>((2*(Table3[[#This Row],[W_A]]))+Table3[[#This Row],[OTL_A]]+Table3[[#This Row],[SOL_A]])/(2*Table3[[#This Row],[GP_A]])</f>
        <v>0.41666666666666669</v>
      </c>
      <c r="BP20" s="16">
        <f>(Table3[[#This Row],[W]]*$CX$3)+(Table3[[#This Row],[L]]*$CX$4)+(Table3[[#This Row],[GF]]*$CX$5)+(Table3[[#This Row],[GA]]*$CX$6)</f>
        <v>38.75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106.8083984375</v>
      </c>
      <c r="BR20" s="16">
        <f>(Table3[[#This Row],[W]]*0.7) + ((Table3[[#This Row],[GF]] - Table3[[#This Row],[GA]])*0.25)+(Table3[[#This Row],[GF]]*0.1)+(Table3[[#This Row],[GA]]*0.05)+(Table3[[#This Row],[L]]*0.3)</f>
        <v>31.549999999999997</v>
      </c>
      <c r="BS20" s="16">
        <f>Table3[[#This Row],[TeamCost83]]/Table3[[#This Row],[GP]]</f>
        <v>0.98593749999999991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10</v>
      </c>
      <c r="BV20">
        <f t="shared" si="8"/>
        <v>17</v>
      </c>
      <c r="BW20">
        <f t="shared" si="9"/>
        <v>5</v>
      </c>
      <c r="BX20">
        <f t="shared" si="10"/>
        <v>10</v>
      </c>
      <c r="BY20">
        <f t="shared" si="11"/>
        <v>15</v>
      </c>
      <c r="BZ20">
        <f>Table3[[#This Row],[TimesPredictedWinner]]/Table3[[#This Row],[GP]]</f>
        <v>0.53125</v>
      </c>
      <c r="CB20">
        <v>1967</v>
      </c>
      <c r="CD20" s="1">
        <v>45749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3.6</v>
      </c>
      <c r="CJ20">
        <f>SUMIFS(Table2[GamePredictionScore], Table2[HomeTeam], Table3[[#This Row],[Teams]])</f>
        <v>9</v>
      </c>
      <c r="CK20">
        <f>Table3[[#This Row],[Column4]]+Table3[[#This Row],[Column3]]</f>
        <v>12.6</v>
      </c>
      <c r="CL20">
        <f>Table3[[#This Row],[Column5]]/Table3[[#This Row],[GP]]</f>
        <v>0.39374999999999999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28</v>
      </c>
      <c r="E21" s="10">
        <f>Table3[[#This Row],[Watched]]/Table3[[#This Row],[GP]]</f>
        <v>0.875</v>
      </c>
      <c r="F21">
        <f>COUNTIFS(DataRegularSeason20242025!$N$3:$N$1315,1,DataRegularSeason20242025!$D$3:$D$1315,$A21)</f>
        <v>18</v>
      </c>
      <c r="G21">
        <f>41-Table3[[#This Row],[GP_A]]</f>
        <v>23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 t="shared" si="0"/>
        <v>32</v>
      </c>
      <c r="K21">
        <f>82-Table3[[#This Row],[GP]]</f>
        <v>50</v>
      </c>
      <c r="L21">
        <f>COUNTIFS(DataRegularSeason20242025!$D$3:$D$1315,$A21, DataRegularSeason20242025!$L$3:$L$1315, $A21,DataRegularSeason20242025!$N$3:$N$1315,1)</f>
        <v>9</v>
      </c>
      <c r="M21">
        <f>COUNTIFS(DataRegularSeason20242025!$D$3:$D$1315,$A21, DataRegularSeason20242025!$L$3:$L$1315, $A21,DataRegularSeason20242025!$N$3:$N$1315,1,DataRegularSeason20242025!$M$3:$M$1315,"REG")</f>
        <v>6</v>
      </c>
      <c r="N21">
        <f>COUNTIFS(DataRegularSeason20242025!$D$3:$D$1315,$A21, DataRegularSeason20242025!$L$3:$L$1315, $A21,DataRegularSeason20242025!$N$3:$N$1315,1,DataRegularSeason20242025!$M$3:$M$1315,"OT")</f>
        <v>2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 t="shared" si="1"/>
        <v>9</v>
      </c>
      <c r="Q21">
        <f>COUNTIFS(DataRegularSeason20242025!$D$3:$D$1315,$A21, DataRegularSeason20242025!$S$3:$S$1315, $A21,DataRegularSeason20242025!$M$3:$M$1315,"REG")</f>
        <v>7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 t="shared" si="2"/>
        <v>8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0.46875</v>
      </c>
      <c r="AC21">
        <f>Table3[[#This Row],[W_A]]+Table3[[#This Row],[W_H]]</f>
        <v>15</v>
      </c>
      <c r="AD21">
        <f>Table3[[#This Row],[L_A]]+Table3[[#This Row],[L_H]]</f>
        <v>17</v>
      </c>
      <c r="AE21">
        <f>Table3[[#This Row],[RW_A]]+Table3[[#This Row],[RW_H]]</f>
        <v>10</v>
      </c>
      <c r="AF21">
        <f>Table3[[#This Row],[RL_A]]+Table3[[#This Row],[RL_H]]</f>
        <v>13</v>
      </c>
      <c r="AG21">
        <f>Table3[[#This Row],[OTW_A]]+Table3[[#This Row],[OTW_H]]</f>
        <v>2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5-4</v>
      </c>
      <c r="AL21">
        <f>SUM(Table3[[#This Row],[OTW]],Table3[[#This Row],[OTL]],Table3[[#This Row],[SOW]],Table3[[#This Row],[SOL]])</f>
        <v>9</v>
      </c>
      <c r="AM21">
        <f>(Table3[[#This Row],[OTW]]+Table3[[#This Row],[SOW]])/IF(Table3[[#This Row],[Total_ExtraTimes]]=0,1,Table3[[#This Row],[Total_ExtraTimes]])</f>
        <v>0.55555555555555558</v>
      </c>
      <c r="AN21">
        <f>Table3[[#This Row],[Total_ExtraTimes]]/MAX(1,Table3[[#This Row],[GP]])</f>
        <v>0.28125</v>
      </c>
      <c r="AO21">
        <f>(2*(Table3[[#This Row],[W_A]]+Table3[[#This Row],[W_H]]))+Table3[[#This Row],[OTL_A]]+Table3[[#This Row],[SOL_A]]+Table3[[#This Row],[OTL_H]]+Table3[[#This Row],[SOL_H]]</f>
        <v>34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1" s="10">
        <f>Table3[[#This Row],[PTS]]/(2*Table3[[#This Row],[GP]])</f>
        <v>0.53125</v>
      </c>
      <c r="AR21" s="10">
        <f>Table3[[#This Row],[PTS2]]/(3*Table3[[#This Row],[GP]])</f>
        <v>0.45833333333333331</v>
      </c>
      <c r="AS21">
        <f>(2*Table3[[#This Row],[GR]])+Table3[[#This Row],[PTS]]</f>
        <v>134</v>
      </c>
      <c r="AT21">
        <f>(3*Table3[[#This Row],[GR]])+Table3[[#This Row],[PTS2]]</f>
        <v>194</v>
      </c>
      <c r="AU21">
        <f>Table3[[#This Row],[PTS]]+(2 * Table3[[#This Row],[GR]] * Table3[[#This Row],[PTS%]])</f>
        <v>87.125</v>
      </c>
      <c r="AV21">
        <f>Table3[[#This Row],[PTS2]]+(3 * Table3[[#This Row],[GR]] * Table3[[#This Row],[PTS%2]])</f>
        <v>112.75</v>
      </c>
      <c r="AW21" s="15" t="str">
        <f>_xlfn.CONCAT(TEXT(Table3[[#This Row],[W]], "0"), "-", TEXT(Table3[[#This Row],[RL]],"0"), "-", TEXT(Table3[[#This Row],[OTL]]+Table3[[#This Row],[SOL]], "0"))</f>
        <v>15-13-4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60</v>
      </c>
      <c r="AZ21">
        <f>SUMIF(DataRegularSeason20242025!$D$3:$D$1315,$A21, DataRegularSeason20242025!$K$3:$K$1315)</f>
        <v>64</v>
      </c>
      <c r="BA21">
        <f t="shared" si="3"/>
        <v>-4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40</v>
      </c>
      <c r="BE21">
        <f t="shared" si="4"/>
        <v>1</v>
      </c>
      <c r="BF21">
        <f t="shared" si="5"/>
        <v>101</v>
      </c>
      <c r="BG21">
        <f t="shared" si="6"/>
        <v>104</v>
      </c>
      <c r="BH21">
        <f t="shared" si="7"/>
        <v>-3</v>
      </c>
      <c r="BI21" s="12">
        <f>Table3[[#This Row],[GF]]/Table3[[#This Row],[GP]]</f>
        <v>3.15625</v>
      </c>
      <c r="BJ21" s="12">
        <f>Table3[[#This Row],[GA]]/Table3[[#This Row],[GP]]</f>
        <v>3.25</v>
      </c>
      <c r="BK21" s="12">
        <f>(Table3[[#This Row],[GF]]-Table3[[#This Row],[GA]])/Table3[[#This Row],[GP]]</f>
        <v>-9.375E-2</v>
      </c>
      <c r="BL21" s="42" t="str">
        <f>_xlfn.CONCAT(TEXT(Table3[[#This Row],[W_H]], "0"), "-", TEXT(Table3[[#This Row],[RL_H]],"0"), "-", TEXT(Table3[[#This Row],[OTL_H]]+Table3[[#This Row],[SOL_H]], "0"))</f>
        <v>6-6-2</v>
      </c>
      <c r="BM21" s="42" t="str">
        <f>_xlfn.CONCAT(TEXT(Table3[[#This Row],[W_A]], "0"), "-", TEXT(Table3[[#This Row],[RL_A]],"0"), "-", TEXT(Table3[[#This Row],[OTL_A]]+Table3[[#This Row],[SOL_A]], "0"))</f>
        <v>9-7-2</v>
      </c>
      <c r="BN21" s="42">
        <f>((2*(Table3[[#This Row],[W_H]]))+Table3[[#This Row],[OTL_H]]+Table3[[#This Row],[SOL_H]])/(2*Table3[[#This Row],[GP_H]])</f>
        <v>0.5</v>
      </c>
      <c r="BO21" s="42">
        <f>((2*(Table3[[#This Row],[W_A]]))+Table3[[#This Row],[OTL_A]]+Table3[[#This Row],[SOL_A]])/(2*Table3[[#This Row],[GP_A]])</f>
        <v>0.55555555555555558</v>
      </c>
      <c r="BP21" s="16">
        <f>(Table3[[#This Row],[W]]*$CX$3)+(Table3[[#This Row],[L]]*$CX$4)+(Table3[[#This Row],[GF]]*$CX$5)+(Table3[[#This Row],[GA]]*$CX$6)</f>
        <v>38.15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104.66289062499999</v>
      </c>
      <c r="BR21" s="16">
        <f>(Table3[[#This Row],[W]]*0.7) + ((Table3[[#This Row],[GF]] - Table3[[#This Row],[GA]])*0.25)+(Table3[[#This Row],[GF]]*0.1)+(Table3[[#This Row],[GA]]*0.05)+(Table3[[#This Row],[L]]*0.3)</f>
        <v>30.15</v>
      </c>
      <c r="BS21" s="16">
        <f>Table3[[#This Row],[TeamCost83]]/Table3[[#This Row],[GP]]</f>
        <v>0.94218749999999996</v>
      </c>
      <c r="BT21">
        <f>COUNTIFS(Table2[AwayTeam],$A21,Table2[PredictedWinner], $A21, Table2[GameIsOver], 1)</f>
        <v>11</v>
      </c>
      <c r="BU21">
        <f>COUNTIFS(Table2[HomeTeam],$A21,Table2[PredictedWinner], $A21, Table2[GameIsOver], 1)</f>
        <v>7</v>
      </c>
      <c r="BV21">
        <f t="shared" si="8"/>
        <v>18</v>
      </c>
      <c r="BW21">
        <f t="shared" si="9"/>
        <v>7</v>
      </c>
      <c r="BX21">
        <f t="shared" si="10"/>
        <v>7</v>
      </c>
      <c r="BY21">
        <f t="shared" si="11"/>
        <v>14</v>
      </c>
      <c r="BZ21">
        <f>Table3[[#This Row],[TimesPredictedWinner]]/Table3[[#This Row],[GP]]</f>
        <v>0.5625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6.8</v>
      </c>
      <c r="CJ21">
        <f>SUMIFS(Table2[GamePredictionScore], Table2[HomeTeam], Table3[[#This Row],[Teams]])</f>
        <v>4.5999999999999996</v>
      </c>
      <c r="CK21">
        <f>Table3[[#This Row],[Column4]]+Table3[[#This Row],[Column3]]</f>
        <v>11.399999999999999</v>
      </c>
      <c r="CL21">
        <f>Table3[[#This Row],[Column5]]/Table3[[#This Row],[GP]]</f>
        <v>0.35624999999999996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26</v>
      </c>
      <c r="E22" s="10">
        <f>Table3[[#This Row],[Watched]]/Table3[[#This Row],[GP]]</f>
        <v>0.76470588235294112</v>
      </c>
      <c r="F22">
        <f>COUNTIFS(DataRegularSeason20242025!$N$3:$N$1315,1,DataRegularSeason20242025!$D$3:$D$1315,$A22)</f>
        <v>16</v>
      </c>
      <c r="G22">
        <f>41-Table3[[#This Row],[GP_A]]</f>
        <v>25</v>
      </c>
      <c r="H22">
        <f>COUNTIFS(DataRegularSeason20242025!$E$3:$E$1315,$A22,DataRegularSeason20242025!$N$3:$N$1315,1)</f>
        <v>18</v>
      </c>
      <c r="I22">
        <f>41-Table3[[#This Row],[GP_H]]</f>
        <v>23</v>
      </c>
      <c r="J22">
        <f t="shared" si="0"/>
        <v>34</v>
      </c>
      <c r="K22">
        <f>82-Table3[[#This Row],[GP]]</f>
        <v>48</v>
      </c>
      <c r="L22">
        <f>COUNTIFS(DataRegularSeason20242025!$D$3:$D$1315,$A22, DataRegularSeason20242025!$L$3:$L$1315, $A22,DataRegularSeason20242025!$N$3:$N$1315,1)</f>
        <v>7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5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9</v>
      </c>
      <c r="Q22">
        <f>COUNTIFS(DataRegularSeason20242025!$D$3:$D$1315,$A22, DataRegularSeason20242025!$S$3:$S$1315, $A22,DataRegularSeason20242025!$M$3:$M$1315,"REG")</f>
        <v>9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10</v>
      </c>
      <c r="U22">
        <f>COUNTIFS(DataRegularSeason20242025!$E$3:$E$1315,$A22, DataRegularSeason20242025!$L$3:$L$1315, $A22,DataRegularSeason20242025!$N$3:$N$1315,1,DataRegularSeason20242025!$M$3:$M$1315,"REG")</f>
        <v>7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8</v>
      </c>
      <c r="Y22">
        <f>COUNTIFS(DataRegularSeason20242025!$E$3:$E$1315,$A22, DataRegularSeason20242025!$S$3:$S$1315, $A22,DataRegularSeason20242025!$M$3:$M$1315,"REG")</f>
        <v>5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17</v>
      </c>
      <c r="AD22">
        <f>Table3[[#This Row],[L_A]]+Table3[[#This Row],[L_H]]</f>
        <v>17</v>
      </c>
      <c r="AE22">
        <f>Table3[[#This Row],[RW_A]]+Table3[[#This Row],[RW_H]]</f>
        <v>9</v>
      </c>
      <c r="AF22">
        <f>Table3[[#This Row],[RL_A]]+Table3[[#This Row],[RL_H]]</f>
        <v>14</v>
      </c>
      <c r="AG22">
        <f>Table3[[#This Row],[OTW_A]]+Table3[[#This Row],[OTW_H]]</f>
        <v>7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8-3</v>
      </c>
      <c r="AL22">
        <f>SUM(Table3[[#This Row],[OTW]],Table3[[#This Row],[OTL]],Table3[[#This Row],[SOW]],Table3[[#This Row],[SOL]])</f>
        <v>11</v>
      </c>
      <c r="AM22">
        <f>(Table3[[#This Row],[OTW]]+Table3[[#This Row],[SOW]])/IF(Table3[[#This Row],[Total_ExtraTimes]]=0,1,Table3[[#This Row],[Total_ExtraTimes]])</f>
        <v>0.72727272727272729</v>
      </c>
      <c r="AN22">
        <f>Table3[[#This Row],[Total_ExtraTimes]]/MAX(1,Table3[[#This Row],[GP]])</f>
        <v>0.3235294117647059</v>
      </c>
      <c r="AO22">
        <f>(2*(Table3[[#This Row],[W_A]]+Table3[[#This Row],[W_H]]))+Table3[[#This Row],[OTL_A]]+Table3[[#This Row],[SOL_A]]+Table3[[#This Row],[OTL_H]]+Table3[[#This Row],[SOL_H]]</f>
        <v>37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22" s="10">
        <f>Table3[[#This Row],[PTS]]/(2*Table3[[#This Row],[GP]])</f>
        <v>0.54411764705882348</v>
      </c>
      <c r="AR22" s="10">
        <f>Table3[[#This Row],[PTS2]]/(3*Table3[[#This Row],[GP]])</f>
        <v>0.45098039215686275</v>
      </c>
      <c r="AS22">
        <f>(2*Table3[[#This Row],[GR]])+Table3[[#This Row],[PTS]]</f>
        <v>133</v>
      </c>
      <c r="AT22">
        <f>(3*Table3[[#This Row],[GR]])+Table3[[#This Row],[PTS2]]</f>
        <v>190</v>
      </c>
      <c r="AU22">
        <f>Table3[[#This Row],[PTS]]+(2 * Table3[[#This Row],[GR]] * Table3[[#This Row],[PTS%]])</f>
        <v>89.235294117647058</v>
      </c>
      <c r="AV22">
        <f>Table3[[#This Row],[PTS2]]+(3 * Table3[[#This Row],[GR]] * Table3[[#This Row],[PTS%2]])</f>
        <v>110.94117647058823</v>
      </c>
      <c r="AW22" s="15" t="str">
        <f>_xlfn.CONCAT(TEXT(Table3[[#This Row],[W]], "0"), "-", TEXT(Table3[[#This Row],[RL]],"0"), "-", TEXT(Table3[[#This Row],[OTL]]+Table3[[#This Row],[SOL]], "0"))</f>
        <v>17-14-3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46</v>
      </c>
      <c r="AZ22">
        <f>SUMIF(DataRegularSeason20242025!$D$3:$D$1315,$A22, DataRegularSeason20242025!$K$3:$K$1315)</f>
        <v>57</v>
      </c>
      <c r="BA22">
        <f t="shared" si="3"/>
        <v>-11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56</v>
      </c>
      <c r="BD22">
        <f>SUMIF(DataRegularSeason20242025!$E$3:$E$1315,$A22,DataRegularSeason20242025!$J$3:$J$1315)</f>
        <v>56</v>
      </c>
      <c r="BE22">
        <f t="shared" si="4"/>
        <v>0</v>
      </c>
      <c r="BF22">
        <f t="shared" si="5"/>
        <v>102</v>
      </c>
      <c r="BG22">
        <f t="shared" si="6"/>
        <v>113</v>
      </c>
      <c r="BH22">
        <f t="shared" si="7"/>
        <v>-11</v>
      </c>
      <c r="BI22" s="12">
        <f>Table3[[#This Row],[GF]]/Table3[[#This Row],[GP]]</f>
        <v>3</v>
      </c>
      <c r="BJ22" s="12">
        <f>Table3[[#This Row],[GA]]/Table3[[#This Row],[GP]]</f>
        <v>3.3235294117647061</v>
      </c>
      <c r="BK22" s="12">
        <f>(Table3[[#This Row],[GF]]-Table3[[#This Row],[GA]])/Table3[[#This Row],[GP]]</f>
        <v>-0.3235294117647059</v>
      </c>
      <c r="BL22" s="42" t="str">
        <f>_xlfn.CONCAT(TEXT(Table3[[#This Row],[W_H]], "0"), "-", TEXT(Table3[[#This Row],[RL_H]],"0"), "-", TEXT(Table3[[#This Row],[OTL_H]]+Table3[[#This Row],[SOL_H]], "0"))</f>
        <v>10-5-3</v>
      </c>
      <c r="BM22" s="42" t="str">
        <f>_xlfn.CONCAT(TEXT(Table3[[#This Row],[W_A]], "0"), "-", TEXT(Table3[[#This Row],[RL_A]],"0"), "-", TEXT(Table3[[#This Row],[OTL_A]]+Table3[[#This Row],[SOL_A]], "0"))</f>
        <v>7-9-0</v>
      </c>
      <c r="BN22" s="42">
        <f>((2*(Table3[[#This Row],[W_H]]))+Table3[[#This Row],[OTL_H]]+Table3[[#This Row],[SOL_H]])/(2*Table3[[#This Row],[GP_H]])</f>
        <v>0.63888888888888884</v>
      </c>
      <c r="BO22" s="42">
        <f>((2*(Table3[[#This Row],[W_A]]))+Table3[[#This Row],[OTL_A]]+Table3[[#This Row],[SOL_A]])/(2*Table3[[#This Row],[GP_A]])</f>
        <v>0.4375</v>
      </c>
      <c r="BP22" s="16">
        <f>(Table3[[#This Row],[W]]*$CX$3)+(Table3[[#This Row],[L]]*$CX$4)+(Table3[[#This Row],[GF]]*$CX$5)+(Table3[[#This Row],[GA]]*$CX$6)</f>
        <v>40.200000000000003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105.33892733564012</v>
      </c>
      <c r="BR22" s="16">
        <f>(Table3[[#This Row],[W]]*0.7) + ((Table3[[#This Row],[GF]] - Table3[[#This Row],[GA]])*0.25)+(Table3[[#This Row],[GF]]*0.1)+(Table3[[#This Row],[GA]]*0.05)+(Table3[[#This Row],[L]]*0.3)</f>
        <v>30.1</v>
      </c>
      <c r="BS22" s="16">
        <f>Table3[[#This Row],[TeamCost83]]/Table3[[#This Row],[GP]]</f>
        <v>0.8852941176470589</v>
      </c>
      <c r="BT22">
        <f>COUNTIFS(Table2[AwayTeam],$A22,Table2[PredictedWinner], $A22, Table2[GameIsOver], 1)</f>
        <v>8</v>
      </c>
      <c r="BU22">
        <f>COUNTIFS(Table2[HomeTeam],$A22,Table2[PredictedWinner], $A22, Table2[GameIsOver], 1)</f>
        <v>10</v>
      </c>
      <c r="BV22">
        <f t="shared" si="8"/>
        <v>18</v>
      </c>
      <c r="BW22">
        <f t="shared" si="9"/>
        <v>8</v>
      </c>
      <c r="BX22">
        <f t="shared" si="10"/>
        <v>8</v>
      </c>
      <c r="BY22">
        <f t="shared" si="11"/>
        <v>16</v>
      </c>
      <c r="BZ22">
        <f>Table3[[#This Row],[TimesPredictedWinner]]/Table3[[#This Row],[GP]]</f>
        <v>0.52941176470588236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15</v>
      </c>
      <c r="CL22">
        <f>Table3[[#This Row],[Column5]]/Table3[[#This Row],[GP]]</f>
        <v>0.44117647058823528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19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32</v>
      </c>
      <c r="E23" s="10">
        <f>Table3[[#This Row],[Watched]]/Table3[[#This Row],[GP]]</f>
        <v>0.91428571428571426</v>
      </c>
      <c r="F23">
        <f>COUNTIFS(DataRegularSeason20242025!$N$3:$N$1315,1,DataRegularSeason20242025!$D$3:$D$1315,$A23)</f>
        <v>18</v>
      </c>
      <c r="G23">
        <f>41-Table3[[#This Row],[GP_A]]</f>
        <v>23</v>
      </c>
      <c r="H23">
        <f>COUNTIFS(DataRegularSeason20242025!$E$3:$E$1315,$A23,DataRegularSeason20242025!$N$3:$N$1315,1)</f>
        <v>17</v>
      </c>
      <c r="I23">
        <f>41-Table3[[#This Row],[GP_H]]</f>
        <v>24</v>
      </c>
      <c r="J23">
        <f t="shared" si="0"/>
        <v>35</v>
      </c>
      <c r="K23">
        <f>82-Table3[[#This Row],[GP]]</f>
        <v>47</v>
      </c>
      <c r="L23">
        <f>COUNTIFS(DataRegularSeason20242025!$D$3:$D$1315,$A23, DataRegularSeason20242025!$L$3:$L$1315, $A23,DataRegularSeason20242025!$N$3:$N$1315,1)</f>
        <v>12</v>
      </c>
      <c r="M23">
        <f>COUNTIFS(DataRegularSeason20242025!$D$3:$D$1315,$A23, DataRegularSeason20242025!$L$3:$L$1315, $A23,DataRegularSeason20242025!$N$3:$N$1315,1,DataRegularSeason20242025!$M$3:$M$1315,"REG")</f>
        <v>9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1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5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2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 t="shared" si="2"/>
        <v>13</v>
      </c>
      <c r="Y23">
        <f>COUNTIFS(DataRegularSeason20242025!$E$3:$E$1315,$A23, DataRegularSeason20242025!$S$3:$S$1315, $A23,DataRegularSeason20242025!$M$3:$M$1315,"REG")</f>
        <v>10</v>
      </c>
      <c r="Z23">
        <f>COUNTIFS(DataRegularSeason20242025!$E$3:$E$1315,$A23, DataRegularSeason20242025!$S$3:$S$1315, $A23,DataRegularSeason20242025!$M$3:$M$1315,"OT")</f>
        <v>3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0.45714285714285713</v>
      </c>
      <c r="AC23">
        <f>Table3[[#This Row],[W_A]]+Table3[[#This Row],[W_H]]</f>
        <v>16</v>
      </c>
      <c r="AD23">
        <f>Table3[[#This Row],[L_A]]+Table3[[#This Row],[L_H]]</f>
        <v>19</v>
      </c>
      <c r="AE23">
        <f>Table3[[#This Row],[RW_A]]+Table3[[#This Row],[RW_H]]</f>
        <v>11</v>
      </c>
      <c r="AF23">
        <f>Table3[[#This Row],[RL_A]]+Table3[[#This Row],[RL_H]]</f>
        <v>15</v>
      </c>
      <c r="AG23">
        <f>Table3[[#This Row],[OTW_A]]+Table3[[#This Row],[OTW_H]]</f>
        <v>4</v>
      </c>
      <c r="AH23">
        <f>Table3[[#This Row],[OTL_A]]+Table3[[#This Row],[OTL_H]]</f>
        <v>4</v>
      </c>
      <c r="AI23">
        <f>Table3[[#This Row],[SOW_A]]+Table3[[#This Row],[SOW_H]]</f>
        <v>1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5-4</v>
      </c>
      <c r="AL23">
        <f>SUM(Table3[[#This Row],[OTW]],Table3[[#This Row],[OTL]],Table3[[#This Row],[SOW]],Table3[[#This Row],[SOL]])</f>
        <v>9</v>
      </c>
      <c r="AM23">
        <f>(Table3[[#This Row],[OTW]]+Table3[[#This Row],[SOW]])/IF(Table3[[#This Row],[Total_ExtraTimes]]=0,1,Table3[[#This Row],[Total_ExtraTimes]])</f>
        <v>0.55555555555555558</v>
      </c>
      <c r="AN23">
        <f>Table3[[#This Row],[Total_ExtraTimes]]/MAX(1,Table3[[#This Row],[GP]])</f>
        <v>0.25714285714285712</v>
      </c>
      <c r="AO23">
        <f>(2*(Table3[[#This Row],[W_A]]+Table3[[#This Row],[W_H]]))+Table3[[#This Row],[OTL_A]]+Table3[[#This Row],[SOL_A]]+Table3[[#This Row],[OTL_H]]+Table3[[#This Row],[SOL_H]]</f>
        <v>36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3" s="10">
        <f>Table3[[#This Row],[PTS]]/(2*Table3[[#This Row],[GP]])</f>
        <v>0.51428571428571423</v>
      </c>
      <c r="AR23" s="10">
        <f>Table3[[#This Row],[PTS2]]/(3*Table3[[#This Row],[GP]])</f>
        <v>0.44761904761904764</v>
      </c>
      <c r="AS23">
        <f>(2*Table3[[#This Row],[GR]])+Table3[[#This Row],[PTS]]</f>
        <v>130</v>
      </c>
      <c r="AT23">
        <f>(3*Table3[[#This Row],[GR]])+Table3[[#This Row],[PTS2]]</f>
        <v>188</v>
      </c>
      <c r="AU23">
        <f>Table3[[#This Row],[PTS]]+(2 * Table3[[#This Row],[GR]] * Table3[[#This Row],[PTS%]])</f>
        <v>84.342857142857142</v>
      </c>
      <c r="AV23">
        <f>Table3[[#This Row],[PTS2]]+(3 * Table3[[#This Row],[GR]] * Table3[[#This Row],[PTS%2]])</f>
        <v>110.11428571428571</v>
      </c>
      <c r="AW23" s="15" t="str">
        <f>_xlfn.CONCAT(TEXT(Table3[[#This Row],[W]], "0"), "-", TEXT(Table3[[#This Row],[RL]],"0"), "-", TEXT(Table3[[#This Row],[OTL]]+Table3[[#This Row],[SOL]], "0"))</f>
        <v>16-15-4</v>
      </c>
      <c r="AX23">
        <f>COUNTIFS(DataRegularSeason20242025!$D$3:$D$1315,Table3[[#This Row],[Teams]],DataRegularSeason20242025!$K$3:$K$1315,0)</f>
        <v>2</v>
      </c>
      <c r="AY23">
        <f>SUMIF(DataRegularSeason20242025!$D$3:$D$1315,$A23, DataRegularSeason20242025!$J$3:$J$1315)</f>
        <v>59</v>
      </c>
      <c r="AZ23">
        <f>SUMIF(DataRegularSeason20242025!$D$3:$D$1315,$A23, DataRegularSeason20242025!$K$3:$K$1315)</f>
        <v>42</v>
      </c>
      <c r="BA23">
        <f t="shared" si="3"/>
        <v>17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30</v>
      </c>
      <c r="BD23">
        <f>SUMIF(DataRegularSeason20242025!$E$3:$E$1315,$A23,DataRegularSeason20242025!$J$3:$J$1315)</f>
        <v>53</v>
      </c>
      <c r="BE23">
        <f t="shared" si="4"/>
        <v>-23</v>
      </c>
      <c r="BF23">
        <f t="shared" si="5"/>
        <v>89</v>
      </c>
      <c r="BG23">
        <f t="shared" si="6"/>
        <v>95</v>
      </c>
      <c r="BH23">
        <f t="shared" si="7"/>
        <v>-6</v>
      </c>
      <c r="BI23" s="12">
        <f>Table3[[#This Row],[GF]]/Table3[[#This Row],[GP]]</f>
        <v>2.5428571428571427</v>
      </c>
      <c r="BJ23" s="12">
        <f>Table3[[#This Row],[GA]]/Table3[[#This Row],[GP]]</f>
        <v>2.7142857142857144</v>
      </c>
      <c r="BK23" s="12">
        <f>(Table3[[#This Row],[GF]]-Table3[[#This Row],[GA]])/Table3[[#This Row],[GP]]</f>
        <v>-0.17142857142857143</v>
      </c>
      <c r="BL23" s="42" t="str">
        <f>_xlfn.CONCAT(TEXT(Table3[[#This Row],[W_H]], "0"), "-", TEXT(Table3[[#This Row],[RL_H]],"0"), "-", TEXT(Table3[[#This Row],[OTL_H]]+Table3[[#This Row],[SOL_H]], "0"))</f>
        <v>4-10-3</v>
      </c>
      <c r="BM23" s="42" t="str">
        <f>_xlfn.CONCAT(TEXT(Table3[[#This Row],[W_A]], "0"), "-", TEXT(Table3[[#This Row],[RL_A]],"0"), "-", TEXT(Table3[[#This Row],[OTL_A]]+Table3[[#This Row],[SOL_A]], "0"))</f>
        <v>12-5-1</v>
      </c>
      <c r="BN23" s="42">
        <f>((2*(Table3[[#This Row],[W_H]]))+Table3[[#This Row],[OTL_H]]+Table3[[#This Row],[SOL_H]])/(2*Table3[[#This Row],[GP_H]])</f>
        <v>0.3235294117647059</v>
      </c>
      <c r="BO23" s="42">
        <f>((2*(Table3[[#This Row],[W_A]]))+Table3[[#This Row],[OTL_A]]+Table3[[#This Row],[SOL_A]])/(2*Table3[[#This Row],[GP_A]])</f>
        <v>0.69444444444444442</v>
      </c>
      <c r="BP23" s="16">
        <f>(Table3[[#This Row],[W]]*$CX$3)+(Table3[[#This Row],[L]]*$CX$4)+(Table3[[#This Row],[GF]]*$CX$5)+(Table3[[#This Row],[GA]]*$CX$6)</f>
        <v>36.549999999999997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91.028122448979587</v>
      </c>
      <c r="BR23" s="16">
        <f>(Table3[[#This Row],[W]]*0.7) + ((Table3[[#This Row],[GF]] - Table3[[#This Row],[GA]])*0.25)+(Table3[[#This Row],[GF]]*0.1)+(Table3[[#This Row],[GA]]*0.05)+(Table3[[#This Row],[L]]*0.3)</f>
        <v>29.05</v>
      </c>
      <c r="BS23" s="16">
        <f>Table3[[#This Row],[TeamCost83]]/Table3[[#This Row],[GP]]</f>
        <v>0.83000000000000007</v>
      </c>
      <c r="BT23">
        <f>COUNTIFS(Table2[AwayTeam],$A23,Table2[PredictedWinner], $A23, Table2[GameIsOver], 1)</f>
        <v>8</v>
      </c>
      <c r="BU23">
        <f>COUNTIFS(Table2[HomeTeam],$A23,Table2[PredictedWinner], $A23, Table2[GameIsOver], 1)</f>
        <v>5</v>
      </c>
      <c r="BV23">
        <f t="shared" si="8"/>
        <v>13</v>
      </c>
      <c r="BW23">
        <f t="shared" si="9"/>
        <v>10</v>
      </c>
      <c r="BX23">
        <f t="shared" si="10"/>
        <v>12</v>
      </c>
      <c r="BY23">
        <f t="shared" si="11"/>
        <v>22</v>
      </c>
      <c r="BZ23">
        <f>Table3[[#This Row],[TimesPredictedWinner]]/Table3[[#This Row],[GP]]</f>
        <v>0.37142857142857144</v>
      </c>
      <c r="CB23">
        <v>1994</v>
      </c>
      <c r="CC23" s="1">
        <v>45759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5.3999999999999995</v>
      </c>
      <c r="CJ23">
        <f>SUMIFS(Table2[GamePredictionScore], Table2[HomeTeam], Table3[[#This Row],[Teams]])</f>
        <v>8.5</v>
      </c>
      <c r="CK23">
        <f>Table3[[#This Row],[Column4]]+Table3[[#This Row],[Column3]]</f>
        <v>13.899999999999999</v>
      </c>
      <c r="CL23">
        <f>Table3[[#This Row],[Column5]]/Table3[[#This Row],[GP]]</f>
        <v>0.39714285714285708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14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30</v>
      </c>
      <c r="E24" s="10">
        <f>Table3[[#This Row],[Watched]]/Table3[[#This Row],[GP]]</f>
        <v>0.8571428571428571</v>
      </c>
      <c r="F24">
        <f>COUNTIFS(DataRegularSeason20242025!$N$3:$N$1315,1,DataRegularSeason20242025!$D$3:$D$1315,$A24)</f>
        <v>21</v>
      </c>
      <c r="G24">
        <f>41-Table3[[#This Row],[GP_A]]</f>
        <v>20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 t="shared" si="0"/>
        <v>35</v>
      </c>
      <c r="K24">
        <f>82-Table3[[#This Row],[GP]]</f>
        <v>47</v>
      </c>
      <c r="L24">
        <f>COUNTIFS(DataRegularSeason20242025!$D$3:$D$1315,$A24, DataRegularSeason20242025!$L$3:$L$1315, $A24,DataRegularSeason20242025!$N$3:$N$1315,1)</f>
        <v>8</v>
      </c>
      <c r="M24">
        <f>COUNTIFS(DataRegularSeason20242025!$D$3:$D$1315,$A24, DataRegularSeason20242025!$L$3:$L$1315, $A24,DataRegularSeason20242025!$N$3:$N$1315,1,DataRegularSeason20242025!$M$3:$M$1315,"REG")</f>
        <v>5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13</v>
      </c>
      <c r="Q24">
        <f>COUNTIFS(DataRegularSeason20242025!$D$3:$D$1315,$A24, DataRegularSeason20242025!$S$3:$S$1315, $A24,DataRegularSeason20242025!$M$3:$M$1315,"REG")</f>
        <v>11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8</v>
      </c>
      <c r="U24">
        <f>COUNTIFS(DataRegularSeason20242025!$E$3:$E$1315,$A24, DataRegularSeason20242025!$L$3:$L$1315, $A24,DataRegularSeason20242025!$N$3:$N$1315,1,DataRegularSeason20242025!$M$3:$M$1315,"REG")</f>
        <v>7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6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0.45714285714285713</v>
      </c>
      <c r="AC24">
        <f>Table3[[#This Row],[W_A]]+Table3[[#This Row],[W_H]]</f>
        <v>16</v>
      </c>
      <c r="AD24">
        <f>Table3[[#This Row],[L_A]]+Table3[[#This Row],[L_H]]</f>
        <v>19</v>
      </c>
      <c r="AE24">
        <f>Table3[[#This Row],[RW_A]]+Table3[[#This Row],[RW_H]]</f>
        <v>12</v>
      </c>
      <c r="AF24">
        <f>Table3[[#This Row],[RL_A]]+Table3[[#This Row],[RL_H]]</f>
        <v>16</v>
      </c>
      <c r="AG24">
        <f>Table3[[#This Row],[OTW_A]]+Table3[[#This Row],[OTW_H]]</f>
        <v>4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4-3</v>
      </c>
      <c r="AL24">
        <f>SUM(Table3[[#This Row],[OTW]],Table3[[#This Row],[OTL]],Table3[[#This Row],[SOW]],Table3[[#This Row],[SOL]])</f>
        <v>7</v>
      </c>
      <c r="AM24">
        <f>(Table3[[#This Row],[OTW]]+Table3[[#This Row],[SOW]])/IF(Table3[[#This Row],[Total_ExtraTimes]]=0,1,Table3[[#This Row],[Total_ExtraTimes]])</f>
        <v>0.5714285714285714</v>
      </c>
      <c r="AN24">
        <f>Table3[[#This Row],[Total_ExtraTimes]]/MAX(1,Table3[[#This Row],[GP]])</f>
        <v>0.2</v>
      </c>
      <c r="AO24">
        <f>(2*(Table3[[#This Row],[W_A]]+Table3[[#This Row],[W_H]]))+Table3[[#This Row],[OTL_A]]+Table3[[#This Row],[SOL_A]]+Table3[[#This Row],[OTL_H]]+Table3[[#This Row],[SOL_H]]</f>
        <v>35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4" s="10">
        <f>Table3[[#This Row],[PTS]]/(2*Table3[[#This Row],[GP]])</f>
        <v>0.5</v>
      </c>
      <c r="AR24" s="10">
        <f>Table3[[#This Row],[PTS2]]/(3*Table3[[#This Row],[GP]])</f>
        <v>0.44761904761904764</v>
      </c>
      <c r="AS24">
        <f>(2*Table3[[#This Row],[GR]])+Table3[[#This Row],[PTS]]</f>
        <v>129</v>
      </c>
      <c r="AT24">
        <f>(3*Table3[[#This Row],[GR]])+Table3[[#This Row],[PTS2]]</f>
        <v>188</v>
      </c>
      <c r="AU24">
        <f>Table3[[#This Row],[PTS]]+(2 * Table3[[#This Row],[GR]] * Table3[[#This Row],[PTS%]])</f>
        <v>82</v>
      </c>
      <c r="AV24">
        <f>Table3[[#This Row],[PTS2]]+(3 * Table3[[#This Row],[GR]] * Table3[[#This Row],[PTS%2]])</f>
        <v>110.11428571428571</v>
      </c>
      <c r="AW24" s="15" t="str">
        <f>_xlfn.CONCAT(TEXT(Table3[[#This Row],[W]], "0"), "-", TEXT(Table3[[#This Row],[RL]],"0"), "-", TEXT(Table3[[#This Row],[OTL]]+Table3[[#This Row],[SOL]], "0"))</f>
        <v>16-16-3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60</v>
      </c>
      <c r="AZ24">
        <f>SUMIF(DataRegularSeason20242025!$D$3:$D$1315,$A24, DataRegularSeason20242025!$K$3:$K$1315)</f>
        <v>65</v>
      </c>
      <c r="BA24">
        <f t="shared" si="3"/>
        <v>-5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47</v>
      </c>
      <c r="BD24">
        <f>SUMIF(DataRegularSeason20242025!$E$3:$E$1315,$A24,DataRegularSeason20242025!$J$3:$J$1315)</f>
        <v>40</v>
      </c>
      <c r="BE24">
        <f t="shared" si="4"/>
        <v>7</v>
      </c>
      <c r="BF24">
        <f t="shared" si="5"/>
        <v>107</v>
      </c>
      <c r="BG24">
        <f t="shared" si="6"/>
        <v>105</v>
      </c>
      <c r="BH24">
        <f t="shared" si="7"/>
        <v>2</v>
      </c>
      <c r="BI24" s="12">
        <f>Table3[[#This Row],[GF]]/Table3[[#This Row],[GP]]</f>
        <v>3.0571428571428569</v>
      </c>
      <c r="BJ24" s="12">
        <f>Table3[[#This Row],[GA]]/Table3[[#This Row],[GP]]</f>
        <v>3</v>
      </c>
      <c r="BK24" s="12">
        <f>(Table3[[#This Row],[GF]]-Table3[[#This Row],[GA]])/Table3[[#This Row],[GP]]</f>
        <v>5.7142857142857141E-2</v>
      </c>
      <c r="BL24" s="42" t="str">
        <f>_xlfn.CONCAT(TEXT(Table3[[#This Row],[W_H]], "0"), "-", TEXT(Table3[[#This Row],[RL_H]],"0"), "-", TEXT(Table3[[#This Row],[OTL_H]]+Table3[[#This Row],[SOL_H]], "0"))</f>
        <v>8-5-1</v>
      </c>
      <c r="BM24" s="42" t="str">
        <f>_xlfn.CONCAT(TEXT(Table3[[#This Row],[W_A]], "0"), "-", TEXT(Table3[[#This Row],[RL_A]],"0"), "-", TEXT(Table3[[#This Row],[OTL_A]]+Table3[[#This Row],[SOL_A]], "0"))</f>
        <v>8-11-2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0.42857142857142855</v>
      </c>
      <c r="BP24" s="16">
        <f>(Table3[[#This Row],[W]]*$CX$3)+(Table3[[#This Row],[L]]*$CX$4)+(Table3[[#This Row],[GF]]*$CX$5)+(Table3[[#This Row],[GA]]*$CX$6)</f>
        <v>40.25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103.39</v>
      </c>
      <c r="BR24" s="16">
        <f>(Table3[[#This Row],[W]]*0.7) + ((Table3[[#This Row],[GF]] - Table3[[#This Row],[GA]])*0.25)+(Table3[[#This Row],[GF]]*0.1)+(Table3[[#This Row],[GA]]*0.05)+(Table3[[#This Row],[L]]*0.3)</f>
        <v>33.35</v>
      </c>
      <c r="BS24" s="16">
        <f>Table3[[#This Row],[TeamCost83]]/Table3[[#This Row],[GP]]</f>
        <v>0.95285714285714285</v>
      </c>
      <c r="BT24">
        <f>COUNTIFS(Table2[AwayTeam],$A24,Table2[PredictedWinner], $A24, Table2[GameIsOver], 1)</f>
        <v>7</v>
      </c>
      <c r="BU24">
        <f>COUNTIFS(Table2[HomeTeam],$A24,Table2[PredictedWinner], $A24, Table2[GameIsOver], 1)</f>
        <v>5</v>
      </c>
      <c r="BV24">
        <f t="shared" si="8"/>
        <v>12</v>
      </c>
      <c r="BW24">
        <f t="shared" si="9"/>
        <v>14</v>
      </c>
      <c r="BX24">
        <f t="shared" si="10"/>
        <v>9</v>
      </c>
      <c r="BY24">
        <f t="shared" si="11"/>
        <v>23</v>
      </c>
      <c r="BZ24">
        <f>Table3[[#This Row],[TimesPredictedWinner]]/Table3[[#This Row],[GP]]</f>
        <v>0.34285714285714286</v>
      </c>
      <c r="CC24" s="1">
        <v>45756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11.700000000000003</v>
      </c>
      <c r="CJ24">
        <f>SUMIFS(Table2[GamePredictionScore], Table2[HomeTeam], Table3[[#This Row],[Teams]])</f>
        <v>4.8</v>
      </c>
      <c r="CK24">
        <f>Table3[[#This Row],[Column4]]+Table3[[#This Row],[Column3]]</f>
        <v>16.500000000000004</v>
      </c>
      <c r="CL24">
        <f>Table3[[#This Row],[Column5]]/Table3[[#This Row],[GP]]</f>
        <v>0.47142857142857153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11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28</v>
      </c>
      <c r="E25" s="10">
        <f>Table3[[#This Row],[Watched]]/Table3[[#This Row],[GP]]</f>
        <v>0.90322580645161288</v>
      </c>
      <c r="F25">
        <f>COUNTIFS(DataRegularSeason20242025!$N$3:$N$1315,1,DataRegularSeason20242025!$D$3:$D$1315,$A25)</f>
        <v>14</v>
      </c>
      <c r="G25">
        <f>41-Table3[[#This Row],[GP_A]]</f>
        <v>27</v>
      </c>
      <c r="H25">
        <f>COUNTIFS(DataRegularSeason20242025!$E$3:$E$1315,$A25,DataRegularSeason20242025!$N$3:$N$1315,1)</f>
        <v>17</v>
      </c>
      <c r="I25">
        <f>41-Table3[[#This Row],[GP_H]]</f>
        <v>24</v>
      </c>
      <c r="J25">
        <f t="shared" si="0"/>
        <v>31</v>
      </c>
      <c r="K25">
        <f>82-Table3[[#This Row],[GP]]</f>
        <v>51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2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9</v>
      </c>
      <c r="Q25">
        <f>COUNTIFS(DataRegularSeason20242025!$D$3:$D$1315,$A25, DataRegularSeason20242025!$S$3:$S$1315, $A25,DataRegularSeason20242025!$M$3:$M$1315,"REG")</f>
        <v>6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2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10</v>
      </c>
      <c r="Y25">
        <f>COUNTIFS(DataRegularSeason20242025!$E$3:$E$1315,$A25, DataRegularSeason20242025!$S$3:$S$1315, $A25,DataRegularSeason20242025!$M$3:$M$1315,"REG")</f>
        <v>7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0.38709677419354838</v>
      </c>
      <c r="AC25">
        <f>Table3[[#This Row],[W_A]]+Table3[[#This Row],[W_H]]</f>
        <v>12</v>
      </c>
      <c r="AD25">
        <f>Table3[[#This Row],[L_A]]+Table3[[#This Row],[L_H]]</f>
        <v>19</v>
      </c>
      <c r="AE25">
        <f>Table3[[#This Row],[RW_A]]+Table3[[#This Row],[RW_H]]</f>
        <v>7</v>
      </c>
      <c r="AF25">
        <f>Table3[[#This Row],[RL_A]]+Table3[[#This Row],[RL_H]]</f>
        <v>13</v>
      </c>
      <c r="AG25">
        <f>Table3[[#This Row],[OTW_A]]+Table3[[#This Row],[OTW_H]]</f>
        <v>5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3</v>
      </c>
      <c r="AK25" s="15" t="str">
        <f>_xlfn.CONCAT(TEXT(Table3[[#This Row],[OTW]]+Table3[[#This Row],[SOW]], "0"), "-", TEXT(Table3[[#This Row],[OTL]]+Table3[[#This Row],[SOL]],"0"))</f>
        <v>5-6</v>
      </c>
      <c r="AL25">
        <f>SUM(Table3[[#This Row],[OTW]],Table3[[#This Row],[OTL]],Table3[[#This Row],[SOW]],Table3[[#This Row],[SOL]])</f>
        <v>11</v>
      </c>
      <c r="AM25">
        <f>(Table3[[#This Row],[OTW]]+Table3[[#This Row],[SOW]])/IF(Table3[[#This Row],[Total_ExtraTimes]]=0,1,Table3[[#This Row],[Total_ExtraTimes]])</f>
        <v>0.45454545454545453</v>
      </c>
      <c r="AN25">
        <f>Table3[[#This Row],[Total_ExtraTimes]]/MAX(1,Table3[[#This Row],[GP]])</f>
        <v>0.35483870967741937</v>
      </c>
      <c r="AO25">
        <f>(2*(Table3[[#This Row],[W_A]]+Table3[[#This Row],[W_H]]))+Table3[[#This Row],[OTL_A]]+Table3[[#This Row],[SOL_A]]+Table3[[#This Row],[OTL_H]]+Table3[[#This Row],[SOL_H]]</f>
        <v>30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5" s="10">
        <f>Table3[[#This Row],[PTS]]/(2*Table3[[#This Row],[GP]])</f>
        <v>0.4838709677419355</v>
      </c>
      <c r="AR25" s="10">
        <f>Table3[[#This Row],[PTS2]]/(3*Table3[[#This Row],[GP]])</f>
        <v>0.39784946236559138</v>
      </c>
      <c r="AS25">
        <f>(2*Table3[[#This Row],[GR]])+Table3[[#This Row],[PTS]]</f>
        <v>132</v>
      </c>
      <c r="AT25">
        <f>(3*Table3[[#This Row],[GR]])+Table3[[#This Row],[PTS2]]</f>
        <v>190</v>
      </c>
      <c r="AU25">
        <f>Table3[[#This Row],[PTS]]+(2 * Table3[[#This Row],[GR]] * Table3[[#This Row],[PTS%]])</f>
        <v>79.354838709677423</v>
      </c>
      <c r="AV25">
        <f>Table3[[#This Row],[PTS2]]+(3 * Table3[[#This Row],[GR]] * Table3[[#This Row],[PTS%2]])</f>
        <v>97.870967741935488</v>
      </c>
      <c r="AW25" s="15" t="str">
        <f>_xlfn.CONCAT(TEXT(Table3[[#This Row],[W]], "0"), "-", TEXT(Table3[[#This Row],[RL]],"0"), "-", TEXT(Table3[[#This Row],[OTL]]+Table3[[#This Row],[SOL]], "0"))</f>
        <v>12-13-6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37</v>
      </c>
      <c r="AZ25">
        <f>SUMIF(DataRegularSeason20242025!$D$3:$D$1315,$A25, DataRegularSeason20242025!$K$3:$K$1315)</f>
        <v>49</v>
      </c>
      <c r="BA25">
        <f t="shared" si="3"/>
        <v>-12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40</v>
      </c>
      <c r="BD25">
        <f>SUMIF(DataRegularSeason20242025!$E$3:$E$1315,$A25,DataRegularSeason20242025!$J$3:$J$1315)</f>
        <v>49</v>
      </c>
      <c r="BE25">
        <f t="shared" si="4"/>
        <v>-9</v>
      </c>
      <c r="BF25">
        <f t="shared" si="5"/>
        <v>77</v>
      </c>
      <c r="BG25">
        <f t="shared" si="6"/>
        <v>98</v>
      </c>
      <c r="BH25">
        <f t="shared" si="7"/>
        <v>-21</v>
      </c>
      <c r="BI25" s="12">
        <f>Table3[[#This Row],[GF]]/Table3[[#This Row],[GP]]</f>
        <v>2.4838709677419355</v>
      </c>
      <c r="BJ25" s="12">
        <f>Table3[[#This Row],[GA]]/Table3[[#This Row],[GP]]</f>
        <v>3.161290322580645</v>
      </c>
      <c r="BK25" s="12">
        <f>(Table3[[#This Row],[GF]]-Table3[[#This Row],[GA]])/Table3[[#This Row],[GP]]</f>
        <v>-0.67741935483870963</v>
      </c>
      <c r="BL25" s="42" t="str">
        <f>_xlfn.CONCAT(TEXT(Table3[[#This Row],[W_H]], "0"), "-", TEXT(Table3[[#This Row],[RL_H]],"0"), "-", TEXT(Table3[[#This Row],[OTL_H]]+Table3[[#This Row],[SOL_H]], "0"))</f>
        <v>7-7-3</v>
      </c>
      <c r="BM25" s="42" t="str">
        <f>_xlfn.CONCAT(TEXT(Table3[[#This Row],[W_A]], "0"), "-", TEXT(Table3[[#This Row],[RL_A]],"0"), "-", TEXT(Table3[[#This Row],[OTL_A]]+Table3[[#This Row],[SOL_A]], "0"))</f>
        <v>5-6-3</v>
      </c>
      <c r="BN25" s="42">
        <f>((2*(Table3[[#This Row],[W_H]]))+Table3[[#This Row],[OTL_H]]+Table3[[#This Row],[SOL_H]])/(2*Table3[[#This Row],[GP_H]])</f>
        <v>0.5</v>
      </c>
      <c r="BO25" s="42">
        <f>((2*(Table3[[#This Row],[W_A]]))+Table3[[#This Row],[OTL_A]]+Table3[[#This Row],[SOL_A]])/(2*Table3[[#This Row],[GP_A]])</f>
        <v>0.4642857142857143</v>
      </c>
      <c r="BP25" s="16">
        <f>(Table3[[#This Row],[W]]*$CX$3)+(Table3[[#This Row],[L]]*$CX$4)+(Table3[[#This Row],[GF]]*$CX$5)+(Table3[[#This Row],[GA]]*$CX$6)</f>
        <v>33.049999999999997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90.57372528616024</v>
      </c>
      <c r="BR25" s="16">
        <f>(Table3[[#This Row],[W]]*0.7) + ((Table3[[#This Row],[GF]] - Table3[[#This Row],[GA]])*0.25)+(Table3[[#This Row],[GF]]*0.1)+(Table3[[#This Row],[GA]]*0.05)+(Table3[[#This Row],[L]]*0.3)</f>
        <v>21.45</v>
      </c>
      <c r="BS25" s="16">
        <f>Table3[[#This Row],[TeamCost83]]/Table3[[#This Row],[GP]]</f>
        <v>0.6919354838709677</v>
      </c>
      <c r="BT25">
        <f>COUNTIFS(Table2[AwayTeam],$A25,Table2[PredictedWinner], $A25, Table2[GameIsOver], 1)</f>
        <v>4</v>
      </c>
      <c r="BU25">
        <f>COUNTIFS(Table2[HomeTeam],$A25,Table2[PredictedWinner], $A25, Table2[GameIsOver], 1)</f>
        <v>8</v>
      </c>
      <c r="BV25">
        <f t="shared" si="8"/>
        <v>12</v>
      </c>
      <c r="BW25">
        <f t="shared" si="9"/>
        <v>10</v>
      </c>
      <c r="BX25">
        <f t="shared" si="10"/>
        <v>9</v>
      </c>
      <c r="BY25">
        <f t="shared" si="11"/>
        <v>19</v>
      </c>
      <c r="BZ25">
        <f>Table3[[#This Row],[TimesPredictedWinner]]/Table3[[#This Row],[GP]]</f>
        <v>0.38709677419354838</v>
      </c>
      <c r="CC25" s="1">
        <v>45745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5.9</v>
      </c>
      <c r="CJ25">
        <f>SUMIFS(Table2[GamePredictionScore], Table2[HomeTeam], Table3[[#This Row],[Teams]])</f>
        <v>3.9</v>
      </c>
      <c r="CK25">
        <f>Table3[[#This Row],[Column4]]+Table3[[#This Row],[Column3]]</f>
        <v>9.8000000000000007</v>
      </c>
      <c r="CL25">
        <f>Table3[[#This Row],[Column5]]/Table3[[#This Row],[GP]]</f>
        <v>0.31612903225806455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31</v>
      </c>
      <c r="E26" s="10">
        <f>Table3[[#This Row],[Watched]]/Table3[[#This Row],[GP]]</f>
        <v>0.93939393939393945</v>
      </c>
      <c r="F26">
        <f>COUNTIFS(DataRegularSeason20242025!$N$3:$N$1315,1,DataRegularSeason20242025!$D$3:$D$1315,$A26)</f>
        <v>17</v>
      </c>
      <c r="G26">
        <f>41-Table3[[#This Row],[GP_A]]</f>
        <v>24</v>
      </c>
      <c r="H26">
        <f>COUNTIFS(DataRegularSeason20242025!$E$3:$E$1315,$A26,DataRegularSeason20242025!$N$3:$N$1315,1)</f>
        <v>16</v>
      </c>
      <c r="I26">
        <f>41-Table3[[#This Row],[GP_H]]</f>
        <v>25</v>
      </c>
      <c r="J26">
        <f t="shared" si="0"/>
        <v>33</v>
      </c>
      <c r="K26">
        <f>82-Table3[[#This Row],[GP]]</f>
        <v>49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7</v>
      </c>
      <c r="U26">
        <f>COUNTIFS(DataRegularSeason20242025!$E$3:$E$1315,$A26, DataRegularSeason20242025!$L$3:$L$1315, $A26,DataRegularSeason20242025!$N$3:$N$1315,1,DataRegularSeason20242025!$M$3:$M$1315,"REG")</f>
        <v>6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9</v>
      </c>
      <c r="Y26">
        <f>COUNTIFS(DataRegularSeason20242025!$E$3:$E$1315,$A26, DataRegularSeason20242025!$S$3:$S$1315, $A26,DataRegularSeason20242025!$M$3:$M$1315,"REG")</f>
        <v>6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0.39393939393939392</v>
      </c>
      <c r="AC26">
        <f>Table3[[#This Row],[W_A]]+Table3[[#This Row],[W_H]]</f>
        <v>13</v>
      </c>
      <c r="AD26">
        <f>Table3[[#This Row],[L_A]]+Table3[[#This Row],[L_H]]</f>
        <v>20</v>
      </c>
      <c r="AE26">
        <f>Table3[[#This Row],[RW_A]]+Table3[[#This Row],[RW_H]]</f>
        <v>12</v>
      </c>
      <c r="AF26">
        <f>Table3[[#This Row],[RL_A]]+Table3[[#This Row],[RL_H]]</f>
        <v>14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0.21212121212121213</v>
      </c>
      <c r="AO26">
        <f>(2*(Table3[[#This Row],[W_A]]+Table3[[#This Row],[W_H]]))+Table3[[#This Row],[OTL_A]]+Table3[[#This Row],[SOL_A]]+Table3[[#This Row],[OTL_H]]+Table3[[#This Row],[SOL_H]]</f>
        <v>32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6" s="10">
        <f>Table3[[#This Row],[PTS]]/(2*Table3[[#This Row],[GP]])</f>
        <v>0.48484848484848486</v>
      </c>
      <c r="AR26" s="10">
        <f>Table3[[#This Row],[PTS2]]/(3*Table3[[#This Row],[GP]])</f>
        <v>0.44444444444444442</v>
      </c>
      <c r="AS26">
        <f>(2*Table3[[#This Row],[GR]])+Table3[[#This Row],[PTS]]</f>
        <v>130</v>
      </c>
      <c r="AT26">
        <f>(3*Table3[[#This Row],[GR]])+Table3[[#This Row],[PTS2]]</f>
        <v>191</v>
      </c>
      <c r="AU26">
        <f>Table3[[#This Row],[PTS]]+(2 * Table3[[#This Row],[GR]] * Table3[[#This Row],[PTS%]])</f>
        <v>79.515151515151516</v>
      </c>
      <c r="AV26">
        <f>Table3[[#This Row],[PTS2]]+(3 * Table3[[#This Row],[GR]] * Table3[[#This Row],[PTS%2]])</f>
        <v>109.33333333333333</v>
      </c>
      <c r="AW26" s="15" t="str">
        <f>_xlfn.CONCAT(TEXT(Table3[[#This Row],[W]], "0"), "-", TEXT(Table3[[#This Row],[RL]],"0"), "-", TEXT(Table3[[#This Row],[OTL]]+Table3[[#This Row],[SOL]], "0"))</f>
        <v>13-14-6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49</v>
      </c>
      <c r="AZ26">
        <f>SUMIF(DataRegularSeason20242025!$D$3:$D$1315,$A26, DataRegularSeason20242025!$K$3:$K$1315)</f>
        <v>60</v>
      </c>
      <c r="BA26">
        <f t="shared" si="3"/>
        <v>-11</v>
      </c>
      <c r="BB26">
        <f>COUNTIFS(DataRegularSeason20242025!$E$3:$E$1315,Table3[[#This Row],[Teams]],DataRegularSeason20242025!$J$3:$J$1315,0)</f>
        <v>1</v>
      </c>
      <c r="BC26">
        <f>SUMIF(DataRegularSeason20242025!$E$3:$E$1315,$A26,DataRegularSeason20242025!$K$3:$K$1315)</f>
        <v>44</v>
      </c>
      <c r="BD26">
        <f>SUMIF(DataRegularSeason20242025!$E$3:$E$1315,$A26,DataRegularSeason20242025!$J$3:$J$1315)</f>
        <v>41</v>
      </c>
      <c r="BE26">
        <f t="shared" si="4"/>
        <v>3</v>
      </c>
      <c r="BF26">
        <f t="shared" si="5"/>
        <v>93</v>
      </c>
      <c r="BG26">
        <f t="shared" si="6"/>
        <v>101</v>
      </c>
      <c r="BH26">
        <f t="shared" si="7"/>
        <v>-8</v>
      </c>
      <c r="BI26" s="12">
        <f>Table3[[#This Row],[GF]]/Table3[[#This Row],[GP]]</f>
        <v>2.8181818181818183</v>
      </c>
      <c r="BJ26" s="12">
        <f>Table3[[#This Row],[GA]]/Table3[[#This Row],[GP]]</f>
        <v>3.0606060606060606</v>
      </c>
      <c r="BK26" s="12">
        <f>(Table3[[#This Row],[GF]]-Table3[[#This Row],[GA]])/Table3[[#This Row],[GP]]</f>
        <v>-0.24242424242424243</v>
      </c>
      <c r="BL26" s="42" t="str">
        <f>_xlfn.CONCAT(TEXT(Table3[[#This Row],[W_H]], "0"), "-", TEXT(Table3[[#This Row],[RL_H]],"0"), "-", TEXT(Table3[[#This Row],[OTL_H]]+Table3[[#This Row],[SOL_H]], "0"))</f>
        <v>7-6-3</v>
      </c>
      <c r="BM26" s="42" t="str">
        <f>_xlfn.CONCAT(TEXT(Table3[[#This Row],[W_A]], "0"), "-", TEXT(Table3[[#This Row],[RL_A]],"0"), "-", TEXT(Table3[[#This Row],[OTL_A]]+Table3[[#This Row],[SOL_A]], "0"))</f>
        <v>6-8-3</v>
      </c>
      <c r="BN26" s="42">
        <f>((2*(Table3[[#This Row],[W_H]]))+Table3[[#This Row],[OTL_H]]+Table3[[#This Row],[SOL_H]])/(2*Table3[[#This Row],[GP_H]])</f>
        <v>0.53125</v>
      </c>
      <c r="BO26" s="42">
        <f>((2*(Table3[[#This Row],[W_A]]))+Table3[[#This Row],[OTL_A]]+Table3[[#This Row],[SOL_A]])/(2*Table3[[#This Row],[GP_A]])</f>
        <v>0.44117647058823528</v>
      </c>
      <c r="BP26" s="16">
        <f>(Table3[[#This Row],[W]]*$CX$3)+(Table3[[#This Row],[L]]*$CX$4)+(Table3[[#This Row],[GF]]*$CX$5)+(Table3[[#This Row],[GA]]*$CX$6)</f>
        <v>36.549999999999997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97.297015610651982</v>
      </c>
      <c r="BR26" s="16">
        <f>(Table3[[#This Row],[W]]*0.7) + ((Table3[[#This Row],[GF]] - Table3[[#This Row],[GA]])*0.25)+(Table3[[#This Row],[GF]]*0.1)+(Table3[[#This Row],[GA]]*0.05)+(Table3[[#This Row],[L]]*0.3)</f>
        <v>27.45</v>
      </c>
      <c r="BS26" s="16">
        <f>Table3[[#This Row],[TeamCost83]]/Table3[[#This Row],[GP]]</f>
        <v>0.83181818181818179</v>
      </c>
      <c r="BT26">
        <f>COUNTIFS(Table2[AwayTeam],$A26,Table2[PredictedWinner], $A26, Table2[GameIsOver], 1)</f>
        <v>7</v>
      </c>
      <c r="BU26">
        <f>COUNTIFS(Table2[HomeTeam],$A26,Table2[PredictedWinner], $A26, Table2[GameIsOver], 1)</f>
        <v>4</v>
      </c>
      <c r="BV26">
        <f t="shared" si="8"/>
        <v>11</v>
      </c>
      <c r="BW26">
        <f t="shared" si="9"/>
        <v>10</v>
      </c>
      <c r="BX26">
        <f t="shared" si="10"/>
        <v>12</v>
      </c>
      <c r="BY26">
        <f t="shared" si="11"/>
        <v>22</v>
      </c>
      <c r="BZ26">
        <f>Table3[[#This Row],[TimesPredictedWinner]]/Table3[[#This Row],[GP]]</f>
        <v>0.33333333333333331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8.3999999999999986</v>
      </c>
      <c r="CJ26">
        <f>SUMIFS(Table2[GamePredictionScore], Table2[HomeTeam], Table3[[#This Row],[Teams]])</f>
        <v>4.4000000000000004</v>
      </c>
      <c r="CK26">
        <f>Table3[[#This Row],[Column4]]+Table3[[#This Row],[Column3]]</f>
        <v>12.799999999999999</v>
      </c>
      <c r="CL26">
        <f>Table3[[#This Row],[Column5]]/Table3[[#This Row],[GP]]</f>
        <v>0.38787878787878782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35</v>
      </c>
      <c r="B27" t="s">
        <v>91</v>
      </c>
      <c r="C27" t="s">
        <v>92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0.72727272727272729</v>
      </c>
      <c r="F27">
        <f>COUNTIFS(DataRegularSeason20242025!$N$3:$N$1315,1,DataRegularSeason20242025!$D$3:$D$1315,$A27)</f>
        <v>18</v>
      </c>
      <c r="G27">
        <f>41-Table3[[#This Row],[GP_A]]</f>
        <v>23</v>
      </c>
      <c r="H27">
        <f>COUNTIFS(DataRegularSeason20242025!$E$3:$E$1315,$A27,DataRegularSeason20242025!$N$3:$N$1315,1)</f>
        <v>15</v>
      </c>
      <c r="I27">
        <f>41-Table3[[#This Row],[GP_H]]</f>
        <v>26</v>
      </c>
      <c r="J27">
        <f t="shared" si="0"/>
        <v>33</v>
      </c>
      <c r="K27">
        <f>82-Table3[[#This Row],[GP]]</f>
        <v>49</v>
      </c>
      <c r="L27">
        <f>COUNTIFS(DataRegularSeason20242025!$D$3:$D$1315,$A27, DataRegularSeason20242025!$L$3:$L$1315, $A27,DataRegularSeason20242025!$N$3:$N$1315,1)</f>
        <v>7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2</v>
      </c>
      <c r="P27">
        <f t="shared" si="1"/>
        <v>11</v>
      </c>
      <c r="Q27">
        <f>COUNTIFS(DataRegularSeason20242025!$D$3:$D$1315,$A27, DataRegularSeason20242025!$S$3:$S$1315, $A27,DataRegularSeason20242025!$M$3:$M$1315,"REG")</f>
        <v>8</v>
      </c>
      <c r="R27">
        <f>COUNTIFS(DataRegularSeason20242025!$D$3:$D$1315,$A27, DataRegularSeason20242025!$S$3:$S$1315, $A27,DataRegularSeason20242025!$M$3:$M$1315,"OT")</f>
        <v>3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7</v>
      </c>
      <c r="U27">
        <f>COUNTIFS(DataRegularSeason20242025!$E$3:$E$1315,$A27, DataRegularSeason20242025!$L$3:$L$1315, $A27,DataRegularSeason20242025!$N$3:$N$1315,1,DataRegularSeason20242025!$M$3:$M$1315,"REG")</f>
        <v>4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2</v>
      </c>
      <c r="X27">
        <f t="shared" si="2"/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0.42424242424242425</v>
      </c>
      <c r="AC27">
        <f>Table3[[#This Row],[W_A]]+Table3[[#This Row],[W_H]]</f>
        <v>14</v>
      </c>
      <c r="AD27">
        <f>Table3[[#This Row],[L_A]]+Table3[[#This Row],[L_H]]</f>
        <v>19</v>
      </c>
      <c r="AE27">
        <f>Table3[[#This Row],[RW_A]]+Table3[[#This Row],[RW_H]]</f>
        <v>7</v>
      </c>
      <c r="AF27">
        <f>Table3[[#This Row],[RL_A]]+Table3[[#This Row],[RL_H]]</f>
        <v>13</v>
      </c>
      <c r="AG27">
        <f>Table3[[#This Row],[OTW_A]]+Table3[[#This Row],[OTW_H]]</f>
        <v>3</v>
      </c>
      <c r="AH27">
        <f>Table3[[#This Row],[OTL_A]]+Table3[[#This Row],[OTL_H]]</f>
        <v>5</v>
      </c>
      <c r="AI27">
        <f>Table3[[#This Row],[SOW_A]]+Table3[[#This Row],[SOW_H]]</f>
        <v>4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7-6</v>
      </c>
      <c r="AL27">
        <f>SUM(Table3[[#This Row],[OTW]],Table3[[#This Row],[OTL]],Table3[[#This Row],[SOW]],Table3[[#This Row],[SOL]])</f>
        <v>13</v>
      </c>
      <c r="AM27">
        <f>(Table3[[#This Row],[OTW]]+Table3[[#This Row],[SOW]])/IF(Table3[[#This Row],[Total_ExtraTimes]]=0,1,Table3[[#This Row],[Total_ExtraTimes]])</f>
        <v>0.53846153846153844</v>
      </c>
      <c r="AN27">
        <f>Table3[[#This Row],[Total_ExtraTimes]]/MAX(1,Table3[[#This Row],[GP]])</f>
        <v>0.39393939393939392</v>
      </c>
      <c r="AO27">
        <f>(2*(Table3[[#This Row],[W_A]]+Table3[[#This Row],[W_H]]))+Table3[[#This Row],[OTL_A]]+Table3[[#This Row],[SOL_A]]+Table3[[#This Row],[OTL_H]]+Table3[[#This Row],[SOL_H]]</f>
        <v>34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7" s="10">
        <f>Table3[[#This Row],[PTS]]/(2*Table3[[#This Row],[GP]])</f>
        <v>0.51515151515151514</v>
      </c>
      <c r="AR27" s="10">
        <f>Table3[[#This Row],[PTS2]]/(3*Table3[[#This Row],[GP]])</f>
        <v>0.41414141414141414</v>
      </c>
      <c r="AS27">
        <f>(2*Table3[[#This Row],[GR]])+Table3[[#This Row],[PTS]]</f>
        <v>132</v>
      </c>
      <c r="AT27">
        <f>(3*Table3[[#This Row],[GR]])+Table3[[#This Row],[PTS2]]</f>
        <v>188</v>
      </c>
      <c r="AU27">
        <f>Table3[[#This Row],[PTS]]+(2 * Table3[[#This Row],[GR]] * Table3[[#This Row],[PTS%]])</f>
        <v>84.484848484848484</v>
      </c>
      <c r="AV27">
        <f>Table3[[#This Row],[PTS2]]+(3 * Table3[[#This Row],[GR]] * Table3[[#This Row],[PTS%2]])</f>
        <v>101.87878787878788</v>
      </c>
      <c r="AW27" s="15" t="str">
        <f>_xlfn.CONCAT(TEXT(Table3[[#This Row],[W]], "0"), "-", TEXT(Table3[[#This Row],[RL]],"0"), "-", TEXT(Table3[[#This Row],[OTL]]+Table3[[#This Row],[SOL]], "0"))</f>
        <v>14-13-6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55</v>
      </c>
      <c r="AZ27">
        <f>SUMIF(DataRegularSeason20242025!$D$3:$D$1315,$A27, DataRegularSeason20242025!$K$3:$K$1315)</f>
        <v>63</v>
      </c>
      <c r="BA27">
        <f t="shared" si="3"/>
        <v>-8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45</v>
      </c>
      <c r="BD27">
        <f>SUMIF(DataRegularSeason20242025!$E$3:$E$1315,$A27,DataRegularSeason20242025!$J$3:$J$1315)</f>
        <v>51</v>
      </c>
      <c r="BE27">
        <f t="shared" si="4"/>
        <v>-6</v>
      </c>
      <c r="BF27">
        <f t="shared" si="5"/>
        <v>100</v>
      </c>
      <c r="BG27">
        <f t="shared" si="6"/>
        <v>114</v>
      </c>
      <c r="BH27">
        <f t="shared" si="7"/>
        <v>-14</v>
      </c>
      <c r="BI27" s="12">
        <f>Table3[[#This Row],[GF]]/Table3[[#This Row],[GP]]</f>
        <v>3.0303030303030303</v>
      </c>
      <c r="BJ27" s="12">
        <f>Table3[[#This Row],[GA]]/Table3[[#This Row],[GP]]</f>
        <v>3.4545454545454546</v>
      </c>
      <c r="BK27" s="12">
        <f>(Table3[[#This Row],[GF]]-Table3[[#This Row],[GA]])/Table3[[#This Row],[GP]]</f>
        <v>-0.42424242424242425</v>
      </c>
      <c r="BL27" s="42" t="str">
        <f>_xlfn.CONCAT(TEXT(Table3[[#This Row],[W_H]], "0"), "-", TEXT(Table3[[#This Row],[RL_H]],"0"), "-", TEXT(Table3[[#This Row],[OTL_H]]+Table3[[#This Row],[SOL_H]], "0"))</f>
        <v>7-5-3</v>
      </c>
      <c r="BM27" s="42" t="str">
        <f>_xlfn.CONCAT(TEXT(Table3[[#This Row],[W_A]], "0"), "-", TEXT(Table3[[#This Row],[RL_A]],"0"), "-", TEXT(Table3[[#This Row],[OTL_A]]+Table3[[#This Row],[SOL_A]], "0"))</f>
        <v>7-8-3</v>
      </c>
      <c r="BN27" s="42">
        <f>((2*(Table3[[#This Row],[W_H]]))+Table3[[#This Row],[OTL_H]]+Table3[[#This Row],[SOL_H]])/(2*Table3[[#This Row],[GP_H]])</f>
        <v>0.56666666666666665</v>
      </c>
      <c r="BO27" s="42">
        <f>((2*(Table3[[#This Row],[W_A]]))+Table3[[#This Row],[OTL_A]]+Table3[[#This Row],[SOL_A]])/(2*Table3[[#This Row],[GP_A]])</f>
        <v>0.47222222222222221</v>
      </c>
      <c r="BP27" s="16">
        <f>(Table3[[#This Row],[W]]*$CX$3)+(Table3[[#This Row],[L]]*$CX$4)+(Table3[[#This Row],[GF]]*$CX$5)+(Table3[[#This Row],[GA]]*$CX$6)</f>
        <v>39.1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105.7014692378329</v>
      </c>
      <c r="BR27" s="16">
        <f>(Table3[[#This Row],[W]]*0.7) + ((Table3[[#This Row],[GF]] - Table3[[#This Row],[GA]])*0.25)+(Table3[[#This Row],[GF]]*0.1)+(Table3[[#This Row],[GA]]*0.05)+(Table3[[#This Row],[L]]*0.3)</f>
        <v>27.699999999999996</v>
      </c>
      <c r="BS27" s="16">
        <f>Table3[[#This Row],[TeamCost83]]/Table3[[#This Row],[GP]]</f>
        <v>0.83939393939393925</v>
      </c>
      <c r="BT27">
        <f>COUNTIFS(Table2[AwayTeam],$A27,Table2[PredictedWinner], $A27, Table2[GameIsOver], 1)</f>
        <v>0</v>
      </c>
      <c r="BU27">
        <f>COUNTIFS(Table2[HomeTeam],$A27,Table2[PredictedWinner], $A27, Table2[GameIsOver], 1)</f>
        <v>9</v>
      </c>
      <c r="BV27">
        <f t="shared" si="8"/>
        <v>9</v>
      </c>
      <c r="BW27">
        <f t="shared" si="9"/>
        <v>18</v>
      </c>
      <c r="BX27">
        <f t="shared" si="10"/>
        <v>6</v>
      </c>
      <c r="BY27">
        <f t="shared" si="11"/>
        <v>24</v>
      </c>
      <c r="BZ27">
        <f>Table3[[#This Row],[TimesPredictedWinner]]/Table3[[#This Row],[GP]]</f>
        <v>0.27272727272727271</v>
      </c>
      <c r="CC27" s="1">
        <v>45763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9.5</v>
      </c>
      <c r="CJ27">
        <f>SUMIFS(Table2[GamePredictionScore], Table2[HomeTeam], Table3[[#This Row],[Teams]])</f>
        <v>7.6999999999999993</v>
      </c>
      <c r="CK27">
        <f>Table3[[#This Row],[Column4]]+Table3[[#This Row],[Column3]]</f>
        <v>17.2</v>
      </c>
      <c r="CL27">
        <f>Table3[[#This Row],[Column5]]/Table3[[#This Row],[GP]]</f>
        <v>0.52121212121212124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21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26</v>
      </c>
      <c r="E28" s="10">
        <f>Table3[[#This Row],[Watched]]/Table3[[#This Row],[GP]]</f>
        <v>0.8125</v>
      </c>
      <c r="F28">
        <f>COUNTIFS(DataRegularSeason20242025!$N$3:$N$1315,1,DataRegularSeason20242025!$D$3:$D$1315,$A28)</f>
        <v>16</v>
      </c>
      <c r="G28">
        <f>41-Table3[[#This Row],[GP_A]]</f>
        <v>25</v>
      </c>
      <c r="H28">
        <f>COUNTIFS(DataRegularSeason20242025!$E$3:$E$1315,$A28,DataRegularSeason20242025!$N$3:$N$1315,1)</f>
        <v>16</v>
      </c>
      <c r="I28">
        <f>41-Table3[[#This Row],[GP_H]]</f>
        <v>25</v>
      </c>
      <c r="J28">
        <f t="shared" si="0"/>
        <v>32</v>
      </c>
      <c r="K28">
        <f>82-Table3[[#This Row],[GP]]</f>
        <v>50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 t="shared" si="1"/>
        <v>9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8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0.46875</v>
      </c>
      <c r="AC28">
        <f>Table3[[#This Row],[W_A]]+Table3[[#This Row],[W_H]]</f>
        <v>15</v>
      </c>
      <c r="AD28">
        <f>Table3[[#This Row],[L_A]]+Table3[[#This Row],[L_H]]</f>
        <v>17</v>
      </c>
      <c r="AE28">
        <f>Table3[[#This Row],[RW_A]]+Table3[[#This Row],[RW_H]]</f>
        <v>13</v>
      </c>
      <c r="AF28">
        <f>Table3[[#This Row],[RL_A]]+Table3[[#This Row],[RL_H]]</f>
        <v>15</v>
      </c>
      <c r="AG28">
        <f>Table3[[#This Row],[OTW_A]]+Table3[[#This Row],[OTW_H]]</f>
        <v>1</v>
      </c>
      <c r="AH28">
        <f>Table3[[#This Row],[OTL_A]]+Table3[[#This Row],[OTL_H]]</f>
        <v>1</v>
      </c>
      <c r="AI28">
        <f>Table3[[#This Row],[SOW_A]]+Table3[[#This Row],[SOW_H]]</f>
        <v>1</v>
      </c>
      <c r="AJ28">
        <f>Table3[[#This Row],[SOL_A]]+Table3[[#This Row],[SOL_H]]</f>
        <v>1</v>
      </c>
      <c r="AK28" s="15" t="str">
        <f>_xlfn.CONCAT(TEXT(Table3[[#This Row],[OTW]]+Table3[[#This Row],[SOW]], "0"), "-", TEXT(Table3[[#This Row],[OTL]]+Table3[[#This Row],[SOL]],"0"))</f>
        <v>2-2</v>
      </c>
      <c r="AL28">
        <f>SUM(Table3[[#This Row],[OTW]],Table3[[#This Row],[OTL]],Table3[[#This Row],[SOW]],Table3[[#This Row],[SOL]])</f>
        <v>4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0.125</v>
      </c>
      <c r="AO28">
        <f>(2*(Table3[[#This Row],[W_A]]+Table3[[#This Row],[W_H]]))+Table3[[#This Row],[OTL_A]]+Table3[[#This Row],[SOL_A]]+Table3[[#This Row],[OTL_H]]+Table3[[#This Row],[SOL_H]]</f>
        <v>32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8" s="10">
        <f>Table3[[#This Row],[PTS]]/(2*Table3[[#This Row],[GP]])</f>
        <v>0.5</v>
      </c>
      <c r="AR28" s="10">
        <f>Table3[[#This Row],[PTS2]]/(3*Table3[[#This Row],[GP]])</f>
        <v>0.46875</v>
      </c>
      <c r="AS28">
        <f>(2*Table3[[#This Row],[GR]])+Table3[[#This Row],[PTS]]</f>
        <v>132</v>
      </c>
      <c r="AT28">
        <f>(3*Table3[[#This Row],[GR]])+Table3[[#This Row],[PTS2]]</f>
        <v>195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115.3125</v>
      </c>
      <c r="AW28" s="15" t="str">
        <f>_xlfn.CONCAT(TEXT(Table3[[#This Row],[W]], "0"), "-", TEXT(Table3[[#This Row],[RL]],"0"), "-", TEXT(Table3[[#This Row],[OTL]]+Table3[[#This Row],[SOL]], "0"))</f>
        <v>15-15-2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44</v>
      </c>
      <c r="AZ28">
        <f>SUMIF(DataRegularSeason20242025!$D$3:$D$1315,$A28, DataRegularSeason20242025!$K$3:$K$1315)</f>
        <v>53</v>
      </c>
      <c r="BA28">
        <f t="shared" si="3"/>
        <v>-9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54</v>
      </c>
      <c r="BD28">
        <f>SUMIF(DataRegularSeason20242025!$E$3:$E$1315,$A28,DataRegularSeason20242025!$J$3:$J$1315)</f>
        <v>46</v>
      </c>
      <c r="BE28">
        <f t="shared" si="4"/>
        <v>8</v>
      </c>
      <c r="BF28">
        <f t="shared" si="5"/>
        <v>98</v>
      </c>
      <c r="BG28">
        <f t="shared" si="6"/>
        <v>99</v>
      </c>
      <c r="BH28">
        <f t="shared" si="7"/>
        <v>-1</v>
      </c>
      <c r="BI28" s="12">
        <f>Table3[[#This Row],[GF]]/Table3[[#This Row],[GP]]</f>
        <v>3.0625</v>
      </c>
      <c r="BJ28" s="12">
        <f>Table3[[#This Row],[GA]]/Table3[[#This Row],[GP]]</f>
        <v>3.09375</v>
      </c>
      <c r="BK28" s="12">
        <f>(Table3[[#This Row],[GF]]-Table3[[#This Row],[GA]])/Table3[[#This Row],[GP]]</f>
        <v>-3.125E-2</v>
      </c>
      <c r="BL28" s="42" t="str">
        <f>_xlfn.CONCAT(TEXT(Table3[[#This Row],[W_H]], "0"), "-", TEXT(Table3[[#This Row],[RL_H]],"0"), "-", TEXT(Table3[[#This Row],[OTL_H]]+Table3[[#This Row],[SOL_H]], "0"))</f>
        <v>8-7-1</v>
      </c>
      <c r="BM28" s="42" t="str">
        <f>_xlfn.CONCAT(TEXT(Table3[[#This Row],[W_A]], "0"), "-", TEXT(Table3[[#This Row],[RL_A]],"0"), "-", TEXT(Table3[[#This Row],[OTL_A]]+Table3[[#This Row],[SOL_A]], "0"))</f>
        <v>7-8-1</v>
      </c>
      <c r="BN28" s="42">
        <f>((2*(Table3[[#This Row],[W_H]]))+Table3[[#This Row],[OTL_H]]+Table3[[#This Row],[SOL_H]])/(2*Table3[[#This Row],[GP_H]])</f>
        <v>0.53125</v>
      </c>
      <c r="BO28" s="42">
        <f>((2*(Table3[[#This Row],[W_A]]))+Table3[[#This Row],[OTL_A]]+Table3[[#This Row],[SOL_A]])/(2*Table3[[#This Row],[GP_A]])</f>
        <v>0.46875</v>
      </c>
      <c r="BP28" s="16">
        <f>(Table3[[#This Row],[W]]*$CX$3)+(Table3[[#This Row],[L]]*$CX$4)+(Table3[[#This Row],[GF]]*$CX$5)+(Table3[[#This Row],[GA]]*$CX$6)</f>
        <v>37.199999999999996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101.2625</v>
      </c>
      <c r="BR28" s="16">
        <f>(Table3[[#This Row],[W]]*0.7) + ((Table3[[#This Row],[GF]] - Table3[[#This Row],[GA]])*0.25)+(Table3[[#This Row],[GF]]*0.1)+(Table3[[#This Row],[GA]]*0.05)+(Table3[[#This Row],[L]]*0.3)</f>
        <v>30.1</v>
      </c>
      <c r="BS28" s="16">
        <f>Table3[[#This Row],[TeamCost83]]/Table3[[#This Row],[GP]]</f>
        <v>0.94062500000000004</v>
      </c>
      <c r="BT28">
        <f>COUNTIFS(Table2[AwayTeam],$A28,Table2[PredictedWinner], $A28, Table2[GameIsOver], 1)</f>
        <v>9</v>
      </c>
      <c r="BU28">
        <f>COUNTIFS(Table2[HomeTeam],$A28,Table2[PredictedWinner], $A28, Table2[GameIsOver], 1)</f>
        <v>11</v>
      </c>
      <c r="BV28">
        <f t="shared" si="8"/>
        <v>20</v>
      </c>
      <c r="BW28">
        <f t="shared" si="9"/>
        <v>7</v>
      </c>
      <c r="BX28">
        <f t="shared" si="10"/>
        <v>5</v>
      </c>
      <c r="BY28">
        <f t="shared" si="11"/>
        <v>12</v>
      </c>
      <c r="BZ28">
        <f>Table3[[#This Row],[TimesPredictedWinner]]/Table3[[#This Row],[GP]]</f>
        <v>0.625</v>
      </c>
      <c r="CD28" s="1">
        <v>45741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5.8000000000000007</v>
      </c>
      <c r="CJ28">
        <f>SUMIFS(Table2[GamePredictionScore], Table2[HomeTeam], Table3[[#This Row],[Teams]])</f>
        <v>8.1</v>
      </c>
      <c r="CK28">
        <f>Table3[[#This Row],[Column4]]+Table3[[#This Row],[Column3]]</f>
        <v>13.9</v>
      </c>
      <c r="CL28">
        <f>Table3[[#This Row],[Column5]]/Table3[[#This Row],[GP]]</f>
        <v>0.43437500000000001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28</v>
      </c>
      <c r="E29" s="10">
        <f>Table3[[#This Row],[Watched]]/Table3[[#This Row],[GP]]</f>
        <v>0.875</v>
      </c>
      <c r="F29">
        <f>COUNTIFS(DataRegularSeason20242025!$N$3:$N$1315,1,DataRegularSeason20242025!$D$3:$D$1315,$A29)</f>
        <v>16</v>
      </c>
      <c r="G29">
        <f>41-Table3[[#This Row],[GP_A]]</f>
        <v>25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32</v>
      </c>
      <c r="K29">
        <f>82-Table3[[#This Row],[GP]]</f>
        <v>50</v>
      </c>
      <c r="L29">
        <f>COUNTIFS(DataRegularSeason20242025!$D$3:$D$1315,$A29, DataRegularSeason20242025!$L$3:$L$1315, $A29,DataRegularSeason20242025!$N$3:$N$1315,1)</f>
        <v>5</v>
      </c>
      <c r="M29">
        <f>COUNTIFS(DataRegularSeason20242025!$D$3:$D$1315,$A29, DataRegularSeason20242025!$L$3:$L$1315, $A29,DataRegularSeason20242025!$N$3:$N$1315,1,DataRegularSeason20242025!$M$3:$M$1315,"REG")</f>
        <v>2</v>
      </c>
      <c r="N29">
        <f>COUNTIFS(DataRegularSeason20242025!$D$3:$D$1315,$A29, DataRegularSeason20242025!$L$3:$L$1315, $A29,DataRegularSeason20242025!$N$3:$N$1315,1,DataRegularSeason20242025!$M$3:$M$1315,"OT")</f>
        <v>2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 t="shared" si="1"/>
        <v>11</v>
      </c>
      <c r="Q29">
        <f>COUNTIFS(DataRegularSeason20242025!$D$3:$D$1315,$A29, DataRegularSeason20242025!$S$3:$S$1315, $A29,DataRegularSeason20242025!$M$3:$M$1315,"REG")</f>
        <v>9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0.4375</v>
      </c>
      <c r="AC29">
        <f>Table3[[#This Row],[W_A]]+Table3[[#This Row],[W_H]]</f>
        <v>14</v>
      </c>
      <c r="AD29">
        <f>Table3[[#This Row],[L_A]]+Table3[[#This Row],[L_H]]</f>
        <v>18</v>
      </c>
      <c r="AE29">
        <f>Table3[[#This Row],[RW_A]]+Table3[[#This Row],[RW_H]]</f>
        <v>10</v>
      </c>
      <c r="AF29">
        <f>Table3[[#This Row],[RL_A]]+Table3[[#This Row],[RL_H]]</f>
        <v>14</v>
      </c>
      <c r="AG29">
        <f>Table3[[#This Row],[OTW_A]]+Table3[[#This Row],[OTW_H]]</f>
        <v>2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4-4</v>
      </c>
      <c r="AL29">
        <f>SUM(Table3[[#This Row],[OTW]],Table3[[#This Row],[OTL]],Table3[[#This Row],[SOW]],Table3[[#This Row],[SOL]])</f>
        <v>8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0.25</v>
      </c>
      <c r="AO29">
        <f>(2*(Table3[[#This Row],[W_A]]+Table3[[#This Row],[W_H]]))+Table3[[#This Row],[OTL_A]]+Table3[[#This Row],[SOL_A]]+Table3[[#This Row],[OTL_H]]+Table3[[#This Row],[SOL_H]]</f>
        <v>32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9" s="10">
        <f>Table3[[#This Row],[PTS]]/(2*Table3[[#This Row],[GP]])</f>
        <v>0.5</v>
      </c>
      <c r="AR29" s="10">
        <f>Table3[[#This Row],[PTS2]]/(3*Table3[[#This Row],[GP]])</f>
        <v>0.4375</v>
      </c>
      <c r="AS29">
        <f>(2*Table3[[#This Row],[GR]])+Table3[[#This Row],[PTS]]</f>
        <v>132</v>
      </c>
      <c r="AT29">
        <f>(3*Table3[[#This Row],[GR]])+Table3[[#This Row],[PTS2]]</f>
        <v>192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107.625</v>
      </c>
      <c r="AW29" s="15" t="str">
        <f>_xlfn.CONCAT(TEXT(Table3[[#This Row],[W]], "0"), "-", TEXT(Table3[[#This Row],[RL]],"0"), "-", TEXT(Table3[[#This Row],[OTL]]+Table3[[#This Row],[SOL]], "0"))</f>
        <v>14-14-4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44</v>
      </c>
      <c r="AZ29">
        <f>SUMIF(DataRegularSeason20242025!$D$3:$D$1315,$A29, DataRegularSeason20242025!$K$3:$K$1315)</f>
        <v>64</v>
      </c>
      <c r="BA29">
        <f t="shared" si="3"/>
        <v>-20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 t="shared" si="4"/>
        <v>9</v>
      </c>
      <c r="BF29">
        <f t="shared" si="5"/>
        <v>98</v>
      </c>
      <c r="BG29">
        <f t="shared" si="6"/>
        <v>109</v>
      </c>
      <c r="BH29">
        <f t="shared" si="7"/>
        <v>-11</v>
      </c>
      <c r="BI29" s="12">
        <f>Table3[[#This Row],[GF]]/Table3[[#This Row],[GP]]</f>
        <v>3.0625</v>
      </c>
      <c r="BJ29" s="12">
        <f>Table3[[#This Row],[GA]]/Table3[[#This Row],[GP]]</f>
        <v>3.40625</v>
      </c>
      <c r="BK29" s="12">
        <f>(Table3[[#This Row],[GF]]-Table3[[#This Row],[GA]])/Table3[[#This Row],[GP]]</f>
        <v>-0.34375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5-9-2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0.375</v>
      </c>
      <c r="BP29" s="16">
        <f>(Table3[[#This Row],[W]]*$CX$3)+(Table3[[#This Row],[L]]*$CX$4)+(Table3[[#This Row],[GF]]*$CX$5)+(Table3[[#This Row],[GA]]*$CX$6)</f>
        <v>38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104.62500000000001</v>
      </c>
      <c r="BR29" s="16">
        <f>(Table3[[#This Row],[W]]*0.7) + ((Table3[[#This Row],[GF]] - Table3[[#This Row],[GA]])*0.25)+(Table3[[#This Row],[GF]]*0.1)+(Table3[[#This Row],[GA]]*0.05)+(Table3[[#This Row],[L]]*0.3)</f>
        <v>27.7</v>
      </c>
      <c r="BS29" s="16">
        <f>Table3[[#This Row],[TeamCost83]]/Table3[[#This Row],[GP]]</f>
        <v>0.86562499999999998</v>
      </c>
      <c r="BT29">
        <f>COUNTIFS(Table2[AwayTeam],$A29,Table2[PredictedWinner], $A29, Table2[GameIsOver], 1)</f>
        <v>3</v>
      </c>
      <c r="BU29">
        <f>COUNTIFS(Table2[HomeTeam],$A29,Table2[PredictedWinner], $A29, Table2[GameIsOver], 1)</f>
        <v>7</v>
      </c>
      <c r="BV29">
        <f t="shared" si="8"/>
        <v>10</v>
      </c>
      <c r="BW29">
        <f t="shared" si="9"/>
        <v>13</v>
      </c>
      <c r="BX29">
        <f t="shared" si="10"/>
        <v>9</v>
      </c>
      <c r="BY29">
        <f t="shared" si="11"/>
        <v>22</v>
      </c>
      <c r="BZ29">
        <f>Table3[[#This Row],[TimesPredictedWinner]]/Table3[[#This Row],[GP]]</f>
        <v>0.3125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8.5</v>
      </c>
      <c r="CJ29">
        <f>SUMIFS(Table2[GamePredictionScore], Table2[HomeTeam], Table3[[#This Row],[Teams]])</f>
        <v>6.6</v>
      </c>
      <c r="CK29">
        <f>Table3[[#This Row],[Column4]]+Table3[[#This Row],[Column3]]</f>
        <v>15.1</v>
      </c>
      <c r="CL29">
        <f>Table3[[#This Row],[Column5]]/Table3[[#This Row],[GP]]</f>
        <v>0.47187499999999999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27</v>
      </c>
      <c r="E30" s="10">
        <f>Table3[[#This Row],[Watched]]/Table3[[#This Row],[GP]]</f>
        <v>0.79411764705882348</v>
      </c>
      <c r="F30">
        <f>COUNTIFS(DataRegularSeason20242025!$N$3:$N$1315,1,DataRegularSeason20242025!$D$3:$D$1315,$A30)</f>
        <v>16</v>
      </c>
      <c r="G30">
        <f>41-Table3[[#This Row],[GP_A]]</f>
        <v>25</v>
      </c>
      <c r="H30">
        <f>COUNTIFS(DataRegularSeason20242025!$E$3:$E$1315,$A30,DataRegularSeason20242025!$N$3:$N$1315,1)</f>
        <v>18</v>
      </c>
      <c r="I30">
        <f>41-Table3[[#This Row],[GP_H]]</f>
        <v>23</v>
      </c>
      <c r="J30">
        <f t="shared" si="0"/>
        <v>34</v>
      </c>
      <c r="K30">
        <f>82-Table3[[#This Row],[GP]]</f>
        <v>48</v>
      </c>
      <c r="L30">
        <f>COUNTIFS(DataRegularSeason20242025!$D$3:$D$1315,$A30, DataRegularSeason20242025!$L$3:$L$1315, $A30,DataRegularSeason20242025!$N$3:$N$1315,1)</f>
        <v>6</v>
      </c>
      <c r="M30">
        <f>COUNTIFS(DataRegularSeason20242025!$D$3:$D$1315,$A30, DataRegularSeason20242025!$L$3:$L$1315, $A30,DataRegularSeason20242025!$N$3:$N$1315,1,DataRegularSeason20242025!$M$3:$M$1315,"REG")</f>
        <v>6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10</v>
      </c>
      <c r="Q30">
        <f>COUNTIFS(DataRegularSeason20242025!$D$3:$D$1315,$A30, DataRegularSeason20242025!$S$3:$S$1315, $A30,DataRegularSeason20242025!$M$3:$M$1315,"REG")</f>
        <v>7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11</v>
      </c>
      <c r="Y30">
        <f>COUNTIFS(DataRegularSeason20242025!$E$3:$E$1315,$A30, DataRegularSeason20242025!$S$3:$S$1315, $A30,DataRegularSeason20242025!$M$3:$M$1315,"REG")</f>
        <v>8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0.38235294117647056</v>
      </c>
      <c r="AC30">
        <f>Table3[[#This Row],[W_A]]+Table3[[#This Row],[W_H]]</f>
        <v>13</v>
      </c>
      <c r="AD30">
        <f>Table3[[#This Row],[L_A]]+Table3[[#This Row],[L_H]]</f>
        <v>21</v>
      </c>
      <c r="AE30">
        <f>Table3[[#This Row],[RW_A]]+Table3[[#This Row],[RW_H]]</f>
        <v>12</v>
      </c>
      <c r="AF30">
        <f>Table3[[#This Row],[RL_A]]+Table3[[#This Row],[RL_H]]</f>
        <v>15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0.20588235294117646</v>
      </c>
      <c r="AO30">
        <f>(2*(Table3[[#This Row],[W_A]]+Table3[[#This Row],[W_H]]))+Table3[[#This Row],[OTL_A]]+Table3[[#This Row],[SOL_A]]+Table3[[#This Row],[OTL_H]]+Table3[[#This Row],[SOL_H]]</f>
        <v>32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30" s="10">
        <f>Table3[[#This Row],[PTS]]/(2*Table3[[#This Row],[GP]])</f>
        <v>0.47058823529411764</v>
      </c>
      <c r="AR30" s="10">
        <f>Table3[[#This Row],[PTS2]]/(3*Table3[[#This Row],[GP]])</f>
        <v>0.43137254901960786</v>
      </c>
      <c r="AS30">
        <f>(2*Table3[[#This Row],[GR]])+Table3[[#This Row],[PTS]]</f>
        <v>128</v>
      </c>
      <c r="AT30">
        <f>(3*Table3[[#This Row],[GR]])+Table3[[#This Row],[PTS2]]</f>
        <v>188</v>
      </c>
      <c r="AU30">
        <f>Table3[[#This Row],[PTS]]+(2 * Table3[[#This Row],[GR]] * Table3[[#This Row],[PTS%]])</f>
        <v>77.17647058823529</v>
      </c>
      <c r="AV30">
        <f>Table3[[#This Row],[PTS2]]+(3 * Table3[[#This Row],[GR]] * Table3[[#This Row],[PTS%2]])</f>
        <v>106.11764705882354</v>
      </c>
      <c r="AW30" s="15" t="str">
        <f>_xlfn.CONCAT(TEXT(Table3[[#This Row],[W]], "0"), "-", TEXT(Table3[[#This Row],[RL]],"0"), "-", TEXT(Table3[[#This Row],[OTL]]+Table3[[#This Row],[SOL]], "0"))</f>
        <v>13-15-6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54</v>
      </c>
      <c r="BA30">
        <f t="shared" si="3"/>
        <v>-12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45</v>
      </c>
      <c r="BD30">
        <f>SUMIF(DataRegularSeason20242025!$E$3:$E$1315,$A30,DataRegularSeason20242025!$J$3:$J$1315)</f>
        <v>68</v>
      </c>
      <c r="BE30">
        <f t="shared" si="4"/>
        <v>-23</v>
      </c>
      <c r="BF30">
        <f t="shared" si="5"/>
        <v>87</v>
      </c>
      <c r="BG30">
        <f t="shared" si="6"/>
        <v>122</v>
      </c>
      <c r="BH30">
        <f t="shared" si="7"/>
        <v>-35</v>
      </c>
      <c r="BI30" s="12">
        <f>Table3[[#This Row],[GF]]/Table3[[#This Row],[GP]]</f>
        <v>2.5588235294117645</v>
      </c>
      <c r="BJ30" s="12">
        <f>Table3[[#This Row],[GA]]/Table3[[#This Row],[GP]]</f>
        <v>3.5882352941176472</v>
      </c>
      <c r="BK30" s="12">
        <f>(Table3[[#This Row],[GF]]-Table3[[#This Row],[GA]])/Table3[[#This Row],[GP]]</f>
        <v>-1.0294117647058822</v>
      </c>
      <c r="BL30" s="42" t="str">
        <f>_xlfn.CONCAT(TEXT(Table3[[#This Row],[W_H]], "0"), "-", TEXT(Table3[[#This Row],[RL_H]],"0"), "-", TEXT(Table3[[#This Row],[OTL_H]]+Table3[[#This Row],[SOL_H]], "0"))</f>
        <v>7-8-3</v>
      </c>
      <c r="BM30" s="42" t="str">
        <f>_xlfn.CONCAT(TEXT(Table3[[#This Row],[W_A]], "0"), "-", TEXT(Table3[[#This Row],[RL_A]],"0"), "-", TEXT(Table3[[#This Row],[OTL_A]]+Table3[[#This Row],[SOL_A]], "0"))</f>
        <v>6-7-3</v>
      </c>
      <c r="BN30" s="42">
        <f>((2*(Table3[[#This Row],[W_H]]))+Table3[[#This Row],[OTL_H]]+Table3[[#This Row],[SOL_H]])/(2*Table3[[#This Row],[GP_H]])</f>
        <v>0.47222222222222221</v>
      </c>
      <c r="BO30" s="42">
        <f>((2*(Table3[[#This Row],[W_A]]))+Table3[[#This Row],[OTL_A]]+Table3[[#This Row],[SOL_A]])/(2*Table3[[#This Row],[GP_A]])</f>
        <v>0.46875</v>
      </c>
      <c r="BP30" s="16">
        <f>(Table3[[#This Row],[W]]*$CX$3)+(Table3[[#This Row],[L]]*$CX$4)+(Table3[[#This Row],[GF]]*$CX$5)+(Table3[[#This Row],[GA]]*$CX$6)</f>
        <v>38.050000000000004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99.897577854671283</v>
      </c>
      <c r="BR30" s="16">
        <f>(Table3[[#This Row],[W]]*0.7) + ((Table3[[#This Row],[GF]] - Table3[[#This Row],[GA]])*0.25)+(Table3[[#This Row],[GF]]*0.1)+(Table3[[#This Row],[GA]]*0.05)+(Table3[[#This Row],[L]]*0.3)</f>
        <v>21.450000000000003</v>
      </c>
      <c r="BS30" s="16">
        <f>Table3[[#This Row],[TeamCost83]]/Table3[[#This Row],[GP]]</f>
        <v>0.63088235294117656</v>
      </c>
      <c r="BT30">
        <f>COUNTIFS(Table2[AwayTeam],$A30,Table2[PredictedWinner], $A30, Table2[GameIsOver], 1)</f>
        <v>5</v>
      </c>
      <c r="BU30">
        <f>COUNTIFS(Table2[HomeTeam],$A30,Table2[PredictedWinner], $A30, Table2[GameIsOver], 1)</f>
        <v>3</v>
      </c>
      <c r="BV30">
        <f t="shared" si="8"/>
        <v>8</v>
      </c>
      <c r="BW30">
        <f t="shared" si="9"/>
        <v>11</v>
      </c>
      <c r="BX30">
        <f t="shared" si="10"/>
        <v>15</v>
      </c>
      <c r="BY30">
        <f t="shared" si="11"/>
        <v>26</v>
      </c>
      <c r="BZ30">
        <f>Table3[[#This Row],[TimesPredictedWinner]]/Table3[[#This Row],[GP]]</f>
        <v>0.23529411764705882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7.6999999999999984</v>
      </c>
      <c r="CJ30">
        <f>SUMIFS(Table2[GamePredictionScore], Table2[HomeTeam], Table3[[#This Row],[Teams]])</f>
        <v>8.6999999999999993</v>
      </c>
      <c r="CK30">
        <f>Table3[[#This Row],[Column4]]+Table3[[#This Row],[Column3]]</f>
        <v>16.399999999999999</v>
      </c>
      <c r="CL30">
        <f>Table3[[#This Row],[Column5]]/Table3[[#This Row],[GP]]</f>
        <v>0.48235294117647054</v>
      </c>
      <c r="CU30" s="57"/>
      <c r="CV30" s="184" t="s">
        <v>765</v>
      </c>
      <c r="CW30" s="185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84" t="s">
        <v>525</v>
      </c>
      <c r="DK30" s="185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34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0.75</v>
      </c>
      <c r="F31">
        <f>COUNTIFS(DataRegularSeason20242025!$N$3:$N$1315,1,DataRegularSeason20242025!$D$3:$D$1315,$A31)</f>
        <v>14</v>
      </c>
      <c r="G31">
        <f>41-Table3[[#This Row],[GP_A]]</f>
        <v>27</v>
      </c>
      <c r="H31">
        <f>COUNTIFS(DataRegularSeason20242025!$E$3:$E$1315,$A31,DataRegularSeason20242025!$N$3:$N$1315,1)</f>
        <v>18</v>
      </c>
      <c r="I31">
        <f>41-Table3[[#This Row],[GP_H]]</f>
        <v>23</v>
      </c>
      <c r="J31">
        <f t="shared" si="0"/>
        <v>32</v>
      </c>
      <c r="K31">
        <f>82-Table3[[#This Row],[GP]]</f>
        <v>50</v>
      </c>
      <c r="L31">
        <f>COUNTIFS(DataRegularSeason20242025!$D$3:$D$1315,$A31, DataRegularSeason20242025!$L$3:$L$1315, $A31,DataRegularSeason20242025!$N$3:$N$1315,1)</f>
        <v>5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 t="shared" si="1"/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8</v>
      </c>
      <c r="U31">
        <f>COUNTIFS(DataRegularSeason20242025!$E$3:$E$1315,$A31, DataRegularSeason20242025!$L$3:$L$1315, $A31,DataRegularSeason20242025!$N$3:$N$1315,1,DataRegularSeason20242025!$M$3:$M$1315,"REG")</f>
        <v>5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2</v>
      </c>
      <c r="X31">
        <f t="shared" si="2"/>
        <v>10</v>
      </c>
      <c r="Y31">
        <f>COUNTIFS(DataRegularSeason20242025!$E$3:$E$1315,$A31, DataRegularSeason20242025!$S$3:$S$1315, $A31,DataRegularSeason20242025!$M$3:$M$1315,"REG")</f>
        <v>8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0.40625</v>
      </c>
      <c r="AC31">
        <f>Table3[[#This Row],[W_A]]+Table3[[#This Row],[W_H]]</f>
        <v>13</v>
      </c>
      <c r="AD31">
        <f>Table3[[#This Row],[L_A]]+Table3[[#This Row],[L_H]]</f>
        <v>19</v>
      </c>
      <c r="AE31">
        <f>Table3[[#This Row],[RW_A]]+Table3[[#This Row],[RW_H]]</f>
        <v>9</v>
      </c>
      <c r="AF31">
        <f>Table3[[#This Row],[RL_A]]+Table3[[#This Row],[RL_H]]</f>
        <v>15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0.25</v>
      </c>
      <c r="AO31">
        <f>(2*(Table3[[#This Row],[W_A]]+Table3[[#This Row],[W_H]]))+Table3[[#This Row],[OTL_A]]+Table3[[#This Row],[SOL_A]]+Table3[[#This Row],[OTL_H]]+Table3[[#This Row],[SOL_H]]</f>
        <v>30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31" s="10">
        <f>Table3[[#This Row],[PTS]]/(2*Table3[[#This Row],[GP]])</f>
        <v>0.46875</v>
      </c>
      <c r="AR31" s="10">
        <f>Table3[[#This Row],[PTS2]]/(3*Table3[[#This Row],[GP]])</f>
        <v>0.40625</v>
      </c>
      <c r="AS31">
        <f>(2*Table3[[#This Row],[GR]])+Table3[[#This Row],[PTS]]</f>
        <v>130</v>
      </c>
      <c r="AT31">
        <f>(3*Table3[[#This Row],[GR]])+Table3[[#This Row],[PTS2]]</f>
        <v>189</v>
      </c>
      <c r="AU31">
        <f>Table3[[#This Row],[PTS]]+(2 * Table3[[#This Row],[GR]] * Table3[[#This Row],[PTS%]])</f>
        <v>76.875</v>
      </c>
      <c r="AV31">
        <f>Table3[[#This Row],[PTS2]]+(3 * Table3[[#This Row],[GR]] * Table3[[#This Row],[PTS%2]])</f>
        <v>99.9375</v>
      </c>
      <c r="AW31" s="15" t="str">
        <f>_xlfn.CONCAT(TEXT(Table3[[#This Row],[W]], "0"), "-", TEXT(Table3[[#This Row],[RL]],"0"), "-", TEXT(Table3[[#This Row],[OTL]]+Table3[[#This Row],[SOL]], "0"))</f>
        <v>13-15-4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39</v>
      </c>
      <c r="AZ31">
        <f>SUMIF(DataRegularSeason20242025!$D$3:$D$1315,$A31, DataRegularSeason20242025!$K$3:$K$1315)</f>
        <v>51</v>
      </c>
      <c r="BA31">
        <f t="shared" si="3"/>
        <v>-12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53</v>
      </c>
      <c r="BD31">
        <f>SUMIF(DataRegularSeason20242025!$E$3:$E$1315,$A31,DataRegularSeason20242025!$J$3:$J$1315)</f>
        <v>60</v>
      </c>
      <c r="BE31">
        <f t="shared" si="4"/>
        <v>-7</v>
      </c>
      <c r="BF31">
        <f t="shared" si="5"/>
        <v>92</v>
      </c>
      <c r="BG31">
        <f t="shared" si="6"/>
        <v>111</v>
      </c>
      <c r="BH31">
        <f t="shared" si="7"/>
        <v>-19</v>
      </c>
      <c r="BI31" s="12">
        <f>Table3[[#This Row],[GF]]/Table3[[#This Row],[GP]]</f>
        <v>2.875</v>
      </c>
      <c r="BJ31" s="12">
        <f>Table3[[#This Row],[GA]]/Table3[[#This Row],[GP]]</f>
        <v>3.46875</v>
      </c>
      <c r="BK31" s="12">
        <f>(Table3[[#This Row],[GF]]-Table3[[#This Row],[GA]])/Table3[[#This Row],[GP]]</f>
        <v>-0.59375</v>
      </c>
      <c r="BL31" s="42" t="str">
        <f>_xlfn.CONCAT(TEXT(Table3[[#This Row],[W_H]], "0"), "-", TEXT(Table3[[#This Row],[RL_H]],"0"), "-", TEXT(Table3[[#This Row],[OTL_H]]+Table3[[#This Row],[SOL_H]], "0"))</f>
        <v>8-8-2</v>
      </c>
      <c r="BM31" s="42" t="str">
        <f>_xlfn.CONCAT(TEXT(Table3[[#This Row],[W_A]], "0"), "-", TEXT(Table3[[#This Row],[RL_A]],"0"), "-", TEXT(Table3[[#This Row],[OTL_A]]+Table3[[#This Row],[SOL_A]], "0"))</f>
        <v>5-7-2</v>
      </c>
      <c r="BN31" s="42">
        <f>((2*(Table3[[#This Row],[W_H]]))+Table3[[#This Row],[OTL_H]]+Table3[[#This Row],[SOL_H]])/(2*Table3[[#This Row],[GP_H]])</f>
        <v>0.5</v>
      </c>
      <c r="BO31" s="42">
        <f>((2*(Table3[[#This Row],[W_A]]))+Table3[[#This Row],[OTL_A]]+Table3[[#This Row],[SOL_A]])/(2*Table3[[#This Row],[GP_A]])</f>
        <v>0.42857142857142855</v>
      </c>
      <c r="BP31" s="16">
        <f>(Table3[[#This Row],[W]]*$CX$3)+(Table3[[#This Row],[L]]*$CX$4)+(Table3[[#This Row],[GF]]*$CX$5)+(Table3[[#This Row],[GA]]*$CX$6)</f>
        <v>37.1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101.91523437500001</v>
      </c>
      <c r="BR31" s="16">
        <f>(Table3[[#This Row],[W]]*0.7) + ((Table3[[#This Row],[GF]] - Table3[[#This Row],[GA]])*0.25)+(Table3[[#This Row],[GF]]*0.1)+(Table3[[#This Row],[GA]]*0.05)+(Table3[[#This Row],[L]]*0.3)</f>
        <v>24.8</v>
      </c>
      <c r="BS31" s="16">
        <f>Table3[[#This Row],[TeamCost83]]/Table3[[#This Row],[GP]]</f>
        <v>0.77500000000000002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5</v>
      </c>
      <c r="BV31">
        <f t="shared" si="8"/>
        <v>7</v>
      </c>
      <c r="BW31">
        <f t="shared" si="9"/>
        <v>12</v>
      </c>
      <c r="BX31">
        <f t="shared" si="10"/>
        <v>13</v>
      </c>
      <c r="BY31">
        <f t="shared" si="11"/>
        <v>25</v>
      </c>
      <c r="BZ31">
        <f>Table3[[#This Row],[TimesPredictedWinner]]/Table3[[#This Row],[GP]]</f>
        <v>0.21875</v>
      </c>
      <c r="CC31" s="1">
        <v>45743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9.3000000000000007</v>
      </c>
      <c r="CK31">
        <f>Table3[[#This Row],[Column4]]+Table3[[#This Row],[Column3]]</f>
        <v>17</v>
      </c>
      <c r="CL31">
        <f>Table3[[#This Row],[Column5]]/Table3[[#This Row],[GP]]</f>
        <v>0.53125</v>
      </c>
      <c r="CV31" s="186"/>
      <c r="CW31" s="187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6"/>
      <c r="DK31" s="187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34</v>
      </c>
      <c r="E32" s="10">
        <f>Table3[[#This Row],[Watched]]/Table3[[#This Row],[GP]]</f>
        <v>1</v>
      </c>
      <c r="F32">
        <f>COUNTIFS(DataRegularSeason20242025!$N$3:$N$1315,1,DataRegularSeason20242025!$D$3:$D$1315,$A32)</f>
        <v>20</v>
      </c>
      <c r="G32">
        <f>41-Table3[[#This Row],[GP_A]]</f>
        <v>21</v>
      </c>
      <c r="H32">
        <f>COUNTIFS(DataRegularSeason20242025!$E$3:$E$1315,$A32,DataRegularSeason20242025!$N$3:$N$1315,1)</f>
        <v>14</v>
      </c>
      <c r="I32">
        <f>41-Table3[[#This Row],[GP_H]]</f>
        <v>27</v>
      </c>
      <c r="J32">
        <f t="shared" si="0"/>
        <v>34</v>
      </c>
      <c r="K32">
        <f>82-Table3[[#This Row],[GP]]</f>
        <v>48</v>
      </c>
      <c r="L32">
        <f>COUNTIFS(DataRegularSeason20242025!$D$3:$D$1315,$A32, DataRegularSeason20242025!$L$3:$L$1315, $A32,DataRegularSeason20242025!$N$3:$N$1315,1)</f>
        <v>6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14</v>
      </c>
      <c r="Q32">
        <f>COUNTIFS(DataRegularSeason20242025!$D$3:$D$1315,$A32, DataRegularSeason20242025!$S$3:$S$1315, $A32,DataRegularSeason20242025!$M$3:$M$1315,"REG")</f>
        <v>12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6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0.38235294117647056</v>
      </c>
      <c r="AC32">
        <f>Table3[[#This Row],[W_A]]+Table3[[#This Row],[W_H]]</f>
        <v>13</v>
      </c>
      <c r="AD32">
        <f>Table3[[#This Row],[L_A]]+Table3[[#This Row],[L_H]]</f>
        <v>21</v>
      </c>
      <c r="AE32">
        <f>Table3[[#This Row],[RW_A]]+Table3[[#This Row],[RW_H]]</f>
        <v>10</v>
      </c>
      <c r="AF32">
        <f>Table3[[#This Row],[RL_A]]+Table3[[#This Row],[RL_H]]</f>
        <v>17</v>
      </c>
      <c r="AG32">
        <f>Table3[[#This Row],[OTW_A]]+Table3[[#This Row],[OTW_H]]</f>
        <v>1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3-4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0.42857142857142855</v>
      </c>
      <c r="AN32">
        <f>Table3[[#This Row],[Total_ExtraTimes]]/MAX(1,Table3[[#This Row],[GP]])</f>
        <v>0.20588235294117646</v>
      </c>
      <c r="AO32">
        <f>(2*(Table3[[#This Row],[W_A]]+Table3[[#This Row],[W_H]]))+Table3[[#This Row],[OTL_A]]+Table3[[#This Row],[SOL_A]]+Table3[[#This Row],[OTL_H]]+Table3[[#This Row],[SOL_H]]</f>
        <v>30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2" s="10">
        <f>Table3[[#This Row],[PTS]]/(2*Table3[[#This Row],[GP]])</f>
        <v>0.44117647058823528</v>
      </c>
      <c r="AR32" s="10">
        <f>Table3[[#This Row],[PTS2]]/(3*Table3[[#This Row],[GP]])</f>
        <v>0.39215686274509803</v>
      </c>
      <c r="AS32">
        <f>(2*Table3[[#This Row],[GR]])+Table3[[#This Row],[PTS]]</f>
        <v>126</v>
      </c>
      <c r="AT32">
        <f>(3*Table3[[#This Row],[GR]])+Table3[[#This Row],[PTS2]]</f>
        <v>184</v>
      </c>
      <c r="AU32">
        <f>Table3[[#This Row],[PTS]]+(2 * Table3[[#This Row],[GR]] * Table3[[#This Row],[PTS%]])</f>
        <v>72.35294117647058</v>
      </c>
      <c r="AV32">
        <f>Table3[[#This Row],[PTS2]]+(3 * Table3[[#This Row],[GR]] * Table3[[#This Row],[PTS%2]])</f>
        <v>96.470588235294116</v>
      </c>
      <c r="AW32" s="15" t="str">
        <f>_xlfn.CONCAT(TEXT(Table3[[#This Row],[W]], "0"), "-", TEXT(Table3[[#This Row],[RL]],"0"), "-", TEXT(Table3[[#This Row],[OTL]]+Table3[[#This Row],[SOL]], "0"))</f>
        <v>13-17-4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47</v>
      </c>
      <c r="AZ32">
        <f>SUMIF(DataRegularSeason20242025!$D$3:$D$1315,$A32, DataRegularSeason20242025!$K$3:$K$1315)</f>
        <v>70</v>
      </c>
      <c r="BA32">
        <f t="shared" si="3"/>
        <v>-23</v>
      </c>
      <c r="BB32">
        <f>COUNTIFS(DataRegularSeason20242025!$E$3:$E$1315,Table3[[#This Row],[Teams]],DataRegularSeason20242025!$J$3:$J$1315,0)</f>
        <v>2</v>
      </c>
      <c r="BC32">
        <f>SUMIF(DataRegularSeason20242025!$E$3:$E$1315,$A32,DataRegularSeason20242025!$K$3:$K$1315)</f>
        <v>40</v>
      </c>
      <c r="BD32">
        <f>SUMIF(DataRegularSeason20242025!$E$3:$E$1315,$A32,DataRegularSeason20242025!$J$3:$J$1315)</f>
        <v>33</v>
      </c>
      <c r="BE32">
        <f t="shared" si="4"/>
        <v>7</v>
      </c>
      <c r="BF32">
        <f t="shared" si="5"/>
        <v>87</v>
      </c>
      <c r="BG32">
        <f t="shared" si="6"/>
        <v>103</v>
      </c>
      <c r="BH32">
        <f t="shared" si="7"/>
        <v>-16</v>
      </c>
      <c r="BI32" s="12">
        <f>Table3[[#This Row],[GF]]/Table3[[#This Row],[GP]]</f>
        <v>2.5588235294117645</v>
      </c>
      <c r="BJ32" s="12">
        <f>Table3[[#This Row],[GA]]/Table3[[#This Row],[GP]]</f>
        <v>3.0294117647058822</v>
      </c>
      <c r="BK32" s="12">
        <f>(Table3[[#This Row],[GF]]-Table3[[#This Row],[GA]])/Table3[[#This Row],[GP]]</f>
        <v>-0.47058823529411764</v>
      </c>
      <c r="BL32" s="42" t="str">
        <f>_xlfn.CONCAT(TEXT(Table3[[#This Row],[W_H]], "0"), "-", TEXT(Table3[[#This Row],[RL_H]],"0"), "-", TEXT(Table3[[#This Row],[OTL_H]]+Table3[[#This Row],[SOL_H]], "0"))</f>
        <v>7-5-2</v>
      </c>
      <c r="BM32" s="42" t="str">
        <f>_xlfn.CONCAT(TEXT(Table3[[#This Row],[W_A]], "0"), "-", TEXT(Table3[[#This Row],[RL_A]],"0"), "-", TEXT(Table3[[#This Row],[OTL_A]]+Table3[[#This Row],[SOL_A]], "0"))</f>
        <v>6-12-2</v>
      </c>
      <c r="BN32" s="42">
        <f>((2*(Table3[[#This Row],[W_H]]))+Table3[[#This Row],[OTL_H]]+Table3[[#This Row],[SOL_H]])/(2*Table3[[#This Row],[GP_H]])</f>
        <v>0.5714285714285714</v>
      </c>
      <c r="BO32" s="42">
        <f>((2*(Table3[[#This Row],[W_A]]))+Table3[[#This Row],[OTL_A]]+Table3[[#This Row],[SOL_A]])/(2*Table3[[#This Row],[GP_A]])</f>
        <v>0.35</v>
      </c>
      <c r="BP32" s="16">
        <f>(Table3[[#This Row],[W]]*$CX$3)+(Table3[[#This Row],[L]]*$CX$4)+(Table3[[#This Row],[GF]]*$CX$5)+(Table3[[#This Row],[GA]]*$CX$6)</f>
        <v>36.150000000000006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93.401038062283732</v>
      </c>
      <c r="BR32" s="16">
        <f>(Table3[[#This Row],[W]]*0.7) + ((Table3[[#This Row],[GF]] - Table3[[#This Row],[GA]])*0.25)+(Table3[[#This Row],[GF]]*0.1)+(Table3[[#This Row],[GA]]*0.05)+(Table3[[#This Row],[L]]*0.3)</f>
        <v>25.250000000000004</v>
      </c>
      <c r="BS32" s="16">
        <f>Table3[[#This Row],[TeamCost83]]/Table3[[#This Row],[GP]]</f>
        <v>0.74264705882352955</v>
      </c>
      <c r="BT32">
        <f>COUNTIFS(Table2[AwayTeam],$A32,Table2[PredictedWinner], $A32, Table2[GameIsOver], 1)</f>
        <v>17</v>
      </c>
      <c r="BU32">
        <f>COUNTIFS(Table2[HomeTeam],$A32,Table2[PredictedWinner], $A32, Table2[GameIsOver], 1)</f>
        <v>14</v>
      </c>
      <c r="BV32">
        <f t="shared" si="8"/>
        <v>31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0.91176470588235292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6</v>
      </c>
      <c r="CK32">
        <f>Table3[[#This Row],[Column4]]+Table3[[#This Row],[Column3]]</f>
        <v>12</v>
      </c>
      <c r="CL32">
        <f>Table3[[#This Row],[Column5]]/Table3[[#This Row],[GP]]</f>
        <v>0.35294117647058826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10</v>
      </c>
      <c r="DP32" s="14">
        <f>COUNTIFS(Table2[[ActualHomeScore]:[ActualHomeScore]],$DK32, Table2[[ActualAwayScore]:[ActualAwayScore]],DP$31)</f>
        <v>6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  <c r="DY32" t="e">
        <f>Table2[#Headers]</f>
        <v>#VALUE!</v>
      </c>
    </row>
    <row r="33" spans="1:129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30</v>
      </c>
      <c r="E33" s="10">
        <f>Table3[[#This Row],[Watched]]/Table3[[#This Row],[GP]]</f>
        <v>0.90909090909090906</v>
      </c>
      <c r="F33">
        <f>COUNTIFS(DataRegularSeason20242025!$N$3:$N$1315,1,DataRegularSeason20242025!$D$3:$D$1315,$A33)</f>
        <v>18</v>
      </c>
      <c r="G33">
        <f>41-Table3[[#This Row],[GP_A]]</f>
        <v>23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 t="shared" si="0"/>
        <v>33</v>
      </c>
      <c r="K33">
        <f>82-Table3[[#This Row],[GP]]</f>
        <v>49</v>
      </c>
      <c r="L33">
        <f>COUNTIFS(DataRegularSeason20242025!$D$3:$D$1315,$A33, DataRegularSeason20242025!$L$3:$L$1315, $A33,DataRegularSeason20242025!$N$3:$N$1315,1)</f>
        <v>9</v>
      </c>
      <c r="M33">
        <f>COUNTIFS(DataRegularSeason20242025!$D$3:$D$1315,$A33, DataRegularSeason20242025!$L$3:$L$1315, $A33,DataRegularSeason20242025!$N$3:$N$1315,1,DataRegularSeason20242025!$M$3:$M$1315,"REG")</f>
        <v>6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 t="shared" si="1"/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11</v>
      </c>
      <c r="Y33">
        <f>COUNTIFS(DataRegularSeason20242025!$E$3:$E$1315,$A33, DataRegularSeason20242025!$S$3:$S$1315, $A33,DataRegularSeason20242025!$M$3:$M$1315,"REG")</f>
        <v>10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0.39393939393939392</v>
      </c>
      <c r="AC33">
        <f>Table3[[#This Row],[W_A]]+Table3[[#This Row],[W_H]]</f>
        <v>13</v>
      </c>
      <c r="AD33">
        <f>Table3[[#This Row],[L_A]]+Table3[[#This Row],[L_H]]</f>
        <v>20</v>
      </c>
      <c r="AE33">
        <f>Table3[[#This Row],[RW_A]]+Table3[[#This Row],[RW_H]]</f>
        <v>9</v>
      </c>
      <c r="AF33">
        <f>Table3[[#This Row],[RL_A]]+Table3[[#This Row],[RL_H]]</f>
        <v>17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0.21212121212121213</v>
      </c>
      <c r="AO33">
        <f>(2*(Table3[[#This Row],[W_A]]+Table3[[#This Row],[W_H]]))+Table3[[#This Row],[OTL_A]]+Table3[[#This Row],[SOL_A]]+Table3[[#This Row],[OTL_H]]+Table3[[#This Row],[SOL_H]]</f>
        <v>29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3" s="10">
        <f>Table3[[#This Row],[PTS]]/(2*Table3[[#This Row],[GP]])</f>
        <v>0.43939393939393939</v>
      </c>
      <c r="AR33" s="10">
        <f>Table3[[#This Row],[PTS2]]/(3*Table3[[#This Row],[GP]])</f>
        <v>0.38383838383838381</v>
      </c>
      <c r="AS33">
        <f>(2*Table3[[#This Row],[GR]])+Table3[[#This Row],[PTS]]</f>
        <v>127</v>
      </c>
      <c r="AT33">
        <f>(3*Table3[[#This Row],[GR]])+Table3[[#This Row],[PTS2]]</f>
        <v>185</v>
      </c>
      <c r="AU33">
        <f>Table3[[#This Row],[PTS]]+(2 * Table3[[#This Row],[GR]] * Table3[[#This Row],[PTS%]])</f>
        <v>72.060606060606062</v>
      </c>
      <c r="AV33">
        <f>Table3[[#This Row],[PTS2]]+(3 * Table3[[#This Row],[GR]] * Table3[[#This Row],[PTS%2]])</f>
        <v>94.424242424242422</v>
      </c>
      <c r="AW33" s="15" t="str">
        <f>_xlfn.CONCAT(TEXT(Table3[[#This Row],[W]], "0"), "-", TEXT(Table3[[#This Row],[RL]],"0"), "-", TEXT(Table3[[#This Row],[OTL]]+Table3[[#This Row],[SOL]], "0"))</f>
        <v>13-17-3</v>
      </c>
      <c r="AX33">
        <f>COUNTIFS(DataRegularSeason20242025!$D$3:$D$1315,Table3[[#This Row],[Teams]],DataRegularSeason20242025!$K$3:$K$1315,0)</f>
        <v>1</v>
      </c>
      <c r="AY33">
        <f>SUMIF(DataRegularSeason20242025!$D$3:$D$1315,$A33, DataRegularSeason20242025!$J$3:$J$1315)</f>
        <v>54</v>
      </c>
      <c r="AZ33">
        <f>SUMIF(DataRegularSeason20242025!$D$3:$D$1315,$A33, DataRegularSeason20242025!$K$3:$K$1315)</f>
        <v>57</v>
      </c>
      <c r="BA33">
        <f t="shared" si="3"/>
        <v>-3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38</v>
      </c>
      <c r="BD33">
        <f>SUMIF(DataRegularSeason20242025!$E$3:$E$1315,$A33,DataRegularSeason20242025!$J$3:$J$1315)</f>
        <v>55</v>
      </c>
      <c r="BE33">
        <f t="shared" si="4"/>
        <v>-17</v>
      </c>
      <c r="BF33">
        <f t="shared" si="5"/>
        <v>92</v>
      </c>
      <c r="BG33">
        <f t="shared" si="6"/>
        <v>112</v>
      </c>
      <c r="BH33">
        <f t="shared" si="7"/>
        <v>-20</v>
      </c>
      <c r="BI33" s="12">
        <f>Table3[[#This Row],[GF]]/Table3[[#This Row],[GP]]</f>
        <v>2.7878787878787881</v>
      </c>
      <c r="BJ33" s="12">
        <f>Table3[[#This Row],[GA]]/Table3[[#This Row],[GP]]</f>
        <v>3.393939393939394</v>
      </c>
      <c r="BK33" s="12">
        <f>(Table3[[#This Row],[GF]]-Table3[[#This Row],[GA]])/Table3[[#This Row],[GP]]</f>
        <v>-0.60606060606060608</v>
      </c>
      <c r="BL33" s="42" t="str">
        <f>_xlfn.CONCAT(TEXT(Table3[[#This Row],[W_H]], "0"), "-", TEXT(Table3[[#This Row],[RL_H]],"0"), "-", TEXT(Table3[[#This Row],[OTL_H]]+Table3[[#This Row],[SOL_H]], "0"))</f>
        <v>4-10-1</v>
      </c>
      <c r="BM33" s="42" t="str">
        <f>_xlfn.CONCAT(TEXT(Table3[[#This Row],[W_A]], "0"), "-", TEXT(Table3[[#This Row],[RL_A]],"0"), "-", TEXT(Table3[[#This Row],[OTL_A]]+Table3[[#This Row],[SOL_A]], "0"))</f>
        <v>9-7-2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0.55555555555555558</v>
      </c>
      <c r="BP33" s="16">
        <f>(Table3[[#This Row],[W]]*$CX$3)+(Table3[[#This Row],[L]]*$CX$4)+(Table3[[#This Row],[GF]]*$CX$5)+(Table3[[#This Row],[GA]]*$CX$6)</f>
        <v>37.5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100.58503213957761</v>
      </c>
      <c r="BR33" s="16">
        <f>(Table3[[#This Row],[W]]*0.7) + ((Table3[[#This Row],[GF]] - Table3[[#This Row],[GA]])*0.25)+(Table3[[#This Row],[GF]]*0.1)+(Table3[[#This Row],[GA]]*0.05)+(Table3[[#This Row],[L]]*0.3)</f>
        <v>24.900000000000002</v>
      </c>
      <c r="BS33" s="16">
        <f>Table3[[#This Row],[TeamCost83]]/Table3[[#This Row],[GP]]</f>
        <v>0.75454545454545463</v>
      </c>
      <c r="BT33">
        <f>COUNTIFS(Table2[AwayTeam],$A33,Table2[PredictedWinner], $A33, Table2[GameIsOver], 1)</f>
        <v>6</v>
      </c>
      <c r="BU33">
        <f>COUNTIFS(Table2[HomeTeam],$A33,Table2[PredictedWinner], $A33, Table2[GameIsOver], 1)</f>
        <v>5</v>
      </c>
      <c r="BV33">
        <f t="shared" si="8"/>
        <v>11</v>
      </c>
      <c r="BW33">
        <f t="shared" si="9"/>
        <v>12</v>
      </c>
      <c r="BX33">
        <f t="shared" si="10"/>
        <v>10</v>
      </c>
      <c r="BY33">
        <f t="shared" si="11"/>
        <v>22</v>
      </c>
      <c r="BZ33">
        <f>Table3[[#This Row],[TimesPredictedWinner]]/Table3[[#This Row],[GP]]</f>
        <v>0.33333333333333331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11.200000000000001</v>
      </c>
      <c r="CJ33">
        <f>SUMIFS(Table2[GamePredictionScore], Table2[HomeTeam], Table3[[#This Row],[Teams]])</f>
        <v>8.8000000000000007</v>
      </c>
      <c r="CK33">
        <f>Table3[[#This Row],[Column4]]+Table3[[#This Row],[Column3]]</f>
        <v>20</v>
      </c>
      <c r="CL33">
        <f>Table3[[#This Row],[Column5]]/Table3[[#This Row],[GP]]</f>
        <v>0.60606060606060608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19</v>
      </c>
      <c r="DO33" s="14">
        <f>COUNTIFS(Table2[[ActualHomeScore]:[ActualHomeScore]],$DK33, Table2[[ActualAwayScore]:[ActualAwayScore]],DO$31)</f>
        <v>11</v>
      </c>
      <c r="DP33" s="14">
        <f>COUNTIFS(Table2[[ActualHomeScore]:[ActualHomeScore]],$DK33, Table2[[ActualAwayScore]:[ActualAwayScore]],DP$31)</f>
        <v>20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  <c r="DY33" t="e">
        <f ca="1">_xludf.LET(
  idx, _xlfn.AGGREGATE(15,6,ROW(Table2[PaySearchTeam])/(Table2[PaySearchTeam]=1), ROWS($DY$32:DY32)),
  INDEX(Table2[], idx - ROW(Table2[#Headers]), 0)
)</f>
        <v>#NAME?</v>
      </c>
    </row>
    <row r="34" spans="1:129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2</v>
      </c>
      <c r="CY34" s="14">
        <f>COUNTIFS(Table2[AwayTeam],UPPER($CV$30), Table2[ActualAwayScore],$CW34, Table2[ActualHomeScore],CY$31)+COUNTIFS(Table2[HomeTeam],UPPER($CV$30), Table2[ActualAwayScore],CY$31, Table2[ActualHomeScore],$CW34)</f>
        <v>2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38</v>
      </c>
      <c r="DP34" s="14">
        <f>COUNTIFS(Table2[[ActualHomeScore]:[ActualHomeScore]],$DK34, Table2[[ActualAwayScore]:[ActualAwayScore]],DP$31)</f>
        <v>12</v>
      </c>
      <c r="DQ34" s="14">
        <f>COUNTIFS(Table2[[ActualHomeScore]:[ActualHomeScore]],$DK34, Table2[[ActualAwayScore]:[ActualAwayScore]],DQ$31)</f>
        <v>17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9" x14ac:dyDescent="0.25">
      <c r="A35" t="s">
        <v>436</v>
      </c>
      <c r="D35">
        <f>SUM(D$2:D$33)</f>
        <v>894</v>
      </c>
      <c r="E35">
        <f t="shared" ref="E35:CA35" si="25">SUM(E$2:E$33)</f>
        <v>27.086169313766568</v>
      </c>
      <c r="F35">
        <f t="shared" si="25"/>
        <v>528</v>
      </c>
      <c r="G35">
        <f t="shared" si="25"/>
        <v>784</v>
      </c>
      <c r="H35">
        <f t="shared" si="25"/>
        <v>528</v>
      </c>
      <c r="I35">
        <f t="shared" si="25"/>
        <v>784</v>
      </c>
      <c r="J35">
        <f t="shared" si="25"/>
        <v>1056</v>
      </c>
      <c r="K35">
        <f t="shared" si="25"/>
        <v>1568</v>
      </c>
      <c r="L35">
        <f t="shared" si="25"/>
        <v>255</v>
      </c>
      <c r="M35">
        <f t="shared" si="25"/>
        <v>184</v>
      </c>
      <c r="N35">
        <f t="shared" si="25"/>
        <v>48</v>
      </c>
      <c r="O35">
        <f t="shared" si="25"/>
        <v>23</v>
      </c>
      <c r="P35">
        <f t="shared" si="25"/>
        <v>273</v>
      </c>
      <c r="Q35">
        <f t="shared" si="25"/>
        <v>203</v>
      </c>
      <c r="R35">
        <f t="shared" si="25"/>
        <v>42</v>
      </c>
      <c r="S35">
        <f t="shared" si="25"/>
        <v>28</v>
      </c>
      <c r="T35">
        <f t="shared" si="25"/>
        <v>273</v>
      </c>
      <c r="U35">
        <f t="shared" si="25"/>
        <v>203</v>
      </c>
      <c r="V35">
        <f t="shared" si="25"/>
        <v>42</v>
      </c>
      <c r="W35">
        <f t="shared" si="25"/>
        <v>28</v>
      </c>
      <c r="X35">
        <f t="shared" si="25"/>
        <v>255</v>
      </c>
      <c r="Y35">
        <f t="shared" si="25"/>
        <v>184</v>
      </c>
      <c r="Z35">
        <f t="shared" si="25"/>
        <v>48</v>
      </c>
      <c r="AA35">
        <f t="shared" si="25"/>
        <v>23</v>
      </c>
      <c r="AC35">
        <f t="shared" si="25"/>
        <v>528</v>
      </c>
      <c r="AD35">
        <f t="shared" si="25"/>
        <v>528</v>
      </c>
      <c r="AE35">
        <f t="shared" si="25"/>
        <v>387</v>
      </c>
      <c r="AF35">
        <f t="shared" si="25"/>
        <v>387</v>
      </c>
      <c r="AG35">
        <f t="shared" si="25"/>
        <v>90</v>
      </c>
      <c r="AH35">
        <f t="shared" si="25"/>
        <v>90</v>
      </c>
      <c r="AI35">
        <f t="shared" si="25"/>
        <v>51</v>
      </c>
      <c r="AJ35">
        <f t="shared" si="25"/>
        <v>51</v>
      </c>
      <c r="AO35">
        <f t="shared" si="25"/>
        <v>1197</v>
      </c>
      <c r="AP35">
        <f t="shared" si="25"/>
        <v>1584</v>
      </c>
      <c r="AQ35">
        <f t="shared" si="25"/>
        <v>18.136831140080663</v>
      </c>
      <c r="AR35">
        <f t="shared" si="25"/>
        <v>15.997059798992913</v>
      </c>
      <c r="AS35">
        <f t="shared" si="25"/>
        <v>4333</v>
      </c>
      <c r="AT35">
        <f t="shared" si="25"/>
        <v>6288</v>
      </c>
      <c r="AU35">
        <f t="shared" si="25"/>
        <v>2974.4403069732298</v>
      </c>
      <c r="AV35">
        <f t="shared" si="25"/>
        <v>3935.2767105522566</v>
      </c>
      <c r="AX35">
        <f t="shared" si="25"/>
        <v>30</v>
      </c>
      <c r="AY35">
        <f t="shared" si="25"/>
        <v>1603</v>
      </c>
      <c r="AZ35">
        <f t="shared" si="25"/>
        <v>1639</v>
      </c>
      <c r="BA35">
        <f t="shared" si="25"/>
        <v>-36</v>
      </c>
      <c r="BB35">
        <f t="shared" si="25"/>
        <v>21</v>
      </c>
      <c r="BC35">
        <f t="shared" si="25"/>
        <v>1639</v>
      </c>
      <c r="BD35">
        <f t="shared" si="25"/>
        <v>1603</v>
      </c>
      <c r="BE35">
        <f t="shared" si="25"/>
        <v>36</v>
      </c>
      <c r="BF35">
        <f t="shared" si="25"/>
        <v>3242</v>
      </c>
      <c r="BG35">
        <f t="shared" si="25"/>
        <v>3242</v>
      </c>
      <c r="BH35">
        <f t="shared" si="25"/>
        <v>0</v>
      </c>
      <c r="BI35">
        <f t="shared" si="25"/>
        <v>98.23740763900868</v>
      </c>
      <c r="BJ35">
        <f t="shared" si="25"/>
        <v>98.263873144565736</v>
      </c>
      <c r="BK35">
        <f t="shared" si="25"/>
        <v>-2.6465505557059288E-2</v>
      </c>
      <c r="BL35">
        <f t="shared" si="25"/>
        <v>0</v>
      </c>
      <c r="BM35">
        <f t="shared" si="25"/>
        <v>0</v>
      </c>
      <c r="BN35">
        <f t="shared" si="25"/>
        <v>18.670230109587699</v>
      </c>
      <c r="BO35">
        <f t="shared" si="25"/>
        <v>17.588066130635791</v>
      </c>
      <c r="BP35">
        <f t="shared" si="25"/>
        <v>1232.8999999999999</v>
      </c>
      <c r="BQ35">
        <f t="shared" si="25"/>
        <v>3279.8859647636318</v>
      </c>
      <c r="BR35">
        <f t="shared" si="25"/>
        <v>1014.3000000000002</v>
      </c>
      <c r="BS35">
        <f t="shared" si="25"/>
        <v>30.724568642339637</v>
      </c>
      <c r="BT35">
        <f t="shared" si="25"/>
        <v>235</v>
      </c>
      <c r="BU35">
        <f t="shared" si="25"/>
        <v>293</v>
      </c>
      <c r="BV35">
        <f t="shared" si="25"/>
        <v>528</v>
      </c>
      <c r="BW35">
        <f t="shared" si="25"/>
        <v>293</v>
      </c>
      <c r="BX35">
        <f t="shared" si="25"/>
        <v>235</v>
      </c>
      <c r="BY35">
        <f t="shared" si="25"/>
        <v>528</v>
      </c>
      <c r="BZ35">
        <f t="shared" si="25"/>
        <v>15.992044325061403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-4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44</v>
      </c>
      <c r="DO35" s="127"/>
      <c r="DP35" s="14">
        <f>COUNTIFS(Table2[[ActualHomeScore]:[ActualHomeScore]],$DK35, Table2[[ActualAwayScore]:[ActualAwayScore]],DP$31)</f>
        <v>41</v>
      </c>
      <c r="DQ35" s="14">
        <f>COUNTIFS(Table2[[ActualHomeScore]:[ActualHomeScore]],$DK35, Table2[[ActualAwayScore]:[ActualAwayScore]],DQ$31)</f>
        <v>10</v>
      </c>
      <c r="DR35" s="14">
        <f>COUNTIFS(Table2[[ActualHomeScore]:[ActualHomeScore]],$DK35, Table2[[ActualAwayScore]:[ActualAwayScore]],DR$31)</f>
        <v>8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9" x14ac:dyDescent="0.25">
      <c r="A36" t="s">
        <v>467</v>
      </c>
      <c r="D36">
        <f>AVERAGE(D$2:D$33)</f>
        <v>27.9375</v>
      </c>
      <c r="E36">
        <f t="shared" ref="E36:CA36" si="26">AVERAGE(E$2:E$33)</f>
        <v>0.84644279105520526</v>
      </c>
      <c r="F36">
        <f t="shared" si="26"/>
        <v>16.5</v>
      </c>
      <c r="G36">
        <f t="shared" si="26"/>
        <v>24.5</v>
      </c>
      <c r="H36">
        <f t="shared" si="26"/>
        <v>16.5</v>
      </c>
      <c r="I36">
        <f t="shared" si="26"/>
        <v>24.5</v>
      </c>
      <c r="J36">
        <f t="shared" si="26"/>
        <v>33</v>
      </c>
      <c r="K36">
        <f t="shared" si="26"/>
        <v>49</v>
      </c>
      <c r="L36">
        <f t="shared" si="26"/>
        <v>7.96875</v>
      </c>
      <c r="M36">
        <f t="shared" si="26"/>
        <v>5.75</v>
      </c>
      <c r="N36">
        <f t="shared" si="26"/>
        <v>1.5</v>
      </c>
      <c r="O36">
        <f t="shared" si="26"/>
        <v>0.71875</v>
      </c>
      <c r="P36">
        <f t="shared" si="26"/>
        <v>8.53125</v>
      </c>
      <c r="Q36">
        <f t="shared" si="26"/>
        <v>6.34375</v>
      </c>
      <c r="R36">
        <f t="shared" si="26"/>
        <v>1.3125</v>
      </c>
      <c r="S36">
        <f t="shared" si="26"/>
        <v>0.875</v>
      </c>
      <c r="T36">
        <f t="shared" si="26"/>
        <v>8.53125</v>
      </c>
      <c r="U36">
        <f t="shared" si="26"/>
        <v>6.34375</v>
      </c>
      <c r="V36">
        <f t="shared" si="26"/>
        <v>1.3125</v>
      </c>
      <c r="W36">
        <f t="shared" si="26"/>
        <v>0.875</v>
      </c>
      <c r="X36">
        <f t="shared" si="26"/>
        <v>7.96875</v>
      </c>
      <c r="Y36">
        <f t="shared" si="26"/>
        <v>5.75</v>
      </c>
      <c r="Z36">
        <f t="shared" si="26"/>
        <v>1.5</v>
      </c>
      <c r="AA36">
        <f t="shared" si="26"/>
        <v>0.71875</v>
      </c>
      <c r="AC36">
        <f t="shared" si="26"/>
        <v>16.5</v>
      </c>
      <c r="AD36">
        <f t="shared" si="26"/>
        <v>16.5</v>
      </c>
      <c r="AE36">
        <f t="shared" si="26"/>
        <v>12.09375</v>
      </c>
      <c r="AF36">
        <f t="shared" si="26"/>
        <v>12.09375</v>
      </c>
      <c r="AG36">
        <f t="shared" si="26"/>
        <v>2.8125</v>
      </c>
      <c r="AH36">
        <f t="shared" si="26"/>
        <v>2.8125</v>
      </c>
      <c r="AI36">
        <f t="shared" si="26"/>
        <v>1.59375</v>
      </c>
      <c r="AJ36">
        <f t="shared" si="26"/>
        <v>1.59375</v>
      </c>
      <c r="AO36">
        <f t="shared" si="26"/>
        <v>37.40625</v>
      </c>
      <c r="AP36">
        <f t="shared" si="26"/>
        <v>49.5</v>
      </c>
      <c r="AQ36">
        <f t="shared" si="26"/>
        <v>0.5667759731275207</v>
      </c>
      <c r="AR36">
        <f t="shared" si="26"/>
        <v>0.49990811871852853</v>
      </c>
      <c r="AS36">
        <f t="shared" si="26"/>
        <v>135.40625</v>
      </c>
      <c r="AT36">
        <f t="shared" si="26"/>
        <v>196.5</v>
      </c>
      <c r="AU36">
        <f t="shared" si="26"/>
        <v>92.951259592913431</v>
      </c>
      <c r="AV36">
        <f t="shared" si="26"/>
        <v>122.97739720475802</v>
      </c>
      <c r="AX36">
        <f t="shared" si="26"/>
        <v>0.9375</v>
      </c>
      <c r="AY36">
        <f t="shared" si="26"/>
        <v>50.09375</v>
      </c>
      <c r="AZ36">
        <f t="shared" si="26"/>
        <v>51.21875</v>
      </c>
      <c r="BA36">
        <f t="shared" si="26"/>
        <v>-1.125</v>
      </c>
      <c r="BB36">
        <f t="shared" si="26"/>
        <v>0.65625</v>
      </c>
      <c r="BC36">
        <f t="shared" si="26"/>
        <v>51.21875</v>
      </c>
      <c r="BD36">
        <f t="shared" si="26"/>
        <v>50.09375</v>
      </c>
      <c r="BE36">
        <f t="shared" si="26"/>
        <v>1.125</v>
      </c>
      <c r="BF36">
        <f t="shared" si="26"/>
        <v>101.3125</v>
      </c>
      <c r="BG36">
        <f t="shared" si="26"/>
        <v>101.3125</v>
      </c>
      <c r="BH36">
        <f t="shared" si="26"/>
        <v>0</v>
      </c>
      <c r="BI36">
        <f t="shared" si="26"/>
        <v>3.0699189887190212</v>
      </c>
      <c r="BJ36">
        <f t="shared" si="26"/>
        <v>3.0707460357676792</v>
      </c>
      <c r="BK36">
        <f t="shared" si="26"/>
        <v>-8.2704704865810275E-4</v>
      </c>
      <c r="BL36" t="e">
        <f t="shared" si="26"/>
        <v>#DIV/0!</v>
      </c>
      <c r="BM36" t="e">
        <f t="shared" si="26"/>
        <v>#DIV/0!</v>
      </c>
      <c r="BN36">
        <f t="shared" si="26"/>
        <v>0.58344469092461559</v>
      </c>
      <c r="BO36">
        <f t="shared" si="26"/>
        <v>0.54962706658236848</v>
      </c>
      <c r="BP36">
        <f t="shared" si="26"/>
        <v>38.528124999999996</v>
      </c>
      <c r="BQ36">
        <f t="shared" si="26"/>
        <v>102.49643639886349</v>
      </c>
      <c r="BR36">
        <f t="shared" si="26"/>
        <v>31.696875000000006</v>
      </c>
      <c r="BS36">
        <f t="shared" si="26"/>
        <v>0.96014277007311366</v>
      </c>
      <c r="BT36">
        <f t="shared" si="26"/>
        <v>7.34375</v>
      </c>
      <c r="BU36">
        <f t="shared" si="26"/>
        <v>9.15625</v>
      </c>
      <c r="BV36">
        <f t="shared" si="26"/>
        <v>16.5</v>
      </c>
      <c r="BW36">
        <f t="shared" si="26"/>
        <v>9.15625</v>
      </c>
      <c r="BX36">
        <f t="shared" si="26"/>
        <v>7.34375</v>
      </c>
      <c r="BY36">
        <f t="shared" si="26"/>
        <v>16.5</v>
      </c>
      <c r="BZ36">
        <f t="shared" si="26"/>
        <v>0.49975138515816886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1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25</v>
      </c>
      <c r="DN36" s="14">
        <f>COUNTIFS(Table2[[ActualHomeScore]:[ActualHomeScore]],$DK36, Table2[[ActualAwayScore]:[ActualAwayScore]],DN$31)</f>
        <v>11</v>
      </c>
      <c r="DO36" s="14">
        <f>COUNTIFS(Table2[[ActualHomeScore]:[ActualHomeScore]],$DK36, Table2[[ActualAwayScore]:[ActualAwayScore]],DO$31)</f>
        <v>40</v>
      </c>
      <c r="DP36" s="127"/>
      <c r="DQ36" s="14">
        <f>COUNTIFS(Table2[[ActualHomeScore]:[ActualHomeScore]],$DK36, Table2[[ActualAwayScore]:[ActualAwayScore]],DQ$31)</f>
        <v>14</v>
      </c>
      <c r="DR36" s="14">
        <f>COUNTIFS(Table2[[ActualHomeScore]:[ActualHomeScore]],$DK36, Table2[[ActualAwayScore]:[ActualAwayScore]],DR$31)</f>
        <v>1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2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9" x14ac:dyDescent="0.25">
      <c r="A37" t="s">
        <v>468</v>
      </c>
      <c r="D37">
        <f>_xlfn.STDEV.P(D$2:D$33)</f>
        <v>2.7378995142261888</v>
      </c>
      <c r="E37">
        <f t="shared" ref="E37:CA37" si="27">_xlfn.STDEV.P(E$2:E$33)</f>
        <v>7.598247880451689E-2</v>
      </c>
      <c r="F37">
        <f t="shared" si="27"/>
        <v>2</v>
      </c>
      <c r="G37">
        <f t="shared" si="27"/>
        <v>2</v>
      </c>
      <c r="H37">
        <f t="shared" si="27"/>
        <v>1.6201851746019651</v>
      </c>
      <c r="I37">
        <f t="shared" si="27"/>
        <v>1.6201851746019651</v>
      </c>
      <c r="J37">
        <f t="shared" si="27"/>
        <v>1.0606601717798212</v>
      </c>
      <c r="K37">
        <f t="shared" si="27"/>
        <v>1.0606601717798212</v>
      </c>
      <c r="L37">
        <f t="shared" si="27"/>
        <v>1.8453382989305782</v>
      </c>
      <c r="M37">
        <f t="shared" si="27"/>
        <v>1.984313483298443</v>
      </c>
      <c r="N37">
        <f t="shared" si="27"/>
        <v>1.1989578808281798</v>
      </c>
      <c r="O37">
        <f t="shared" si="27"/>
        <v>0.83794297986199517</v>
      </c>
      <c r="P37">
        <f t="shared" si="27"/>
        <v>2.0914166102190159</v>
      </c>
      <c r="Q37">
        <f t="shared" si="27"/>
        <v>2.5447172608170048</v>
      </c>
      <c r="R37">
        <f t="shared" si="27"/>
        <v>1.1021995055342748</v>
      </c>
      <c r="S37">
        <f t="shared" si="27"/>
        <v>1.0231690964840563</v>
      </c>
      <c r="T37">
        <f t="shared" si="27"/>
        <v>2.3046742584365365</v>
      </c>
      <c r="U37">
        <f t="shared" si="27"/>
        <v>2.085805824495655</v>
      </c>
      <c r="V37">
        <f t="shared" si="27"/>
        <v>1.1021995055342748</v>
      </c>
      <c r="W37">
        <f t="shared" si="27"/>
        <v>0.92702481088695787</v>
      </c>
      <c r="X37">
        <f t="shared" si="27"/>
        <v>2.2147851899224902</v>
      </c>
      <c r="Y37">
        <f t="shared" si="27"/>
        <v>1.984313483298443</v>
      </c>
      <c r="Z37">
        <f t="shared" si="27"/>
        <v>1.0897247358851685</v>
      </c>
      <c r="AA37">
        <f t="shared" si="27"/>
        <v>0.71739001770306232</v>
      </c>
      <c r="AC37">
        <f t="shared" si="27"/>
        <v>2.9474565306378988</v>
      </c>
      <c r="AD37">
        <f t="shared" si="27"/>
        <v>2.7838821814150108</v>
      </c>
      <c r="AE37">
        <f t="shared" si="27"/>
        <v>3.1060362099466903</v>
      </c>
      <c r="AF37">
        <f t="shared" si="27"/>
        <v>3.2245094103599699</v>
      </c>
      <c r="AG37">
        <f t="shared" si="27"/>
        <v>1.5699820858850588</v>
      </c>
      <c r="AH37">
        <f t="shared" si="27"/>
        <v>1.5699820858850588</v>
      </c>
      <c r="AI37">
        <f t="shared" si="27"/>
        <v>1.3430230591840187</v>
      </c>
      <c r="AJ37">
        <f t="shared" si="27"/>
        <v>1.4760457098274429</v>
      </c>
      <c r="AO37">
        <f t="shared" si="27"/>
        <v>5.6339338776293779</v>
      </c>
      <c r="AP37">
        <f t="shared" si="27"/>
        <v>8.2613558209291522</v>
      </c>
      <c r="AQ37">
        <f t="shared" si="27"/>
        <v>8.3426705157257669E-2</v>
      </c>
      <c r="AR37">
        <f t="shared" si="27"/>
        <v>8.1287764405490306E-2</v>
      </c>
      <c r="AS37">
        <f t="shared" si="27"/>
        <v>5.6005545205363374</v>
      </c>
      <c r="AT37">
        <f t="shared" si="27"/>
        <v>8.1700673191840956</v>
      </c>
      <c r="AU37">
        <f t="shared" si="27"/>
        <v>13.681979645790182</v>
      </c>
      <c r="AV37">
        <f t="shared" si="27"/>
        <v>19.996790043750366</v>
      </c>
      <c r="AX37">
        <f t="shared" si="27"/>
        <v>0.99804496391695696</v>
      </c>
      <c r="AY37">
        <f t="shared" si="27"/>
        <v>7.6988610155983466</v>
      </c>
      <c r="AZ37">
        <f t="shared" si="27"/>
        <v>9.9175802712909764</v>
      </c>
      <c r="BA37">
        <f t="shared" si="27"/>
        <v>10.406578448270114</v>
      </c>
      <c r="BB37">
        <f t="shared" si="27"/>
        <v>0.77497479797732782</v>
      </c>
      <c r="BC37">
        <f t="shared" si="27"/>
        <v>9.3632739166116465</v>
      </c>
      <c r="BD37">
        <f t="shared" si="27"/>
        <v>9.1116661998506068</v>
      </c>
      <c r="BE37">
        <f t="shared" si="27"/>
        <v>11.607513730338638</v>
      </c>
      <c r="BF37">
        <f t="shared" si="27"/>
        <v>11.088951426983527</v>
      </c>
      <c r="BG37">
        <f t="shared" si="27"/>
        <v>10.84388508561392</v>
      </c>
      <c r="BH37">
        <f t="shared" si="27"/>
        <v>16.429774800647756</v>
      </c>
      <c r="BI37">
        <f t="shared" si="27"/>
        <v>0.31918175217706307</v>
      </c>
      <c r="BJ37">
        <f t="shared" si="27"/>
        <v>0.31825060922343917</v>
      </c>
      <c r="BK37">
        <f t="shared" si="27"/>
        <v>0.49667155877698466</v>
      </c>
      <c r="BL37" t="e">
        <f t="shared" si="27"/>
        <v>#DIV/0!</v>
      </c>
      <c r="BM37" t="e">
        <f t="shared" si="27"/>
        <v>#DIV/0!</v>
      </c>
      <c r="BN37">
        <f t="shared" si="27"/>
        <v>0.12050385041649994</v>
      </c>
      <c r="BO37">
        <f t="shared" si="27"/>
        <v>0.11483475262620489</v>
      </c>
      <c r="BP37">
        <f t="shared" si="27"/>
        <v>2.3586257088344902</v>
      </c>
      <c r="BQ37">
        <f t="shared" si="27"/>
        <v>6.2823126925799144</v>
      </c>
      <c r="BR37">
        <f t="shared" si="27"/>
        <v>5.7971832802124323</v>
      </c>
      <c r="BS37">
        <f t="shared" si="27"/>
        <v>0.17070365196836426</v>
      </c>
      <c r="BT37">
        <f t="shared" si="27"/>
        <v>3.6963611751964933</v>
      </c>
      <c r="BU37">
        <f t="shared" si="27"/>
        <v>3.5009764262988119</v>
      </c>
      <c r="BV37">
        <f t="shared" si="27"/>
        <v>6.1542668125455853</v>
      </c>
      <c r="BW37">
        <f t="shared" si="27"/>
        <v>3.2892758986591564</v>
      </c>
      <c r="BX37">
        <f t="shared" si="27"/>
        <v>3.6108289820344579</v>
      </c>
      <c r="BY37">
        <f t="shared" si="27"/>
        <v>6.1186191252602082</v>
      </c>
      <c r="BZ37">
        <f t="shared" si="27"/>
        <v>0.18526833003668522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1</v>
      </c>
      <c r="DM37" s="14">
        <f>COUNTIFS(Table2[[ActualHomeScore]:[ActualHomeScore]],$DK37, Table2[[ActualAwayScore]:[ActualAwayScore]],DM$31)</f>
        <v>15</v>
      </c>
      <c r="DN37" s="14">
        <f>COUNTIFS(Table2[[ActualHomeScore]:[ActualHomeScore]],$DK37, Table2[[ActualAwayScore]:[ActualAwayScore]],DN$31)</f>
        <v>17</v>
      </c>
      <c r="DO37" s="14">
        <f>COUNTIFS(Table2[[ActualHomeScore]:[ActualHomeScore]],$DK37, Table2[[ActualAwayScore]:[ActualAwayScore]],DO$31)</f>
        <v>10</v>
      </c>
      <c r="DP37" s="14">
        <f>COUNTIFS(Table2[[ActualHomeScore]:[ActualHomeScore]],$DK37, Table2[[ActualAwayScore]:[ActualAwayScore]],DP$31)</f>
        <v>8</v>
      </c>
      <c r="DQ37" s="127"/>
      <c r="DR37" s="14">
        <f>COUNTIFS(Table2[[ActualHomeScore]:[ActualHomeScore]],$DK37, Table2[[ActualAwayScore]:[ActualAwayScore]],DR$31)</f>
        <v>4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9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6</v>
      </c>
      <c r="DO38" s="14">
        <f>COUNTIFS(Table2[[ActualHomeScore]:[ActualHomeScore]],$DK38, Table2[[ActualAwayScore]:[ActualAwayScore]],DO$31)</f>
        <v>18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9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4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9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9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9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9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9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9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9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1.5</v>
      </c>
      <c r="DO46" s="131">
        <f t="shared" si="29"/>
        <v>6.0000000000000009</v>
      </c>
      <c r="DP46" s="131">
        <f>ABS(DP32*DB18)</f>
        <v>4.1999999999999993</v>
      </c>
      <c r="DQ46" s="131">
        <f t="shared" si="29"/>
        <v>4</v>
      </c>
      <c r="DR46" s="131">
        <f t="shared" si="29"/>
        <v>0</v>
      </c>
      <c r="DS46" s="131">
        <f t="shared" si="29"/>
        <v>2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9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2.8499999999999996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12.349999999999998</v>
      </c>
      <c r="DO47" s="131">
        <f t="shared" si="31"/>
        <v>8.25</v>
      </c>
      <c r="DP47" s="131">
        <f t="shared" si="31"/>
        <v>17</v>
      </c>
      <c r="DQ47" s="131">
        <f t="shared" si="31"/>
        <v>7.6</v>
      </c>
      <c r="DR47" s="131">
        <f t="shared" si="31"/>
        <v>3.1500000000000004</v>
      </c>
      <c r="DS47" s="131">
        <f t="shared" si="31"/>
        <v>2.3000000000000003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9" x14ac:dyDescent="0.25">
      <c r="CR48" t="str">
        <v/>
      </c>
      <c r="CV48" s="85"/>
      <c r="CW48" s="57">
        <v>2</v>
      </c>
      <c r="CX48" s="131">
        <f t="shared" ref="CX48:DH48" si="32">ABS(CX34*CX20)</f>
        <v>1.6</v>
      </c>
      <c r="CY48" s="131">
        <f t="shared" si="32"/>
        <v>1.8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1.1000000000000001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4.8000000000000007</v>
      </c>
      <c r="DM48" s="131">
        <f t="shared" si="33"/>
        <v>19.8</v>
      </c>
      <c r="DN48" s="127"/>
      <c r="DO48" s="131">
        <f t="shared" si="33"/>
        <v>34.200000000000003</v>
      </c>
      <c r="DP48" s="131">
        <f t="shared" si="33"/>
        <v>12</v>
      </c>
      <c r="DQ48" s="131">
        <f t="shared" si="33"/>
        <v>18.700000000000003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1.1499999999999999</v>
      </c>
      <c r="DA49" s="127"/>
      <c r="DB49" s="131">
        <f t="shared" si="34"/>
        <v>4.5999999999999996</v>
      </c>
      <c r="DC49" s="131">
        <f t="shared" si="34"/>
        <v>1.25</v>
      </c>
      <c r="DD49" s="131">
        <f t="shared" si="34"/>
        <v>1.35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4.75</v>
      </c>
      <c r="DM49" s="131">
        <f t="shared" si="35"/>
        <v>12.599999999999998</v>
      </c>
      <c r="DN49" s="131">
        <f t="shared" si="35"/>
        <v>50.599999999999994</v>
      </c>
      <c r="DO49" s="127"/>
      <c r="DP49" s="131">
        <f t="shared" si="35"/>
        <v>47.15</v>
      </c>
      <c r="DQ49" s="131">
        <f t="shared" si="35"/>
        <v>12.5</v>
      </c>
      <c r="DR49" s="131">
        <f t="shared" si="35"/>
        <v>10.8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1.2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30</v>
      </c>
      <c r="DN50" s="131">
        <f t="shared" si="37"/>
        <v>14.3</v>
      </c>
      <c r="DO50" s="131">
        <f t="shared" si="37"/>
        <v>56</v>
      </c>
      <c r="DP50" s="127"/>
      <c r="DQ50" s="131">
        <f t="shared" si="37"/>
        <v>19.600000000000001</v>
      </c>
      <c r="DR50" s="131">
        <f t="shared" si="37"/>
        <v>1.5000000000000002</v>
      </c>
      <c r="DS50" s="131">
        <f t="shared" si="37"/>
        <v>1.6</v>
      </c>
      <c r="DT50" s="131">
        <f t="shared" si="37"/>
        <v>3.4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1.45</v>
      </c>
      <c r="DA51" s="131">
        <f t="shared" si="38"/>
        <v>1.55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1.25</v>
      </c>
      <c r="DM51" s="131">
        <f t="shared" si="39"/>
        <v>20.25</v>
      </c>
      <c r="DN51" s="131">
        <f t="shared" si="39"/>
        <v>24.65</v>
      </c>
      <c r="DO51" s="131">
        <f t="shared" si="39"/>
        <v>15.5</v>
      </c>
      <c r="DP51" s="131">
        <f t="shared" si="39"/>
        <v>13.2</v>
      </c>
      <c r="DQ51" s="127"/>
      <c r="DR51" s="131">
        <f t="shared" si="39"/>
        <v>6.6000000000000005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1.5999999999999999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2.8</v>
      </c>
      <c r="DM52" s="131">
        <f t="shared" si="41"/>
        <v>4.5</v>
      </c>
      <c r="DN52" s="131">
        <f t="shared" si="41"/>
        <v>9.6</v>
      </c>
      <c r="DO52" s="131">
        <f t="shared" si="41"/>
        <v>30.599999999999998</v>
      </c>
      <c r="DP52" s="131">
        <f t="shared" si="41"/>
        <v>1.7999999999999998</v>
      </c>
      <c r="DQ52" s="131">
        <f t="shared" si="41"/>
        <v>7.6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1.9500000000000002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1.6500000000000001</v>
      </c>
      <c r="DN53" s="131">
        <f t="shared" si="43"/>
        <v>7</v>
      </c>
      <c r="DO53" s="131">
        <f t="shared" si="43"/>
        <v>3.7</v>
      </c>
      <c r="DP53" s="131">
        <f t="shared" si="43"/>
        <v>5.8500000000000005</v>
      </c>
      <c r="DQ53" s="131">
        <f t="shared" si="43"/>
        <v>0</v>
      </c>
      <c r="DR53" s="131">
        <f t="shared" si="43"/>
        <v>2.1500000000000004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2.25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36.150000000000006</v>
      </c>
      <c r="DW57" s="88">
        <f>SUM(DL46:DV56)</f>
        <v>619.15000000000009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T2" sqref="T2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.28515625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42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41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2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2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40</v>
      </c>
      <c r="E3" s="62">
        <f>INDEX(Table3[PTS], MATCH(Table6[[#This Row],[Teams]], Table3[Teams],0))</f>
        <v>40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37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1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32</v>
      </c>
      <c r="E4" s="62">
        <f>INDEX(Table3[PTS], MATCH(Table6[[#This Row],[Teams]], Table3[Teams],0))</f>
        <v>32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38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2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2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2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44</v>
      </c>
      <c r="E5" s="62">
        <f>INDEX(Table3[PTS], MATCH(Table6[[#This Row],[Teams]], Table3[Teams],0))</f>
        <v>44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30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2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34</v>
      </c>
      <c r="E6" s="62">
        <f>INDEX(Table3[PTS], MATCH(Table6[[#This Row],[Teams]], Table3[Teams],0))</f>
        <v>34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29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2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2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30</v>
      </c>
      <c r="E7" s="62">
        <f>INDEX(Table3[PTS], MATCH(Table6[[#This Row],[Teams]], Table3[Teams],0))</f>
        <v>30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42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1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2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55</v>
      </c>
      <c r="E9" s="62">
        <f>INDEX(Table3[PTS], MATCH(Table6[[#This Row],[Teams]], Table3[Teams],0))</f>
        <v>55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37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2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2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2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49</v>
      </c>
      <c r="E10" s="62">
        <f>INDEX(Table3[PTS], MATCH(Table6[[#This Row],[Teams]], Table3[Teams],0))</f>
        <v>49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41</v>
      </c>
      <c r="E11" s="62">
        <f>INDEX(Table3[PTS], MATCH(Table6[[#This Row],[Teams]], Table3[Teams],0))</f>
        <v>41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38</v>
      </c>
      <c r="E12" s="62">
        <f>INDEX(Table3[PTS], MATCH(Table6[[#This Row],[Teams]], Table3[Teams],0))</f>
        <v>38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32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2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1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36</v>
      </c>
      <c r="E13" s="62">
        <f>INDEX(Table3[PTS], MATCH(Table6[[#This Row],[Teams]], Table3[Teams],0))</f>
        <v>36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49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3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37</v>
      </c>
      <c r="E14" s="62">
        <f>INDEX(Table3[PTS], MATCH(Table6[[#This Row],[Teams]], Table3[Teams],0))</f>
        <v>37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55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2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5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2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45</v>
      </c>
      <c r="E15" s="62">
        <f>INDEX(Table3[PTS], MATCH(Table6[[#This Row],[Teams]], Table3[Teams],0))</f>
        <v>45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32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2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38</v>
      </c>
      <c r="E16" s="62">
        <f>INDEX(Table3[PTS], MATCH(Table6[[#This Row],[Teams]], Table3[Teams],0))</f>
        <v>38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45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2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2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2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2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37</v>
      </c>
      <c r="E17" s="62">
        <f>INDEX(Table3[PTS], MATCH(Table6[[#This Row],[Teams]], Table3[Teams],0))</f>
        <v>37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35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2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2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30</v>
      </c>
      <c r="E18" s="62">
        <f>INDEX(Table3[PTS], MATCH(Table6[[#This Row],[Teams]], Table3[Teams],0))</f>
        <v>30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30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4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41</v>
      </c>
      <c r="E19" s="62">
        <f>INDEX(Table3[PTS], MATCH(Table6[[#This Row],[Teams]], Table3[Teams],0))</f>
        <v>41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36</v>
      </c>
      <c r="E20" s="62">
        <f>INDEX(Table3[PTS], MATCH(Table6[[#This Row],[Teams]], Table3[Teams],0))</f>
        <v>36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34</v>
      </c>
      <c r="E21" s="62">
        <f>INDEX(Table3[PTS], MATCH(Table6[[#This Row],[Teams]], Table3[Teams],0))</f>
        <v>34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39</v>
      </c>
      <c r="E22" s="62">
        <f>INDEX(Table3[PTS], MATCH(Table6[[#This Row],[Teams]], Table3[Teams],0))</f>
        <v>39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40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3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37</v>
      </c>
      <c r="E23" s="62">
        <f>INDEX(Table3[PTS], MATCH(Table6[[#This Row],[Teams]], Table3[Teams],0))</f>
        <v>37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44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6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2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2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37</v>
      </c>
      <c r="E25" s="62">
        <f>INDEX(Table3[PTS], MATCH(Table6[[#This Row],[Teams]], Table3[Teams],0))</f>
        <v>37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36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4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32</v>
      </c>
      <c r="E26" s="62">
        <f>INDEX(Table3[PTS], MATCH(Table6[[#This Row],[Teams]], Table3[Teams],0))</f>
        <v>32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41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2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6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39</v>
      </c>
      <c r="E27" s="62">
        <f>INDEX(Table3[PTS], MATCH(Table6[[#This Row],[Teams]], Table3[Teams],0))</f>
        <v>39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34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2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35</v>
      </c>
      <c r="E28" s="62">
        <f>INDEX(Table3[PTS], MATCH(Table6[[#This Row],[Teams]], Table3[Teams],0))</f>
        <v>35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37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3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1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35</v>
      </c>
      <c r="E29" s="62">
        <f>INDEX(Table3[PTS], MATCH(Table6[[#This Row],[Teams]], Table3[Teams],0))</f>
        <v>35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39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1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3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4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29</v>
      </c>
      <c r="E30" s="62">
        <f>INDEX(Table3[PTS], MATCH(Table6[[#This Row],[Teams]], Table3[Teams],0))</f>
        <v>29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41</v>
      </c>
      <c r="E31" s="62">
        <f>INDEX(Table3[PTS], MATCH(Table6[[#This Row],[Teams]], Table3[Teams],0))</f>
        <v>41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32</v>
      </c>
      <c r="E32" s="62">
        <f>INDEX(Table3[PTS], MATCH(Table6[[#This Row],[Teams]], Table3[Teams],0))</f>
        <v>32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3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40</v>
      </c>
      <c r="E33" s="116">
        <f>INDEX(Table3[PTS], MATCH(Table6[[#This Row],[Teams]], Table3[Teams],0))</f>
        <v>40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39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2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1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36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2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2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2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2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4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1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2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41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4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32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2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2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40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2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4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41</v>
      </c>
    </row>
    <row r="42" spans="1:53" x14ac:dyDescent="0.25">
      <c r="U42" cm="1">
        <f t="array" ref="U42">SMALL(U35:U39 + U25:U29,5)</f>
        <v>79</v>
      </c>
    </row>
    <row r="44" spans="1:53" x14ac:dyDescent="0.25">
      <c r="U44">
        <f>LARGE(_xlfn._xlws.SORT(_xlfn.VSTACK(U35:U39,U25:U29),1,-1), 1)</f>
        <v>41</v>
      </c>
    </row>
    <row r="45" spans="1:53" x14ac:dyDescent="0.25">
      <c r="U45">
        <f>LARGE(_xlfn._xlws.SORT(_xlfn.VSTACK(U35:U39,U25:U29),1,-1), 2)</f>
        <v>41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74" t="s">
        <v>44</v>
      </c>
      <c r="D1" s="175"/>
      <c r="E1" s="174" t="s">
        <v>23</v>
      </c>
      <c r="F1" s="175"/>
      <c r="G1" s="174" t="s">
        <v>22</v>
      </c>
      <c r="H1" s="175"/>
      <c r="I1" s="174" t="s">
        <v>27</v>
      </c>
      <c r="J1" s="175"/>
      <c r="K1" s="174" t="s">
        <v>11</v>
      </c>
      <c r="L1" s="175"/>
      <c r="M1" s="174" t="s">
        <v>37</v>
      </c>
      <c r="N1" s="175"/>
      <c r="O1" s="174" t="s">
        <v>24</v>
      </c>
      <c r="P1" s="175"/>
      <c r="Q1" s="174" t="s">
        <v>26</v>
      </c>
      <c r="R1" s="182"/>
      <c r="S1" s="174" t="s">
        <v>16</v>
      </c>
      <c r="T1" s="175"/>
      <c r="U1" s="174" t="s">
        <v>25</v>
      </c>
      <c r="V1" s="175"/>
      <c r="W1" s="174" t="s">
        <v>33</v>
      </c>
      <c r="X1" s="175"/>
      <c r="Y1" s="174" t="s">
        <v>36</v>
      </c>
      <c r="Z1" s="175"/>
      <c r="AA1" s="174" t="s">
        <v>34</v>
      </c>
      <c r="AB1" s="175"/>
      <c r="AC1" s="174" t="s">
        <v>12</v>
      </c>
      <c r="AD1" s="175"/>
      <c r="AE1" s="174" t="s">
        <v>14</v>
      </c>
      <c r="AF1" s="175"/>
      <c r="AG1" s="183" t="s">
        <v>21</v>
      </c>
      <c r="AH1" s="182"/>
      <c r="AI1" s="174" t="s">
        <v>41</v>
      </c>
      <c r="AJ1" s="175"/>
      <c r="AK1" s="174" t="s">
        <v>35</v>
      </c>
      <c r="AL1" s="175"/>
      <c r="AM1" s="174" t="s">
        <v>31</v>
      </c>
      <c r="AN1" s="175"/>
      <c r="AO1" s="174" t="s">
        <v>32</v>
      </c>
      <c r="AP1" s="175"/>
      <c r="AQ1" s="174" t="s">
        <v>19</v>
      </c>
      <c r="AR1" s="175"/>
      <c r="AS1" s="174" t="s">
        <v>42</v>
      </c>
      <c r="AT1" s="175"/>
      <c r="AU1" s="174" t="s">
        <v>20</v>
      </c>
      <c r="AV1" s="175"/>
      <c r="AW1" s="174" t="s">
        <v>43</v>
      </c>
      <c r="AX1" s="182"/>
      <c r="AY1" s="174" t="s">
        <v>15</v>
      </c>
      <c r="AZ1" s="175"/>
      <c r="BA1" s="174" t="s">
        <v>28</v>
      </c>
      <c r="BB1" s="175"/>
      <c r="BC1" s="174" t="s">
        <v>30</v>
      </c>
      <c r="BD1" s="175"/>
      <c r="BE1" s="174" t="s">
        <v>13</v>
      </c>
      <c r="BF1" s="174"/>
      <c r="BG1" s="176" t="s">
        <v>18</v>
      </c>
      <c r="BH1" s="177"/>
      <c r="BI1" s="174" t="s">
        <v>29</v>
      </c>
      <c r="BJ1" s="175"/>
      <c r="BK1" s="174" t="s">
        <v>40</v>
      </c>
      <c r="BL1" s="175"/>
      <c r="BM1" s="174" t="s">
        <v>17</v>
      </c>
      <c r="BN1" s="175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1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19</v>
      </c>
      <c r="BP3" s="171">
        <f>BO3+BO4</f>
        <v>34</v>
      </c>
      <c r="BQ3" s="172">
        <f>82-BP3</f>
        <v>48</v>
      </c>
    </row>
    <row r="4" spans="1:69" ht="12" customHeight="1" x14ac:dyDescent="0.25">
      <c r="A4" s="173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1"/>
      <c r="BQ4" s="172"/>
    </row>
    <row r="5" spans="1:69" ht="12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1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20</v>
      </c>
      <c r="BP5" s="171">
        <f t="shared" ref="BP5" si="1">BO5+BO6</f>
        <v>34</v>
      </c>
      <c r="BQ5" s="172">
        <f t="shared" ref="BQ5" si="2">82-BP5</f>
        <v>48</v>
      </c>
    </row>
    <row r="6" spans="1:69" ht="12" customHeight="1" x14ac:dyDescent="0.25">
      <c r="A6" s="173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71"/>
      <c r="BQ6" s="172"/>
    </row>
    <row r="7" spans="1:69" ht="12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1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0"/>
        <v>20</v>
      </c>
      <c r="BP7" s="171">
        <f t="shared" ref="BP7" si="3">BO7+BO8</f>
        <v>34</v>
      </c>
      <c r="BQ7" s="172">
        <f t="shared" ref="BQ7" si="4">82-BP7</f>
        <v>48</v>
      </c>
    </row>
    <row r="8" spans="1:69" ht="12" customHeight="1" x14ac:dyDescent="0.25">
      <c r="A8" s="173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14</v>
      </c>
      <c r="BP8" s="171"/>
      <c r="BQ8" s="172"/>
    </row>
    <row r="9" spans="1:69" ht="12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18</v>
      </c>
      <c r="BP9" s="171">
        <f t="shared" ref="BP9" si="5">BO9+BO10</f>
        <v>32</v>
      </c>
      <c r="BQ9" s="172">
        <f t="shared" ref="BQ9" si="6">82-BP9</f>
        <v>50</v>
      </c>
    </row>
    <row r="10" spans="1:69" ht="12" customHeight="1" x14ac:dyDescent="0.25">
      <c r="A10" s="173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14</v>
      </c>
      <c r="BP10" s="171"/>
      <c r="BQ10" s="172"/>
    </row>
    <row r="11" spans="1:69" ht="12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14</v>
      </c>
      <c r="BP11" s="171">
        <f t="shared" ref="BP11" si="7">BO11+BO12</f>
        <v>31</v>
      </c>
      <c r="BQ11" s="172">
        <f t="shared" ref="BQ11" si="8">82-BP11</f>
        <v>51</v>
      </c>
    </row>
    <row r="12" spans="1:69" ht="12" customHeight="1" x14ac:dyDescent="0.25">
      <c r="A12" s="173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1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17</v>
      </c>
      <c r="BP12" s="171"/>
      <c r="BQ12" s="172"/>
    </row>
    <row r="13" spans="1:69" ht="12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0"/>
        <v>16</v>
      </c>
      <c r="BP13" s="171">
        <f t="shared" ref="BP13" si="9">BO13+BO14</f>
        <v>34</v>
      </c>
      <c r="BQ13" s="172">
        <f t="shared" ref="BQ13" si="10">82-BP13</f>
        <v>48</v>
      </c>
    </row>
    <row r="14" spans="1:69" ht="12" customHeight="1" x14ac:dyDescent="0.25">
      <c r="A14" s="173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1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18</v>
      </c>
      <c r="BP14" s="171"/>
      <c r="BQ14" s="172"/>
    </row>
    <row r="15" spans="1:69" ht="12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1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18</v>
      </c>
      <c r="BP15" s="171">
        <f t="shared" ref="BP15" si="11">BO15+BO16</f>
        <v>33</v>
      </c>
      <c r="BQ15" s="172">
        <f t="shared" ref="BQ15" si="12">82-BP15</f>
        <v>49</v>
      </c>
    </row>
    <row r="16" spans="1:69" ht="12" customHeight="1" x14ac:dyDescent="0.25">
      <c r="A16" s="173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15</v>
      </c>
      <c r="BP16" s="171"/>
      <c r="BQ16" s="172"/>
    </row>
    <row r="17" spans="1:69" ht="12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16</v>
      </c>
      <c r="BP17" s="171">
        <f t="shared" ref="BP17" si="13">BO17+BO18</f>
        <v>31</v>
      </c>
      <c r="BQ17" s="172">
        <f t="shared" ref="BQ17" si="14">82-BP17</f>
        <v>51</v>
      </c>
    </row>
    <row r="18" spans="1:69" ht="12" customHeight="1" thickBot="1" x14ac:dyDescent="0.3">
      <c r="A18" s="172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1"/>
      <c r="BQ18" s="172"/>
    </row>
    <row r="19" spans="1:69" ht="12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1</v>
      </c>
      <c r="BO19" s="30">
        <f t="shared" si="0"/>
        <v>17</v>
      </c>
      <c r="BP19" s="171">
        <f t="shared" ref="BP19" si="15">BO19+BO20</f>
        <v>33</v>
      </c>
      <c r="BQ19" s="172">
        <f t="shared" ref="BQ19" si="16">82-BP19</f>
        <v>49</v>
      </c>
    </row>
    <row r="20" spans="1:69" ht="12" customHeight="1" x14ac:dyDescent="0.25">
      <c r="A20" s="173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16</v>
      </c>
      <c r="BP20" s="171"/>
      <c r="BQ20" s="172"/>
    </row>
    <row r="21" spans="1:69" ht="12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1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18</v>
      </c>
      <c r="BP21" s="171">
        <f t="shared" ref="BP21" si="17">BO21+BO22</f>
        <v>33</v>
      </c>
      <c r="BQ21" s="172">
        <f t="shared" ref="BQ21" si="18">82-BP21</f>
        <v>49</v>
      </c>
    </row>
    <row r="22" spans="1:69" ht="12" customHeight="1" x14ac:dyDescent="0.25">
      <c r="A22" s="173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15</v>
      </c>
      <c r="BP22" s="171"/>
      <c r="BQ22" s="172"/>
    </row>
    <row r="23" spans="1:69" ht="12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17</v>
      </c>
      <c r="BP23" s="171">
        <f t="shared" ref="BP23" si="19">BO23+BO24</f>
        <v>34</v>
      </c>
      <c r="BQ23" s="172">
        <f t="shared" ref="BQ23" si="20">82-BP23</f>
        <v>48</v>
      </c>
    </row>
    <row r="24" spans="1:69" ht="12" customHeight="1" x14ac:dyDescent="0.25">
      <c r="A24" s="173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17</v>
      </c>
      <c r="BP24" s="171"/>
      <c r="BQ24" s="172"/>
    </row>
    <row r="25" spans="1:69" ht="12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1">
        <f t="shared" ref="BP25" si="21">BO25+BO26</f>
        <v>34</v>
      </c>
      <c r="BQ25" s="172">
        <f t="shared" ref="BQ25" si="22">82-BP25</f>
        <v>48</v>
      </c>
    </row>
    <row r="26" spans="1:69" ht="12" customHeight="1" x14ac:dyDescent="0.25">
      <c r="A26" s="173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1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19</v>
      </c>
      <c r="BP26" s="171"/>
      <c r="BQ26" s="172"/>
    </row>
    <row r="27" spans="1:69" ht="12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14</v>
      </c>
      <c r="BP27" s="171">
        <f t="shared" ref="BP27" si="23">BO27+BO28</f>
        <v>32</v>
      </c>
      <c r="BQ27" s="172">
        <f t="shared" ref="BQ27" si="24">82-BP27</f>
        <v>50</v>
      </c>
    </row>
    <row r="28" spans="1:69" ht="12" customHeight="1" x14ac:dyDescent="0.25">
      <c r="A28" s="173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18</v>
      </c>
      <c r="BP28" s="171"/>
      <c r="BQ28" s="172"/>
    </row>
    <row r="29" spans="1:69" ht="12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16</v>
      </c>
      <c r="BP29" s="171">
        <f t="shared" ref="BP29" si="25">BO29+BO30</f>
        <v>34</v>
      </c>
      <c r="BQ29" s="172">
        <f t="shared" ref="BQ29" si="26">82-BP29</f>
        <v>48</v>
      </c>
    </row>
    <row r="30" spans="1:69" ht="12" customHeight="1" x14ac:dyDescent="0.25">
      <c r="A30" s="173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18</v>
      </c>
      <c r="BP30" s="171"/>
      <c r="BQ30" s="172"/>
    </row>
    <row r="31" spans="1:69" ht="12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1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21</v>
      </c>
      <c r="BP31" s="171">
        <f t="shared" ref="BP31" si="27">BO31+BO32</f>
        <v>35</v>
      </c>
      <c r="BQ31" s="172">
        <f t="shared" ref="BQ31" si="28">82-BP31</f>
        <v>47</v>
      </c>
    </row>
    <row r="32" spans="1:69" ht="12" customHeight="1" x14ac:dyDescent="0.25">
      <c r="A32" s="173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14</v>
      </c>
      <c r="BP32" s="171"/>
      <c r="BQ32" s="172"/>
    </row>
    <row r="33" spans="1:69" ht="12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1">
        <f t="shared" ref="BP33" si="29">BO33+BO34</f>
        <v>32</v>
      </c>
      <c r="BQ33" s="172">
        <f t="shared" ref="BQ33" si="30">82-BP33</f>
        <v>50</v>
      </c>
    </row>
    <row r="34" spans="1:69" ht="12" customHeight="1" thickBot="1" x14ac:dyDescent="0.3">
      <c r="A34" s="172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16</v>
      </c>
      <c r="BP34" s="171"/>
      <c r="BQ34" s="172"/>
    </row>
    <row r="35" spans="1:69" ht="12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15</v>
      </c>
      <c r="BP35" s="171">
        <f t="shared" ref="BP35" si="31">BO35+BO36</f>
        <v>32</v>
      </c>
      <c r="BQ35" s="172">
        <f t="shared" ref="BQ35" si="32">82-BP35</f>
        <v>50</v>
      </c>
    </row>
    <row r="36" spans="1:69" ht="12" customHeight="1" x14ac:dyDescent="0.25">
      <c r="A36" s="173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17</v>
      </c>
      <c r="BP36" s="171"/>
      <c r="BQ36" s="172"/>
    </row>
    <row r="37" spans="1:69" ht="12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1">
        <f t="shared" ref="BP37" si="33">BO37+BO38</f>
        <v>33</v>
      </c>
      <c r="BQ37" s="172">
        <f t="shared" ref="BQ37" si="34">82-BP37</f>
        <v>49</v>
      </c>
    </row>
    <row r="38" spans="1:69" ht="12" customHeight="1" x14ac:dyDescent="0.25">
      <c r="A38" s="173"/>
      <c r="B38" s="32" t="s">
        <v>73</v>
      </c>
      <c r="C38" s="38">
        <f>COUNTIFS(DataRegularSeason20242025!$D$2:$D$1315,C$1,DataRegularSeason20242025!$E$2:$E$1315,$A37,DataRegularSeason20242025!$N$2:$N$1315,1)</f>
        <v>1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15</v>
      </c>
      <c r="BP38" s="171"/>
      <c r="BQ38" s="172"/>
    </row>
    <row r="39" spans="1:69" ht="12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71">
        <f t="shared" ref="BP39" si="35">BO39+BO40</f>
        <v>33</v>
      </c>
      <c r="BQ39" s="172">
        <f t="shared" ref="BQ39" si="36">82-BP39</f>
        <v>49</v>
      </c>
    </row>
    <row r="40" spans="1:69" ht="12" customHeight="1" x14ac:dyDescent="0.25">
      <c r="A40" s="173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17</v>
      </c>
      <c r="BP40" s="171"/>
      <c r="BQ40" s="172"/>
    </row>
    <row r="41" spans="1:69" ht="12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2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16</v>
      </c>
      <c r="BP41" s="171">
        <f t="shared" ref="BP41" si="37">BO41+BO42</f>
        <v>34</v>
      </c>
      <c r="BQ41" s="172">
        <f t="shared" ref="BQ41" si="38">82-BP41</f>
        <v>48</v>
      </c>
    </row>
    <row r="42" spans="1:69" ht="12" customHeight="1" x14ac:dyDescent="0.25">
      <c r="A42" s="173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18</v>
      </c>
      <c r="BP42" s="171"/>
      <c r="BQ42" s="172"/>
    </row>
    <row r="43" spans="1:69" ht="12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71">
        <f t="shared" ref="BP43" si="39">BO43+BO44</f>
        <v>35</v>
      </c>
      <c r="BQ43" s="172">
        <f t="shared" ref="BQ43" si="40">82-BP43</f>
        <v>47</v>
      </c>
    </row>
    <row r="44" spans="1:69" ht="12" customHeight="1" x14ac:dyDescent="0.25">
      <c r="A44" s="173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1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17</v>
      </c>
      <c r="BP44" s="171"/>
      <c r="BQ44" s="172"/>
    </row>
    <row r="45" spans="1:69" ht="12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2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13</v>
      </c>
      <c r="BP45" s="171">
        <f t="shared" ref="BP45" si="41">BO45+BO46</f>
        <v>32</v>
      </c>
      <c r="BQ45" s="172">
        <f t="shared" ref="BQ45" si="42">82-BP45</f>
        <v>50</v>
      </c>
    </row>
    <row r="46" spans="1:69" ht="12" customHeight="1" x14ac:dyDescent="0.25">
      <c r="A46" s="173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19</v>
      </c>
      <c r="BP46" s="171"/>
      <c r="BQ46" s="172"/>
    </row>
    <row r="47" spans="1:69" ht="12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1">
        <f t="shared" ref="BP47" si="43">BO47+BO48</f>
        <v>32</v>
      </c>
      <c r="BQ47" s="172">
        <f t="shared" ref="BQ47" si="44">82-BP47</f>
        <v>50</v>
      </c>
    </row>
    <row r="48" spans="1:69" ht="12" customHeight="1" x14ac:dyDescent="0.25">
      <c r="A48" s="173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1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17</v>
      </c>
      <c r="BP48" s="171"/>
      <c r="BQ48" s="172"/>
    </row>
    <row r="49" spans="1:69" ht="12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1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16</v>
      </c>
      <c r="BP49" s="171">
        <f t="shared" ref="BP49" si="45">BO49+BO50</f>
        <v>33</v>
      </c>
      <c r="BQ49" s="172">
        <f t="shared" ref="BQ49" si="46">82-BP49</f>
        <v>49</v>
      </c>
    </row>
    <row r="50" spans="1:69" ht="12" customHeight="1" thickBot="1" x14ac:dyDescent="0.3">
      <c r="A50" s="180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17</v>
      </c>
      <c r="BP50" s="171"/>
      <c r="BQ50" s="172"/>
    </row>
    <row r="51" spans="1:69" ht="12" customHeight="1" thickTop="1" x14ac:dyDescent="0.25">
      <c r="A51" s="172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17</v>
      </c>
      <c r="BP51" s="171">
        <f t="shared" ref="BP51" si="47">BO51+BO52</f>
        <v>34</v>
      </c>
      <c r="BQ51" s="172">
        <f t="shared" ref="BQ51" si="48">82-BP51</f>
        <v>48</v>
      </c>
    </row>
    <row r="52" spans="1:69" ht="12" customHeight="1" x14ac:dyDescent="0.25">
      <c r="A52" s="173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1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17</v>
      </c>
      <c r="BP52" s="171"/>
      <c r="BQ52" s="172"/>
    </row>
    <row r="53" spans="1:69" ht="12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16</v>
      </c>
      <c r="BP53" s="171">
        <f t="shared" ref="BP53" si="49">BO53+BO54</f>
        <v>32</v>
      </c>
      <c r="BQ53" s="172">
        <f t="shared" ref="BQ53" si="50">82-BP53</f>
        <v>50</v>
      </c>
    </row>
    <row r="54" spans="1:69" ht="12" customHeight="1" x14ac:dyDescent="0.25">
      <c r="A54" s="173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1"/>
      <c r="BQ54" s="172"/>
    </row>
    <row r="55" spans="1:69" ht="12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17</v>
      </c>
      <c r="BP55" s="171">
        <f t="shared" ref="BP55" si="51">BO55+BO56</f>
        <v>34</v>
      </c>
      <c r="BQ55" s="172">
        <f t="shared" ref="BQ55" si="52">82-BP55</f>
        <v>48</v>
      </c>
    </row>
    <row r="56" spans="1:69" ht="12" customHeight="1" x14ac:dyDescent="0.25">
      <c r="A56" s="173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2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17</v>
      </c>
      <c r="BP56" s="171"/>
      <c r="BQ56" s="172"/>
    </row>
    <row r="57" spans="1:69" ht="12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14</v>
      </c>
      <c r="BP57" s="171">
        <f t="shared" ref="BP57" si="53">BO57+BO58</f>
        <v>32</v>
      </c>
      <c r="BQ57" s="172">
        <f t="shared" ref="BQ57" si="54">82-BP57</f>
        <v>50</v>
      </c>
    </row>
    <row r="58" spans="1:69" ht="12" customHeight="1" x14ac:dyDescent="0.25">
      <c r="A58" s="173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1"/>
      <c r="BQ58" s="172"/>
    </row>
    <row r="59" spans="1:69" ht="12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15</v>
      </c>
      <c r="BP59" s="171">
        <f t="shared" ref="BP59" si="55">BO59+BO60</f>
        <v>33</v>
      </c>
      <c r="BQ59" s="172">
        <f t="shared" ref="BQ59" si="56">82-BP59</f>
        <v>49</v>
      </c>
    </row>
    <row r="60" spans="1:69" ht="12" customHeight="1" x14ac:dyDescent="0.25">
      <c r="A60" s="173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2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18</v>
      </c>
      <c r="BP60" s="171"/>
      <c r="BQ60" s="172"/>
    </row>
    <row r="61" spans="1:69" ht="12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18</v>
      </c>
      <c r="BP61" s="171">
        <f t="shared" ref="BP61" si="57">BO61+BO62</f>
        <v>32</v>
      </c>
      <c r="BQ61" s="172">
        <f t="shared" ref="BQ61" si="58">82-BP61</f>
        <v>50</v>
      </c>
    </row>
    <row r="62" spans="1:69" ht="12" customHeight="1" x14ac:dyDescent="0.25">
      <c r="A62" s="173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1"/>
      <c r="BQ62" s="172"/>
    </row>
    <row r="63" spans="1:69" ht="12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17</v>
      </c>
      <c r="BP63" s="171">
        <f t="shared" ref="BP63" si="59">BO63+BO64</f>
        <v>33</v>
      </c>
      <c r="BQ63" s="172">
        <f t="shared" ref="BQ63" si="60">82-BP63</f>
        <v>49</v>
      </c>
    </row>
    <row r="64" spans="1:69" ht="12" customHeight="1" x14ac:dyDescent="0.25">
      <c r="A64" s="173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16</v>
      </c>
      <c r="BP64" s="171"/>
      <c r="BQ64" s="172"/>
    </row>
    <row r="65" spans="1:69" ht="12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1">
        <f t="shared" ref="BP65" si="61">BO65+BO66</f>
        <v>32</v>
      </c>
      <c r="BQ65" s="172">
        <f t="shared" ref="BQ65" si="62">82-BP65</f>
        <v>50</v>
      </c>
    </row>
    <row r="66" spans="1:69" ht="12" customHeight="1" x14ac:dyDescent="0.25">
      <c r="A66" s="173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1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20</v>
      </c>
      <c r="BP66" s="171"/>
      <c r="BQ66" s="172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528</v>
      </c>
      <c r="BQ67" s="27">
        <f>SUM(BQ3:BQ66)/2</f>
        <v>784</v>
      </c>
    </row>
    <row r="68" spans="1:69" x14ac:dyDescent="0.25">
      <c r="BP68" s="43">
        <f>2*BP67/SUM(BP3:BQ66)</f>
        <v>0.40243902439024393</v>
      </c>
      <c r="BQ68" s="43">
        <f>2*BQ67/SUM(BP3:BQ66)</f>
        <v>0.59756097560975607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AF21" sqref="AF21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0-0-1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1-1-0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0-1-0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1-0-0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1-0-0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1-1-0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1-0-0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1-1-0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1-1-0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1-0-0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0-0-1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1-1-0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0-1-0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0-1-0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0-1-0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1-1-0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1-1-0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1-0-0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1-0-0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1-1-0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0-1-0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1-0-0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1-0-0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1-1-0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1-1-0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1-1-0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1-0-0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2-0-1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1-0-0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1-0-1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1-1-0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0-1-1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1-1-0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1-1-0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1-0-0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1-0-0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1-2-0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2-0-0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1-1-0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0-2-0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1-0-0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1-0-0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1-1-0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1-1-0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0-1-0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0-0-1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3-0-0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1-1-0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1-0-0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0-1-0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0-1-0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1-1-0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0-1-0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1-2-0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1-0-0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2-1-0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3-0-0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0-1-0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1-1-0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2-0-0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0-0-1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0-0-3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2-0-0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0-1-0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1-0-1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0-0-1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0-1-0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1-1-0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1-1-0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1-0-1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0-1-0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1-1-0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1-0-0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1-0-0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1-0-0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1-1-0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1-1-0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1-2-0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0-1-0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2-0-0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1-1-0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1-1-0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0-1-1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0-1-1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1-0-0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0-1-0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1-0-0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1-0-0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2-1-0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0-2-1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1-1-0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0-1-0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0-0-1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1-1-0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>0.5</v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0.25</v>
      </c>
      <c r="U37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>0</v>
      </c>
      <c r="V37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>1</v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0.47916666666666669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>1</v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0.25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0.40277777777777773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0.6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>1</v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0.25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0.25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>1</v>
      </c>
      <c r="AH39" s="101">
        <f t="shared" si="0"/>
        <v>0.55000000000000004</v>
      </c>
      <c r="AI39" s="101">
        <f t="shared" si="1"/>
        <v>0.45</v>
      </c>
      <c r="AJ39" s="103">
        <f t="shared" si="2"/>
        <v>0.6071428571428571</v>
      </c>
      <c r="AK39" s="103">
        <f t="shared" si="3"/>
        <v>0.5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>0.5</v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0.5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0.61904761904761918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0.61458333333333326</v>
      </c>
      <c r="AM40" s="103">
        <f t="shared" si="5"/>
        <v>0.625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>0.5</v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>0</v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>0.5</v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0.47727272727272729</v>
      </c>
      <c r="AI41" s="101">
        <f t="shared" si="1"/>
        <v>0.50694444444444442</v>
      </c>
      <c r="AJ41" s="103">
        <f t="shared" si="2"/>
        <v>0.55000000000000004</v>
      </c>
      <c r="AK41" s="103">
        <f t="shared" si="3"/>
        <v>0.41666666666666669</v>
      </c>
      <c r="AL41" s="103">
        <f t="shared" si="4"/>
        <v>0.5357142857142857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0.25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0.75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>1</v>
      </c>
      <c r="AH42" s="101">
        <f t="shared" si="0"/>
        <v>0.52083333333333337</v>
      </c>
      <c r="AI42" s="101">
        <f t="shared" si="1"/>
        <v>0.41666666666666663</v>
      </c>
      <c r="AJ42" s="103">
        <f t="shared" si="2"/>
        <v>0.6</v>
      </c>
      <c r="AK42" s="103">
        <f t="shared" si="3"/>
        <v>0.4642857142857143</v>
      </c>
      <c r="AL42" s="103">
        <f t="shared" si="4"/>
        <v>0.41666666666666663</v>
      </c>
      <c r="AM42" s="103">
        <f t="shared" si="5"/>
        <v>0.41666666666666669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>1</v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0.75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>0.5</v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0.56818181818181823</v>
      </c>
      <c r="AI43" s="101">
        <f t="shared" si="1"/>
        <v>0.5</v>
      </c>
      <c r="AJ43" s="103">
        <f t="shared" si="2"/>
        <v>0.5</v>
      </c>
      <c r="AK43" s="103">
        <f t="shared" si="3"/>
        <v>0.625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>1</v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>1</v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0.64583333333333337</v>
      </c>
      <c r="AI44" s="102">
        <f t="shared" si="1"/>
        <v>0.6</v>
      </c>
      <c r="AJ44" s="104">
        <f t="shared" si="2"/>
        <v>0.45833333333333331</v>
      </c>
      <c r="AK44" s="104">
        <f t="shared" si="3"/>
        <v>0.83333333333333337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0.5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0.75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0.25</v>
      </c>
      <c r="AH45" s="101">
        <f t="shared" si="0"/>
        <v>0.45</v>
      </c>
      <c r="AI45" s="101">
        <f t="shared" si="1"/>
        <v>0.46794871794871795</v>
      </c>
      <c r="AJ45" s="103">
        <f t="shared" si="2"/>
        <v>0.4375</v>
      </c>
      <c r="AK45" s="103">
        <f t="shared" si="3"/>
        <v>0.5</v>
      </c>
      <c r="AL45" s="103">
        <f t="shared" si="4"/>
        <v>0.41666666666666669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>1</v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0.66666666666666663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>0.5</v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0.59090909090909094</v>
      </c>
      <c r="AI46" s="101">
        <f t="shared" si="1"/>
        <v>0.74305555555555547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0.6333333333333333</v>
      </c>
      <c r="AM46" s="103">
        <f t="shared" si="5"/>
        <v>0.8214285714285714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0.25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0.61538461538461542</v>
      </c>
      <c r="AJ47" s="103">
        <f t="shared" si="2"/>
        <v>0.6875</v>
      </c>
      <c r="AK47" s="103">
        <f t="shared" si="3"/>
        <v>0.5625</v>
      </c>
      <c r="AL47" s="103">
        <f t="shared" si="4"/>
        <v>0.625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0.25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0.25</v>
      </c>
      <c r="Z48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>0.5</v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>0.5</v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0.52272727272727271</v>
      </c>
      <c r="AI48" s="101">
        <f t="shared" si="1"/>
        <v>0.6</v>
      </c>
      <c r="AJ48" s="103">
        <f t="shared" si="2"/>
        <v>0.5</v>
      </c>
      <c r="AK48" s="103">
        <f t="shared" si="3"/>
        <v>0.53125</v>
      </c>
      <c r="AL48" s="103">
        <f t="shared" si="4"/>
        <v>0.6428571428571429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0.33333333333333331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>0.75</v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0.53030303030303039</v>
      </c>
      <c r="AJ49" s="103">
        <f t="shared" si="2"/>
        <v>0.625</v>
      </c>
      <c r="AK49" s="103">
        <f t="shared" si="3"/>
        <v>0.2</v>
      </c>
      <c r="AL49" s="103">
        <f t="shared" si="4"/>
        <v>0.54761904761904756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>0.25</v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0.52083333333333337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0.45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>0.5</v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>1</v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0.25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0.42499999999999999</v>
      </c>
      <c r="AI51" s="101">
        <f t="shared" si="1"/>
        <v>0.50555555555555565</v>
      </c>
      <c r="AJ51" s="103">
        <f t="shared" si="2"/>
        <v>0.32142857142857145</v>
      </c>
      <c r="AK51" s="103">
        <f t="shared" si="3"/>
        <v>0.66666666666666663</v>
      </c>
      <c r="AL51" s="103">
        <f t="shared" si="4"/>
        <v>0.5357142857142857</v>
      </c>
      <c r="AM51" s="103">
        <f t="shared" si="5"/>
        <v>0.47916666666666669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0.25</v>
      </c>
      <c r="Z52" s="58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>0.5</v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>0.5</v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0.52500000000000002</v>
      </c>
      <c r="AI52" s="102">
        <f t="shared" si="1"/>
        <v>0.44444444444444448</v>
      </c>
      <c r="AJ52" s="104">
        <f t="shared" si="2"/>
        <v>0.4375</v>
      </c>
      <c r="AK52" s="104">
        <f t="shared" si="3"/>
        <v>0.58333333333333337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0.66666666666666663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0.75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0.57407407407407396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0.61111111111111105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>0.5</v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>0.5</v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>0.5</v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0.48717948717948717</v>
      </c>
      <c r="AI54" s="101">
        <f t="shared" si="1"/>
        <v>0.45833333333333331</v>
      </c>
      <c r="AJ54" s="103">
        <f t="shared" si="2"/>
        <v>0.59523809523809523</v>
      </c>
      <c r="AK54" s="103">
        <f t="shared" si="3"/>
        <v>0.3611111111111111</v>
      </c>
      <c r="AL54" s="103">
        <f t="shared" si="4"/>
        <v>0.5</v>
      </c>
      <c r="AM54" s="103">
        <f t="shared" si="5"/>
        <v>0.41666666666666669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0.25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>0.5</v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0.52272727272727271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0.5</v>
      </c>
    </row>
    <row r="56" spans="1:39" x14ac:dyDescent="0.25">
      <c r="A56" s="57" t="s">
        <v>32</v>
      </c>
      <c r="B56" s="24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>0.5</v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0.66666666666666663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0.51388888888888895</v>
      </c>
      <c r="AI56" s="101">
        <f t="shared" si="1"/>
        <v>0.59090909090909094</v>
      </c>
      <c r="AJ56" s="103">
        <f t="shared" si="2"/>
        <v>0.5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0.55000000000000004</v>
      </c>
    </row>
    <row r="57" spans="1:39" x14ac:dyDescent="0.25">
      <c r="A57" s="57" t="s">
        <v>19</v>
      </c>
      <c r="B57" s="24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>0.5</v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0.75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0.75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0.77083333333333337</v>
      </c>
      <c r="AI57" s="101">
        <f t="shared" si="1"/>
        <v>0.42857142857142855</v>
      </c>
      <c r="AJ57" s="103">
        <f t="shared" si="2"/>
        <v>0.8214285714285714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0.5357142857142857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>0.5</v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0.47727272727272729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>0.5</v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0.75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>0.5</v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>0.5</v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0.63636363636363635</v>
      </c>
      <c r="AI59" s="101">
        <f t="shared" si="1"/>
        <v>0.5</v>
      </c>
      <c r="AJ59" s="103">
        <f t="shared" si="2"/>
        <v>0.65</v>
      </c>
      <c r="AK59" s="103">
        <f t="shared" si="3"/>
        <v>0.625</v>
      </c>
      <c r="AL59" s="103">
        <f t="shared" si="4"/>
        <v>0.45833333333333331</v>
      </c>
      <c r="AM59" s="103">
        <f t="shared" si="5"/>
        <v>0.54166666666666663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0.25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0.25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0.75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0.54487179487179482</v>
      </c>
      <c r="AI60" s="102">
        <f t="shared" si="1"/>
        <v>0.47499999999999998</v>
      </c>
      <c r="AJ60" s="104">
        <f t="shared" si="2"/>
        <v>0.47619047619047622</v>
      </c>
      <c r="AK60" s="104">
        <f t="shared" si="3"/>
        <v>0.625</v>
      </c>
      <c r="AL60" s="104">
        <f t="shared" si="4"/>
        <v>0.25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>0</v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0.25</v>
      </c>
      <c r="Q61" s="57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>1</v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0.4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0.45833333333333331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>1</v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>1</v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0.57499999999999996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0.25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0.75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0.33333333333333331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0.45833333333333331</v>
      </c>
      <c r="AI63" s="101">
        <f t="shared" si="1"/>
        <v>0.65909090909090906</v>
      </c>
      <c r="AJ63" s="103">
        <f t="shared" si="2"/>
        <v>0.5</v>
      </c>
      <c r="AK63" s="103">
        <f t="shared" si="3"/>
        <v>0.39583333333333331</v>
      </c>
      <c r="AL63" s="103">
        <f t="shared" si="4"/>
        <v>0.66666666666666663</v>
      </c>
      <c r="AM63" s="103">
        <f t="shared" si="5"/>
        <v>0.65625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>0</v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0.75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0.75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0.44444444444444442</v>
      </c>
      <c r="AI64" s="101">
        <f t="shared" si="1"/>
        <v>0.54166666666666663</v>
      </c>
      <c r="AJ64" s="103">
        <f t="shared" si="2"/>
        <v>0.45833333333333331</v>
      </c>
      <c r="AK64" s="103">
        <f t="shared" si="3"/>
        <v>0.43055555555555552</v>
      </c>
      <c r="AL64" s="103">
        <f t="shared" si="4"/>
        <v>0.6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0.25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>1</v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0.58333333333333337</v>
      </c>
      <c r="AI65" s="101">
        <f t="shared" si="1"/>
        <v>0.63461538461538458</v>
      </c>
      <c r="AJ65" s="103">
        <f t="shared" si="2"/>
        <v>0.58333333333333337</v>
      </c>
      <c r="AK65" s="103">
        <f t="shared" si="3"/>
        <v>0.58333333333333337</v>
      </c>
      <c r="AL65" s="103">
        <f t="shared" si="4"/>
        <v>0.5357142857142857</v>
      </c>
      <c r="AM65" s="103">
        <f t="shared" si="5"/>
        <v>0.75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>0</v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>1</v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>1</v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0.59090909090909094</v>
      </c>
      <c r="AI66" s="101">
        <f t="shared" si="1"/>
        <v>0.5178571428571429</v>
      </c>
      <c r="AJ66" s="103">
        <f t="shared" si="2"/>
        <v>0.45</v>
      </c>
      <c r="AK66" s="103">
        <f t="shared" si="3"/>
        <v>0.70833333333333337</v>
      </c>
      <c r="AL66" s="103">
        <f t="shared" si="4"/>
        <v>0.35714285714285715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0.66666666666666663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0.33333333333333331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0.75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0.66666666666666663</v>
      </c>
      <c r="AK67" s="103">
        <f t="shared" si="3"/>
        <v>0.48809523809523808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>0.5</v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>0.5</v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0.25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0.47222222222222221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0.4375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2025-12-17T20:33:24Z</dcterms:modified>
</cp:coreProperties>
</file>