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3FDED051-A9FD-43B1-AE54-919A61AF951F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Y32" i="2" l="1"/>
  <c r="AW3" i="1"/>
  <c r="DY33" i="2" s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H390" i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T15" i="1" a="1"/>
  <c r="BT15" i="1" s="1"/>
  <c r="BV15" i="1" a="1"/>
  <c r="BV15" i="1" s="1"/>
  <c r="BT14" i="1" a="1"/>
  <c r="BT14" i="1" s="1"/>
  <c r="BV14" i="1" a="1"/>
  <c r="BV14" i="1" s="1"/>
  <c r="BV13" i="1" a="1"/>
  <c r="BV13" i="1" s="1"/>
  <c r="BV12" i="1" a="1"/>
  <c r="BV12" i="1" s="1"/>
  <c r="BV11" i="1" a="1"/>
  <c r="BV11" i="1" s="1"/>
  <c r="BV10" i="1" a="1"/>
  <c r="BV10" i="1" s="1"/>
  <c r="BV9" i="1" a="1"/>
  <c r="BV9" i="1" s="1"/>
  <c r="BV8" i="1" a="1"/>
  <c r="BV8" i="1" s="1"/>
  <c r="BV7" i="1" a="1"/>
  <c r="BV7" i="1" s="1"/>
  <c r="BT13" i="1" a="1"/>
  <c r="BT13" i="1" s="1"/>
  <c r="BT12" i="1" a="1"/>
  <c r="BT12" i="1" s="1"/>
  <c r="BT11" i="1" a="1"/>
  <c r="BT11" i="1" s="1"/>
  <c r="BT10" i="1" a="1"/>
  <c r="BT10" i="1" s="1"/>
  <c r="BT9" i="1" a="1"/>
  <c r="BT9" i="1" s="1"/>
  <c r="BT8" i="1" a="1"/>
  <c r="BT8" i="1" s="1"/>
  <c r="BT7" i="1" a="1"/>
  <c r="BT7" i="1" s="1"/>
  <c r="BT6" i="1" a="1"/>
  <c r="BT6" i="1" s="1"/>
  <c r="BV6" i="1" a="1"/>
  <c r="BV6" i="1" s="1"/>
  <c r="D7" i="7"/>
  <c r="E7" i="7"/>
  <c r="F7" i="7"/>
  <c r="G7" i="7"/>
  <c r="H7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6" i="7"/>
  <c r="E6" i="7"/>
  <c r="F6" i="7"/>
  <c r="G6" i="7"/>
  <c r="H6" i="7"/>
  <c r="I6" i="7"/>
  <c r="D24" i="7"/>
  <c r="E24" i="7"/>
  <c r="F24" i="7"/>
  <c r="G24" i="7"/>
  <c r="H24" i="7"/>
  <c r="D13" i="7"/>
  <c r="E13" i="7"/>
  <c r="F13" i="7"/>
  <c r="G13" i="7"/>
  <c r="D23" i="7"/>
  <c r="E23" i="7"/>
  <c r="F23" i="7"/>
  <c r="G23" i="7"/>
  <c r="D20" i="7"/>
  <c r="E20" i="7"/>
  <c r="F20" i="7"/>
  <c r="G20" i="7"/>
  <c r="H20" i="7"/>
  <c r="I20" i="7"/>
  <c r="D9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11" i="7"/>
  <c r="E11" i="7"/>
  <c r="F11" i="7"/>
  <c r="G11" i="7"/>
  <c r="H11" i="7"/>
  <c r="I11" i="7"/>
  <c r="D10" i="7"/>
  <c r="E10" i="7"/>
  <c r="F10" i="7"/>
  <c r="G10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5" i="7"/>
  <c r="E5" i="7"/>
  <c r="F5" i="7"/>
  <c r="G5" i="7"/>
  <c r="H5" i="7"/>
  <c r="I5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1" i="7"/>
  <c r="E21" i="7"/>
  <c r="F21" i="7"/>
  <c r="G21" i="7"/>
  <c r="H21" i="7"/>
  <c r="D29" i="7"/>
  <c r="E29" i="7"/>
  <c r="F29" i="7"/>
  <c r="G29" i="7"/>
  <c r="H29" i="7"/>
  <c r="I29" i="7"/>
  <c r="D4" i="7"/>
  <c r="E4" i="7"/>
  <c r="F4" i="7"/>
  <c r="G4" i="7"/>
  <c r="H4" i="7"/>
  <c r="E22" i="7"/>
  <c r="F22" i="7"/>
  <c r="G22" i="7"/>
  <c r="H22" i="7"/>
  <c r="I22" i="7"/>
  <c r="D22" i="7"/>
  <c r="CR34" i="2" a="1"/>
  <c r="BB19" i="2"/>
  <c r="BB28" i="2"/>
  <c r="BB32" i="2"/>
  <c r="BB17" i="2"/>
  <c r="BB16" i="2"/>
  <c r="BB24" i="2"/>
  <c r="BB26" i="2"/>
  <c r="BB23" i="2"/>
  <c r="BB13" i="2"/>
  <c r="BB33" i="2"/>
  <c r="BB4" i="2"/>
  <c r="BB2" i="2"/>
  <c r="BB11" i="2"/>
  <c r="BB29" i="2"/>
  <c r="BB9" i="2"/>
  <c r="BB8" i="2"/>
  <c r="BB10" i="2"/>
  <c r="BB15" i="2"/>
  <c r="BB14" i="2"/>
  <c r="BB18" i="2"/>
  <c r="BB20" i="2"/>
  <c r="BB6" i="2"/>
  <c r="BB27" i="2"/>
  <c r="BB3" i="2"/>
  <c r="BB5" i="2"/>
  <c r="BB25" i="2"/>
  <c r="BB21" i="2"/>
  <c r="BB30" i="2"/>
  <c r="BB12" i="2"/>
  <c r="BB22" i="2"/>
  <c r="BB31" i="2"/>
  <c r="BB7" i="2"/>
  <c r="AX19" i="2"/>
  <c r="AX28" i="2"/>
  <c r="AX32" i="2"/>
  <c r="AX17" i="2"/>
  <c r="AX16" i="2"/>
  <c r="AX24" i="2"/>
  <c r="AX26" i="2"/>
  <c r="AX23" i="2"/>
  <c r="AX13" i="2"/>
  <c r="AX33" i="2"/>
  <c r="AX4" i="2"/>
  <c r="AX2" i="2"/>
  <c r="AX11" i="2"/>
  <c r="AX29" i="2"/>
  <c r="AX9" i="2"/>
  <c r="AX8" i="2"/>
  <c r="AX10" i="2"/>
  <c r="AX15" i="2"/>
  <c r="AX14" i="2"/>
  <c r="AX18" i="2"/>
  <c r="AX20" i="2"/>
  <c r="AX6" i="2"/>
  <c r="AX27" i="2"/>
  <c r="AX3" i="2"/>
  <c r="AX5" i="2"/>
  <c r="AX25" i="2"/>
  <c r="AX21" i="2"/>
  <c r="AX30" i="2"/>
  <c r="AX12" i="2"/>
  <c r="AX22" i="2"/>
  <c r="AX31" i="2"/>
  <c r="AX7" i="2"/>
  <c r="AY16" i="2"/>
  <c r="AZ16" i="2"/>
  <c r="BC16" i="2"/>
  <c r="BD16" i="2"/>
  <c r="AY29" i="2"/>
  <c r="AZ29" i="2"/>
  <c r="BC29" i="2"/>
  <c r="BD29" i="2"/>
  <c r="AY4" i="2"/>
  <c r="AZ4" i="2"/>
  <c r="BC4" i="2"/>
  <c r="BD4" i="2"/>
  <c r="AY27" i="2"/>
  <c r="AZ27" i="2"/>
  <c r="BC27" i="2"/>
  <c r="BD27" i="2"/>
  <c r="AY32" i="2"/>
  <c r="AZ32" i="2"/>
  <c r="BC32" i="2"/>
  <c r="BD32" i="2"/>
  <c r="AY26" i="2"/>
  <c r="AZ26" i="2"/>
  <c r="BC26" i="2"/>
  <c r="BD26" i="2"/>
  <c r="AY2" i="2"/>
  <c r="AZ2" i="2"/>
  <c r="BC2" i="2"/>
  <c r="BD2" i="2"/>
  <c r="AY3" i="2"/>
  <c r="AZ3" i="2"/>
  <c r="BC3" i="2"/>
  <c r="BD3" i="2"/>
  <c r="AY14" i="2"/>
  <c r="AZ14" i="2"/>
  <c r="BC14" i="2"/>
  <c r="BD14" i="2"/>
  <c r="AY19" i="2"/>
  <c r="AZ19" i="2"/>
  <c r="BC19" i="2"/>
  <c r="BD19" i="2"/>
  <c r="AY17" i="2"/>
  <c r="AZ17" i="2"/>
  <c r="BC17" i="2"/>
  <c r="BD17" i="2"/>
  <c r="AY15" i="2"/>
  <c r="AZ15" i="2"/>
  <c r="BC15" i="2"/>
  <c r="BD15" i="2"/>
  <c r="AY6" i="2"/>
  <c r="AZ6" i="2"/>
  <c r="BC6" i="2"/>
  <c r="BD6" i="2"/>
  <c r="AY12" i="2"/>
  <c r="AZ12" i="2"/>
  <c r="BC12" i="2"/>
  <c r="BD12" i="2"/>
  <c r="AY18" i="2"/>
  <c r="AZ18" i="2"/>
  <c r="BC18" i="2"/>
  <c r="BD18" i="2"/>
  <c r="AY31" i="2"/>
  <c r="AZ31" i="2"/>
  <c r="BC31" i="2"/>
  <c r="BD31" i="2"/>
  <c r="AY8" i="2"/>
  <c r="AZ8" i="2"/>
  <c r="BC8" i="2"/>
  <c r="BD8" i="2"/>
  <c r="AY23" i="2"/>
  <c r="AZ23" i="2"/>
  <c r="BC23" i="2"/>
  <c r="BD23" i="2"/>
  <c r="AY21" i="2"/>
  <c r="AZ21" i="2"/>
  <c r="BC21" i="2"/>
  <c r="BD21" i="2"/>
  <c r="AY10" i="2"/>
  <c r="AZ10" i="2"/>
  <c r="BC10" i="2"/>
  <c r="BD10" i="2"/>
  <c r="AY11" i="2"/>
  <c r="AZ11" i="2"/>
  <c r="BC11" i="2"/>
  <c r="BD11" i="2"/>
  <c r="AY25" i="2"/>
  <c r="AZ25" i="2"/>
  <c r="BC25" i="2"/>
  <c r="BD25" i="2"/>
  <c r="AY22" i="2"/>
  <c r="AZ22" i="2"/>
  <c r="BC22" i="2"/>
  <c r="BD22" i="2"/>
  <c r="AY30" i="2"/>
  <c r="AZ30" i="2"/>
  <c r="BC30" i="2"/>
  <c r="BD30" i="2"/>
  <c r="AY13" i="2"/>
  <c r="AZ13" i="2"/>
  <c r="BC13" i="2"/>
  <c r="BD13" i="2"/>
  <c r="AY20" i="2"/>
  <c r="AZ20" i="2"/>
  <c r="BC20" i="2"/>
  <c r="BD20" i="2"/>
  <c r="AY24" i="2"/>
  <c r="AZ24" i="2"/>
  <c r="BC24" i="2"/>
  <c r="BD24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E4" i="1"/>
  <c r="BV5" i="1" s="1" a="1"/>
  <c r="BV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T5" i="1" a="1"/>
  <c r="I30" i="7"/>
  <c r="I28" i="7"/>
  <c r="G17" i="7"/>
  <c r="H17" i="7"/>
  <c r="I17" i="7"/>
  <c r="F17" i="7"/>
  <c r="G9" i="7"/>
  <c r="H9" i="7"/>
  <c r="I9" i="7"/>
  <c r="E9" i="7"/>
  <c r="F9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E28" i="1"/>
  <c r="BE29" i="1" s="1"/>
  <c r="JO70" i="7"/>
  <c r="CF7" i="2"/>
  <c r="CE7" i="2" s="1"/>
  <c r="CF28" i="2"/>
  <c r="CE28" i="2" s="1"/>
  <c r="CF5" i="2"/>
  <c r="CE5" i="2" s="1"/>
  <c r="CF19" i="2"/>
  <c r="CE19" i="2" s="1"/>
  <c r="CF15" i="2"/>
  <c r="CE15" i="2" s="1"/>
  <c r="CF6" i="2"/>
  <c r="CE6" i="2" s="1"/>
  <c r="CF3" i="2"/>
  <c r="CE3" i="2" s="1"/>
  <c r="CF20" i="2"/>
  <c r="CE20" i="2" s="1"/>
  <c r="CF4" i="2"/>
  <c r="CE4" i="2" s="1"/>
  <c r="CF2" i="2"/>
  <c r="CE2" i="2" s="1"/>
  <c r="CF18" i="2"/>
  <c r="CE18" i="2" s="1"/>
  <c r="CF17" i="2"/>
  <c r="CE17" i="2" s="1"/>
  <c r="CF13" i="2"/>
  <c r="CE13" i="2" s="1"/>
  <c r="CF32" i="2"/>
  <c r="CE32" i="2" s="1"/>
  <c r="CF27" i="2"/>
  <c r="CE27" i="2" s="1"/>
  <c r="CF21" i="2"/>
  <c r="CE21" i="2" s="1"/>
  <c r="CF33" i="2"/>
  <c r="CE33" i="2" s="1"/>
  <c r="CF12" i="2"/>
  <c r="CE12" i="2" s="1"/>
  <c r="CF16" i="2"/>
  <c r="CE16" i="2" s="1"/>
  <c r="CF14" i="2"/>
  <c r="CE14" i="2" s="1"/>
  <c r="CF30" i="2"/>
  <c r="CE30" i="2" s="1"/>
  <c r="CF23" i="2"/>
  <c r="CE23" i="2" s="1"/>
  <c r="CF10" i="2"/>
  <c r="CE10" i="2" s="1"/>
  <c r="CF11" i="2"/>
  <c r="CE11" i="2" s="1"/>
  <c r="CF24" i="2"/>
  <c r="CE24" i="2" s="1"/>
  <c r="CF9" i="2"/>
  <c r="CE9" i="2" s="1"/>
  <c r="CF8" i="2"/>
  <c r="CE8" i="2" s="1"/>
  <c r="CF25" i="2"/>
  <c r="CE25" i="2" s="1"/>
  <c r="CF29" i="2"/>
  <c r="CE29" i="2" s="1"/>
  <c r="CF31" i="2"/>
  <c r="CE31" i="2" s="1"/>
  <c r="CF22" i="2"/>
  <c r="CE22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I35" i="1"/>
  <c r="BI34" i="1"/>
  <c r="BI33" i="1"/>
  <c r="BI31" i="1"/>
  <c r="BJ20" i="1"/>
  <c r="BJ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AH877" i="1" l="1"/>
  <c r="AH1175" i="1"/>
  <c r="AI1175" i="1"/>
  <c r="AI590" i="1"/>
  <c r="AI877" i="1"/>
  <c r="AH590" i="1"/>
  <c r="AH954" i="1"/>
  <c r="AI954" i="1"/>
  <c r="DP46" i="2"/>
  <c r="BT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X13" i="1"/>
  <c r="BX11" i="1"/>
  <c r="BX9" i="1"/>
  <c r="BX7" i="1"/>
  <c r="BX10" i="1"/>
  <c r="BX8" i="1"/>
  <c r="BX6" i="1"/>
  <c r="BX12" i="1"/>
  <c r="BX15" i="1"/>
  <c r="BX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G13" i="1"/>
  <c r="BG12" i="1"/>
  <c r="BG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7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9" i="2"/>
  <c r="O19" i="2"/>
  <c r="M19" i="2"/>
  <c r="N25" i="2"/>
  <c r="W12" i="2"/>
  <c r="U12" i="2"/>
  <c r="O25" i="2"/>
  <c r="M25" i="2"/>
  <c r="V12" i="2"/>
  <c r="W15" i="2"/>
  <c r="T15" i="2"/>
  <c r="U15" i="2"/>
  <c r="V15" i="2"/>
  <c r="S66" i="1"/>
  <c r="T18" i="2"/>
  <c r="AA62" i="5"/>
  <c r="BJ27" i="5"/>
  <c r="E66" i="5"/>
  <c r="BN5" i="5"/>
  <c r="S62" i="1"/>
  <c r="T24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6" i="2"/>
  <c r="W7" i="2"/>
  <c r="N16" i="2"/>
  <c r="T7" i="2"/>
  <c r="S53" i="1"/>
  <c r="L19" i="2"/>
  <c r="S52" i="1"/>
  <c r="T12" i="2"/>
  <c r="L25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7" i="2"/>
  <c r="T27" i="2"/>
  <c r="V27" i="2"/>
  <c r="W27" i="2"/>
  <c r="S46" i="1"/>
  <c r="M17" i="2"/>
  <c r="W10" i="2"/>
  <c r="L17" i="2"/>
  <c r="T10" i="2"/>
  <c r="U10" i="2"/>
  <c r="O17" i="2"/>
  <c r="V10" i="2"/>
  <c r="N17" i="2"/>
  <c r="AP35" i="5"/>
  <c r="AI42" i="5"/>
  <c r="F53" i="5"/>
  <c r="BA6" i="5"/>
  <c r="AL63" i="5"/>
  <c r="BK38" i="5"/>
  <c r="D29" i="2"/>
  <c r="Q8" i="5"/>
  <c r="H17" i="5"/>
  <c r="S45" i="1"/>
  <c r="N14" i="2"/>
  <c r="W20" i="2"/>
  <c r="O14" i="2"/>
  <c r="L14" i="2"/>
  <c r="V20" i="2"/>
  <c r="M14" i="2"/>
  <c r="S44" i="1"/>
  <c r="N28" i="2"/>
  <c r="M28" i="2"/>
  <c r="O28" i="2"/>
  <c r="L28" i="2"/>
  <c r="S43" i="1"/>
  <c r="W21" i="2"/>
  <c r="O31" i="2"/>
  <c r="M31" i="2"/>
  <c r="V21" i="2"/>
  <c r="U21" i="2"/>
  <c r="T21" i="2"/>
  <c r="L31" i="2"/>
  <c r="N31" i="2"/>
  <c r="M13" i="2"/>
  <c r="L13" i="2"/>
  <c r="O13" i="2"/>
  <c r="N13" i="2"/>
  <c r="S41" i="1"/>
  <c r="O2" i="2"/>
  <c r="N2" i="2"/>
  <c r="BM40" i="5"/>
  <c r="AN65" i="5"/>
  <c r="D7" i="2"/>
  <c r="U23" i="2"/>
  <c r="T23" i="2"/>
  <c r="W23" i="2"/>
  <c r="V23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19" i="2"/>
  <c r="W19" i="2"/>
  <c r="O33" i="2"/>
  <c r="V19" i="2"/>
  <c r="T19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0" i="2"/>
  <c r="AE16" i="5"/>
  <c r="P31" i="5"/>
  <c r="G6" i="5"/>
  <c r="F7" i="5"/>
  <c r="S26" i="1"/>
  <c r="L29" i="2"/>
  <c r="M29" i="2"/>
  <c r="O29" i="2"/>
  <c r="N29" i="2"/>
  <c r="S33" i="1"/>
  <c r="V26" i="2"/>
  <c r="U26" i="2"/>
  <c r="W26" i="2"/>
  <c r="T26" i="2"/>
  <c r="BC22" i="5"/>
  <c r="V55" i="5"/>
  <c r="S27" i="1"/>
  <c r="L20" i="2"/>
  <c r="O20" i="2"/>
  <c r="N20" i="2"/>
  <c r="M20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8" i="2"/>
  <c r="M15" i="2"/>
  <c r="N15" i="2"/>
  <c r="BH13" i="5"/>
  <c r="D33" i="2"/>
  <c r="M60" i="5"/>
  <c r="BI50" i="5"/>
  <c r="AX61" i="5"/>
  <c r="C48" i="5"/>
  <c r="AV3" i="5"/>
  <c r="D25" i="2"/>
  <c r="D9" i="2"/>
  <c r="U22" i="2"/>
  <c r="L5" i="2"/>
  <c r="M5" i="2"/>
  <c r="T22" i="2"/>
  <c r="V22" i="2"/>
  <c r="W22" i="2"/>
  <c r="N5" i="2"/>
  <c r="O5" i="2"/>
  <c r="S23" i="1"/>
  <c r="W25" i="2"/>
  <c r="U25" i="2"/>
  <c r="M9" i="2"/>
  <c r="N9" i="2"/>
  <c r="O9" i="2"/>
  <c r="T25" i="2"/>
  <c r="L9" i="2"/>
  <c r="V25" i="2"/>
  <c r="BE18" i="5"/>
  <c r="R57" i="5"/>
  <c r="D24" i="2"/>
  <c r="S21" i="1"/>
  <c r="M32" i="2"/>
  <c r="V33" i="2"/>
  <c r="W33" i="2"/>
  <c r="N32" i="2"/>
  <c r="U33" i="2"/>
  <c r="T33" i="2"/>
  <c r="L24" i="2"/>
  <c r="O24" i="2"/>
  <c r="W2" i="2"/>
  <c r="T2" i="2"/>
  <c r="U2" i="2"/>
  <c r="M24" i="2"/>
  <c r="V2" i="2"/>
  <c r="N24" i="2"/>
  <c r="BL19" i="5"/>
  <c r="S64" i="5"/>
  <c r="W28" i="2"/>
  <c r="O3" i="2"/>
  <c r="N3" i="2"/>
  <c r="M3" i="2"/>
  <c r="T28" i="2"/>
  <c r="U28" i="2"/>
  <c r="V28" i="2"/>
  <c r="L3" i="2"/>
  <c r="AJ11" i="5"/>
  <c r="K36" i="5"/>
  <c r="N27" i="2"/>
  <c r="M27" i="2"/>
  <c r="U31" i="2"/>
  <c r="L27" i="2"/>
  <c r="O27" i="2"/>
  <c r="V31" i="2"/>
  <c r="T31" i="2"/>
  <c r="W31" i="2"/>
  <c r="AG10" i="5"/>
  <c r="J33" i="5"/>
  <c r="W4" i="2"/>
  <c r="T4" i="2"/>
  <c r="U4" i="2"/>
  <c r="O18" i="2"/>
  <c r="M18" i="2"/>
  <c r="L18" i="2"/>
  <c r="N18" i="2"/>
  <c r="V4" i="2"/>
  <c r="AQ26" i="5"/>
  <c r="Z43" i="5"/>
  <c r="M10" i="2"/>
  <c r="W17" i="2"/>
  <c r="N10" i="2"/>
  <c r="O10" i="2"/>
  <c r="V17" i="2"/>
  <c r="L10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4" i="2"/>
  <c r="W14" i="2"/>
  <c r="L12" i="2"/>
  <c r="U14" i="2"/>
  <c r="T14" i="2"/>
  <c r="O12" i="2"/>
  <c r="V14" i="2"/>
  <c r="N12" i="2"/>
  <c r="M12" i="2"/>
  <c r="AM8" i="5"/>
  <c r="H39" i="5"/>
  <c r="N23" i="2"/>
  <c r="V29" i="2"/>
  <c r="O23" i="2"/>
  <c r="U29" i="2"/>
  <c r="T29" i="2"/>
  <c r="W29" i="2"/>
  <c r="M23" i="2"/>
  <c r="L23" i="2"/>
  <c r="O6" i="5"/>
  <c r="F15" i="5"/>
  <c r="D16" i="2"/>
  <c r="O26" i="2"/>
  <c r="W16" i="2"/>
  <c r="V16" i="2"/>
  <c r="U16" i="2"/>
  <c r="T16" i="2"/>
  <c r="L26" i="2"/>
  <c r="N26" i="2"/>
  <c r="M26" i="2"/>
  <c r="AK46" i="5"/>
  <c r="AT37" i="5"/>
  <c r="O8" i="2"/>
  <c r="N8" i="2"/>
  <c r="T11" i="2"/>
  <c r="V11" i="2"/>
  <c r="W11" i="2"/>
  <c r="M8" i="2"/>
  <c r="U11" i="2"/>
  <c r="L8" i="2"/>
  <c r="AC52" i="5"/>
  <c r="AZ29" i="5"/>
  <c r="S17" i="1"/>
  <c r="W30" i="2"/>
  <c r="U30" i="2"/>
  <c r="L6" i="2"/>
  <c r="N6" i="2"/>
  <c r="O6" i="2"/>
  <c r="M6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7" i="2"/>
  <c r="I27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10" i="2"/>
  <c r="I10" i="2" s="1"/>
  <c r="F17" i="2"/>
  <c r="G17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1" i="2"/>
  <c r="I21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3" i="2"/>
  <c r="G23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6" i="2"/>
  <c r="I16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5" i="2"/>
  <c r="I5" i="2" s="1"/>
  <c r="F15" i="2"/>
  <c r="G15" i="2" s="1"/>
  <c r="L15" i="2"/>
  <c r="O15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9" i="2"/>
  <c r="H19" i="2"/>
  <c r="I19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5" i="2"/>
  <c r="I2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0" i="2"/>
  <c r="D12" i="2"/>
  <c r="H20" i="2"/>
  <c r="I20" i="2" s="1"/>
  <c r="BD31" i="5"/>
  <c r="AE56" i="5"/>
  <c r="D20" i="2"/>
  <c r="U20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6" i="2"/>
  <c r="G16" i="2" s="1"/>
  <c r="E66" i="4"/>
  <c r="BN5" i="4"/>
  <c r="H7" i="2"/>
  <c r="I7" i="2" s="1"/>
  <c r="L16" i="2"/>
  <c r="M16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9" i="2"/>
  <c r="G19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5" i="2"/>
  <c r="I15" i="2" s="1"/>
  <c r="AB17" i="4"/>
  <c r="Q28" i="4"/>
  <c r="D2" i="2"/>
  <c r="F2" i="2"/>
  <c r="G2" i="2" s="1"/>
  <c r="L2" i="2"/>
  <c r="AB17" i="5"/>
  <c r="M2" i="2"/>
  <c r="Q28" i="5"/>
  <c r="D15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5" i="2"/>
  <c r="G2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3" i="2"/>
  <c r="AS40" i="5"/>
  <c r="AN45" i="5"/>
  <c r="M11" i="2"/>
  <c r="F11" i="2"/>
  <c r="G11" i="2" s="1"/>
  <c r="H23" i="2"/>
  <c r="I23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7" i="2"/>
  <c r="G27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E12" i="1"/>
  <c r="BE13" i="1"/>
  <c r="Z15" i="5"/>
  <c r="D17" i="2"/>
  <c r="O26" i="5"/>
  <c r="D26" i="2"/>
  <c r="CS10" i="2"/>
  <c r="F26" i="2"/>
  <c r="G26" i="2" s="1"/>
  <c r="CS9" i="2"/>
  <c r="Z15" i="4"/>
  <c r="U17" i="2"/>
  <c r="O26" i="4"/>
  <c r="H17" i="2"/>
  <c r="I17" i="2" s="1"/>
  <c r="T17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6" i="2"/>
  <c r="G6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6" i="2"/>
  <c r="O991" i="1"/>
  <c r="AD991" i="1" s="1"/>
  <c r="BU19" i="2"/>
  <c r="BU3" i="2"/>
  <c r="BU20" i="2"/>
  <c r="BU33" i="2"/>
  <c r="BU30" i="2"/>
  <c r="BU21" i="2"/>
  <c r="BU28" i="2"/>
  <c r="BU26" i="2"/>
  <c r="BU27" i="2"/>
  <c r="BU18" i="2"/>
  <c r="BU29" i="2"/>
  <c r="BU5" i="2"/>
  <c r="BU31" i="2"/>
  <c r="BU32" i="2"/>
  <c r="BU4" i="2"/>
  <c r="BU16" i="2"/>
  <c r="BU24" i="2"/>
  <c r="BU22" i="2"/>
  <c r="BU8" i="2"/>
  <c r="BU17" i="2"/>
  <c r="BU23" i="2"/>
  <c r="BU11" i="2"/>
  <c r="BU13" i="2"/>
  <c r="BU25" i="2"/>
  <c r="BU7" i="2"/>
  <c r="BU9" i="2"/>
  <c r="BU10" i="2"/>
  <c r="BU14" i="2"/>
  <c r="O989" i="1"/>
  <c r="AD989" i="1" s="1"/>
  <c r="BU15" i="2"/>
  <c r="O984" i="1"/>
  <c r="AD984" i="1" s="1"/>
  <c r="BT8" i="2"/>
  <c r="O953" i="1"/>
  <c r="AD953" i="1" s="1"/>
  <c r="BT17" i="2"/>
  <c r="BT15" i="2"/>
  <c r="O977" i="1"/>
  <c r="AD977" i="1" s="1"/>
  <c r="BT5" i="2"/>
  <c r="BT19" i="2"/>
  <c r="BT12" i="2"/>
  <c r="BT2" i="2"/>
  <c r="BT31" i="2"/>
  <c r="BT33" i="2"/>
  <c r="BT6" i="2"/>
  <c r="BT21" i="2"/>
  <c r="BT4" i="2"/>
  <c r="BT7" i="2"/>
  <c r="BT11" i="2"/>
  <c r="BT32" i="2"/>
  <c r="BT28" i="2"/>
  <c r="BT23" i="2"/>
  <c r="BT29" i="2"/>
  <c r="BT25" i="2"/>
  <c r="BT30" i="2"/>
  <c r="BT20" i="2"/>
  <c r="BT16" i="2"/>
  <c r="BT27" i="2"/>
  <c r="BT13" i="2"/>
  <c r="BT9" i="2"/>
  <c r="BT18" i="2"/>
  <c r="BT26" i="2"/>
  <c r="BT3" i="2"/>
  <c r="BT24" i="2"/>
  <c r="BT10" i="2"/>
  <c r="BT14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0" i="2"/>
  <c r="BE30" i="2"/>
  <c r="BF8" i="2"/>
  <c r="BE33" i="2"/>
  <c r="BA22" i="2"/>
  <c r="BG16" i="2"/>
  <c r="BA7" i="2"/>
  <c r="BF24" i="2"/>
  <c r="BG25" i="2"/>
  <c r="BE7" i="2"/>
  <c r="BF20" i="2"/>
  <c r="BG13" i="2"/>
  <c r="BA8" i="2"/>
  <c r="BA5" i="2"/>
  <c r="BG33" i="2"/>
  <c r="BE20" i="2"/>
  <c r="BF3" i="2"/>
  <c r="BA32" i="2"/>
  <c r="BA27" i="2"/>
  <c r="BF4" i="2"/>
  <c r="BA25" i="2"/>
  <c r="BF10" i="2"/>
  <c r="BG31" i="2"/>
  <c r="BA15" i="2"/>
  <c r="BF12" i="2"/>
  <c r="BG19" i="2"/>
  <c r="BE14" i="2"/>
  <c r="BA26" i="2"/>
  <c r="BG24" i="2"/>
  <c r="BG11" i="2"/>
  <c r="BG18" i="2"/>
  <c r="BE6" i="2"/>
  <c r="BA17" i="2"/>
  <c r="BF19" i="2"/>
  <c r="BF32" i="2"/>
  <c r="BG29" i="2"/>
  <c r="BA19" i="2"/>
  <c r="BE32" i="2"/>
  <c r="BA11" i="2"/>
  <c r="BA21" i="2"/>
  <c r="BF18" i="2"/>
  <c r="BE17" i="2"/>
  <c r="BG2" i="2"/>
  <c r="BE2" i="2"/>
  <c r="BA16" i="2"/>
  <c r="BF5" i="2"/>
  <c r="BG28" i="2"/>
  <c r="BE5" i="2"/>
  <c r="BA33" i="2"/>
  <c r="BF11" i="2"/>
  <c r="BA10" i="2"/>
  <c r="BA23" i="2"/>
  <c r="BE29" i="2"/>
  <c r="BE8" i="2"/>
  <c r="BA31" i="2"/>
  <c r="BF17" i="2"/>
  <c r="BA14" i="2"/>
  <c r="BE3" i="2"/>
  <c r="BE27" i="2"/>
  <c r="BA4" i="2"/>
  <c r="BE13" i="2"/>
  <c r="BF7" i="2"/>
  <c r="BA30" i="2"/>
  <c r="BF22" i="2"/>
  <c r="BE11" i="2"/>
  <c r="BE23" i="2"/>
  <c r="BG12" i="2"/>
  <c r="BF6" i="2"/>
  <c r="BE16" i="2"/>
  <c r="BF33" i="2"/>
  <c r="BE24" i="2"/>
  <c r="BA20" i="2"/>
  <c r="BF13" i="2"/>
  <c r="BE22" i="2"/>
  <c r="BE25" i="2"/>
  <c r="BG23" i="2"/>
  <c r="BE18" i="2"/>
  <c r="BE15" i="2"/>
  <c r="BG14" i="2"/>
  <c r="BA3" i="2"/>
  <c r="BA2" i="2"/>
  <c r="BE26" i="2"/>
  <c r="BG4" i="2"/>
  <c r="BF29" i="2"/>
  <c r="BG7" i="2"/>
  <c r="BE10" i="2"/>
  <c r="BG21" i="2"/>
  <c r="BG15" i="2"/>
  <c r="BG26" i="2"/>
  <c r="BG27" i="2"/>
  <c r="BE4" i="2"/>
  <c r="BA29" i="2"/>
  <c r="BA28" i="2"/>
  <c r="BE28" i="2"/>
  <c r="BA24" i="2"/>
  <c r="BE21" i="2"/>
  <c r="BE31" i="2"/>
  <c r="BE12" i="2"/>
  <c r="BG6" i="2"/>
  <c r="BA13" i="2"/>
  <c r="BG10" i="2"/>
  <c r="BA6" i="2"/>
  <c r="BE19" i="2"/>
  <c r="BF14" i="2"/>
  <c r="BG3" i="2"/>
  <c r="BF16" i="2"/>
  <c r="BF28" i="2"/>
  <c r="BG5" i="2"/>
  <c r="BF30" i="2"/>
  <c r="BG22" i="2"/>
  <c r="BF23" i="2"/>
  <c r="BG8" i="2"/>
  <c r="BF15" i="2"/>
  <c r="BG17" i="2"/>
  <c r="BF26" i="2"/>
  <c r="BG32" i="2"/>
  <c r="BF21" i="2"/>
  <c r="BF2" i="2"/>
  <c r="BA18" i="2"/>
  <c r="BF25" i="2"/>
  <c r="BF31" i="2"/>
  <c r="BA12" i="2"/>
  <c r="BF27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8" i="7"/>
  <c r="F39" i="7"/>
  <c r="E8" i="7"/>
  <c r="E39" i="7"/>
  <c r="F8" i="7"/>
  <c r="D39" i="7"/>
  <c r="G8" i="7"/>
  <c r="H8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E20" i="1"/>
  <c r="AD63" i="1"/>
  <c r="BE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9" i="2"/>
  <c r="Q19" i="2"/>
  <c r="S19" i="2"/>
  <c r="S25" i="2"/>
  <c r="R25" i="2"/>
  <c r="Q25" i="2"/>
  <c r="Y12" i="2"/>
  <c r="AA12" i="2"/>
  <c r="Z12" i="2"/>
  <c r="AD1133" i="1"/>
  <c r="AC1119" i="1"/>
  <c r="AD933" i="1"/>
  <c r="AC1135" i="1"/>
  <c r="AC1066" i="1"/>
  <c r="Z5" i="2"/>
  <c r="AA5" i="2"/>
  <c r="Y5" i="2"/>
  <c r="AC1094" i="1"/>
  <c r="AD902" i="1"/>
  <c r="AD747" i="1"/>
  <c r="R11" i="2"/>
  <c r="Q11" i="2"/>
  <c r="S11" i="2"/>
  <c r="AC1148" i="1"/>
  <c r="AC1162" i="1"/>
  <c r="Z15" i="2"/>
  <c r="AA15" i="2"/>
  <c r="Y15" i="2"/>
  <c r="S16" i="2"/>
  <c r="AA7" i="2"/>
  <c r="Y7" i="2"/>
  <c r="Z7" i="2"/>
  <c r="Q16" i="2"/>
  <c r="R16" i="2"/>
  <c r="Z27" i="2"/>
  <c r="AA27" i="2"/>
  <c r="Y27" i="2"/>
  <c r="R17" i="2"/>
  <c r="AA10" i="2"/>
  <c r="Z10" i="2"/>
  <c r="S17" i="2"/>
  <c r="Y10" i="2"/>
  <c r="Q17" i="2"/>
  <c r="AA20" i="2"/>
  <c r="Y20" i="2"/>
  <c r="Q14" i="2"/>
  <c r="Z20" i="2"/>
  <c r="S14" i="2"/>
  <c r="R14" i="2"/>
  <c r="R28" i="2"/>
  <c r="S28" i="2"/>
  <c r="Q28" i="2"/>
  <c r="R31" i="2"/>
  <c r="Y21" i="2"/>
  <c r="Q31" i="2"/>
  <c r="AA21" i="2"/>
  <c r="Z21" i="2"/>
  <c r="S31" i="2"/>
  <c r="Q13" i="2"/>
  <c r="R13" i="2"/>
  <c r="S13" i="2"/>
  <c r="Q2" i="2"/>
  <c r="R2" i="2"/>
  <c r="S2" i="2"/>
  <c r="Y23" i="2"/>
  <c r="Z23" i="2"/>
  <c r="AA23" i="2"/>
  <c r="Z19" i="2"/>
  <c r="R33" i="2"/>
  <c r="AA19" i="2"/>
  <c r="S33" i="2"/>
  <c r="Q33" i="2"/>
  <c r="Y19" i="2"/>
  <c r="AA6" i="2"/>
  <c r="Z6" i="2"/>
  <c r="Y6" i="2"/>
  <c r="S7" i="2"/>
  <c r="Y8" i="2"/>
  <c r="Z8" i="2"/>
  <c r="Q7" i="2"/>
  <c r="AA8" i="2"/>
  <c r="R7" i="2"/>
  <c r="Q29" i="2"/>
  <c r="S29" i="2"/>
  <c r="R29" i="2"/>
  <c r="Z26" i="2"/>
  <c r="Y26" i="2"/>
  <c r="AA26" i="2"/>
  <c r="R20" i="2"/>
  <c r="Q20" i="2"/>
  <c r="S20" i="2"/>
  <c r="R30" i="2"/>
  <c r="AA32" i="2"/>
  <c r="Q30" i="2"/>
  <c r="S30" i="2"/>
  <c r="Y32" i="2"/>
  <c r="Z32" i="2"/>
  <c r="Q15" i="2"/>
  <c r="R15" i="2"/>
  <c r="S15" i="2"/>
  <c r="J69" i="7"/>
  <c r="Y8" i="6"/>
  <c r="J25" i="7"/>
  <c r="AA22" i="2"/>
  <c r="S5" i="2"/>
  <c r="Q5" i="2"/>
  <c r="Z22" i="2"/>
  <c r="Y22" i="2"/>
  <c r="R5" i="2"/>
  <c r="J22" i="7"/>
  <c r="B8" i="6"/>
  <c r="J67" i="7"/>
  <c r="S9" i="2"/>
  <c r="Z25" i="2"/>
  <c r="R9" i="2"/>
  <c r="AA25" i="2"/>
  <c r="Q9" i="2"/>
  <c r="Y25" i="2"/>
  <c r="AD8" i="6"/>
  <c r="J33" i="7"/>
  <c r="J63" i="7"/>
  <c r="Q32" i="2"/>
  <c r="Y33" i="2"/>
  <c r="Z33" i="2"/>
  <c r="S32" i="2"/>
  <c r="AA33" i="2"/>
  <c r="R32" i="2"/>
  <c r="Z2" i="2"/>
  <c r="AA2" i="2"/>
  <c r="Q24" i="2"/>
  <c r="Y2" i="2"/>
  <c r="S24" i="2"/>
  <c r="R24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7" i="2"/>
  <c r="Q27" i="2"/>
  <c r="Z31" i="2"/>
  <c r="Y31" i="2"/>
  <c r="AA31" i="2"/>
  <c r="S27" i="2"/>
  <c r="Z4" i="2"/>
  <c r="R18" i="2"/>
  <c r="AA4" i="2"/>
  <c r="Y4" i="2"/>
  <c r="S18" i="2"/>
  <c r="Q18" i="2"/>
  <c r="S10" i="2"/>
  <c r="Q10" i="2"/>
  <c r="AA17" i="2"/>
  <c r="R10" i="2"/>
  <c r="Y17" i="2"/>
  <c r="Z17" i="2"/>
  <c r="Z13" i="2"/>
  <c r="Q21" i="2"/>
  <c r="AA13" i="2"/>
  <c r="Y13" i="2"/>
  <c r="R21" i="2"/>
  <c r="S21" i="2"/>
  <c r="Y14" i="2"/>
  <c r="R12" i="2"/>
  <c r="Q12" i="2"/>
  <c r="AA14" i="2"/>
  <c r="Z14" i="2"/>
  <c r="S12" i="2"/>
  <c r="AA29" i="2"/>
  <c r="Q23" i="2"/>
  <c r="Y29" i="2"/>
  <c r="S23" i="2"/>
  <c r="R23" i="2"/>
  <c r="Z29" i="2"/>
  <c r="AD10" i="1"/>
  <c r="BE22" i="1"/>
  <c r="Q26" i="2"/>
  <c r="R26" i="2"/>
  <c r="AH26" i="2" s="1"/>
  <c r="AA16" i="2"/>
  <c r="Z16" i="2"/>
  <c r="S26" i="2"/>
  <c r="Y16" i="2"/>
  <c r="AA11" i="2"/>
  <c r="Q8" i="2"/>
  <c r="Z11" i="2"/>
  <c r="Y11" i="2"/>
  <c r="S8" i="2"/>
  <c r="R8" i="2"/>
  <c r="AD17" i="1"/>
  <c r="BN6" i="1"/>
  <c r="BN7" i="1"/>
  <c r="Y30" i="2"/>
  <c r="Z30" i="2"/>
  <c r="S6" i="2"/>
  <c r="R6" i="2"/>
  <c r="AA30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2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2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CY22" i="7"/>
  <c r="GQ22" i="7"/>
  <c r="CZ22" i="7"/>
  <c r="GR22" i="7"/>
  <c r="DA22" i="7"/>
  <c r="GS22" i="7"/>
  <c r="DB22" i="7"/>
  <c r="GT22" i="7"/>
  <c r="DC22" i="7"/>
  <c r="GU22" i="7"/>
  <c r="DD22" i="7"/>
  <c r="M22" i="7"/>
  <c r="DE22" i="7"/>
  <c r="N22" i="7"/>
  <c r="DF22" i="7"/>
  <c r="O22" i="7"/>
  <c r="DG22" i="7"/>
  <c r="P22" i="7"/>
  <c r="DH22" i="7"/>
  <c r="Q22" i="7"/>
  <c r="DI22" i="7"/>
  <c r="R22" i="7"/>
  <c r="DJ22" i="7"/>
  <c r="S22" i="7"/>
  <c r="DK22" i="7"/>
  <c r="T22" i="7"/>
  <c r="DL22" i="7"/>
  <c r="U22" i="7"/>
  <c r="DM22" i="7"/>
  <c r="V22" i="7"/>
  <c r="DN22" i="7"/>
  <c r="W22" i="7"/>
  <c r="DO22" i="7"/>
  <c r="X22" i="7"/>
  <c r="DP22" i="7"/>
  <c r="Y22" i="7"/>
  <c r="DQ22" i="7"/>
  <c r="Z22" i="7"/>
  <c r="DR22" i="7"/>
  <c r="AA22" i="7"/>
  <c r="DS22" i="7"/>
  <c r="AB22" i="7"/>
  <c r="DT22" i="7"/>
  <c r="AC22" i="7"/>
  <c r="DU22" i="7"/>
  <c r="AD22" i="7"/>
  <c r="DV22" i="7"/>
  <c r="AE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7" i="7"/>
  <c r="FC7" i="7"/>
  <c r="O7" i="7"/>
  <c r="DG7" i="7"/>
  <c r="AS7" i="7"/>
  <c r="EW7" i="7"/>
  <c r="BF7" i="7"/>
  <c r="EX7" i="7"/>
  <c r="BA7" i="7"/>
  <c r="ES7" i="7"/>
  <c r="AX7" i="7"/>
  <c r="EP7" i="7"/>
  <c r="DP7" i="7"/>
  <c r="R7" i="7"/>
  <c r="DE7" i="7"/>
  <c r="ET7" i="7"/>
  <c r="AY7" i="7"/>
  <c r="FI7" i="7"/>
  <c r="BL7" i="7"/>
  <c r="FD7" i="7"/>
  <c r="BG7" i="7"/>
  <c r="EY7" i="7"/>
  <c r="BD7" i="7"/>
  <c r="EV7" i="7"/>
  <c r="EH7" i="7"/>
  <c r="AJ7" i="7"/>
  <c r="DW7" i="7"/>
  <c r="AQ7" i="7"/>
  <c r="BE7" i="7"/>
  <c r="FO7" i="7"/>
  <c r="BR7" i="7"/>
  <c r="FJ7" i="7"/>
  <c r="BM7" i="7"/>
  <c r="FE7" i="7"/>
  <c r="BJ7" i="7"/>
  <c r="FB7" i="7"/>
  <c r="EZ7" i="7"/>
  <c r="BB7" i="7"/>
  <c r="EO7" i="7"/>
  <c r="CS7" i="7"/>
  <c r="BQ7" i="7"/>
  <c r="FU7" i="7"/>
  <c r="BX7" i="7"/>
  <c r="FP7" i="7"/>
  <c r="BS7" i="7"/>
  <c r="FK7" i="7"/>
  <c r="BP7" i="7"/>
  <c r="FH7" i="7"/>
  <c r="FR7" i="7"/>
  <c r="BT7" i="7"/>
  <c r="FG7" i="7"/>
  <c r="EU7" i="7"/>
  <c r="BW7" i="7"/>
  <c r="GA7" i="7"/>
  <c r="CD7" i="7"/>
  <c r="FV7" i="7"/>
  <c r="BY7" i="7"/>
  <c r="FQ7" i="7"/>
  <c r="BV7" i="7"/>
  <c r="FN7" i="7"/>
  <c r="GJ7" i="7"/>
  <c r="CL7" i="7"/>
  <c r="FY7" i="7"/>
  <c r="BH7" i="7"/>
  <c r="CC7" i="7"/>
  <c r="GG7" i="7"/>
  <c r="CJ7" i="7"/>
  <c r="GB7" i="7"/>
  <c r="CE7" i="7"/>
  <c r="FW7" i="7"/>
  <c r="CB7" i="7"/>
  <c r="FT7" i="7"/>
  <c r="M7" i="7"/>
  <c r="DD7" i="7"/>
  <c r="GQ7" i="7"/>
  <c r="DJ7" i="7"/>
  <c r="CI7" i="7"/>
  <c r="GM7" i="7"/>
  <c r="CP7" i="7"/>
  <c r="GH7" i="7"/>
  <c r="CK7" i="7"/>
  <c r="GC7" i="7"/>
  <c r="CH7" i="7"/>
  <c r="FZ7" i="7"/>
  <c r="AE7" i="7"/>
  <c r="DV7" i="7"/>
  <c r="X7" i="7"/>
  <c r="FL7" i="7"/>
  <c r="CO7" i="7"/>
  <c r="GS7" i="7"/>
  <c r="CV7" i="7"/>
  <c r="GN7" i="7"/>
  <c r="CQ7" i="7"/>
  <c r="GI7" i="7"/>
  <c r="CN7" i="7"/>
  <c r="GF7" i="7"/>
  <c r="AW7" i="7"/>
  <c r="EN7" i="7"/>
  <c r="BZ7" i="7"/>
  <c r="BI7" i="7"/>
  <c r="CU7" i="7"/>
  <c r="J7" i="7"/>
  <c r="DB7" i="7"/>
  <c r="GT7" i="7"/>
  <c r="CW7" i="7"/>
  <c r="GO7" i="7"/>
  <c r="CT7" i="7"/>
  <c r="GL7" i="7"/>
  <c r="BO7" i="7"/>
  <c r="FF7" i="7"/>
  <c r="EB7" i="7"/>
  <c r="DK7" i="7"/>
  <c r="DA7" i="7"/>
  <c r="P7" i="7"/>
  <c r="DH7" i="7"/>
  <c r="K7" i="7"/>
  <c r="DC7" i="7"/>
  <c r="GU7" i="7"/>
  <c r="CZ7" i="7"/>
  <c r="GR7" i="7"/>
  <c r="CG7" i="7"/>
  <c r="FX7" i="7"/>
  <c r="GD7" i="7"/>
  <c r="FM7" i="7"/>
  <c r="DM7" i="7"/>
  <c r="V7" i="7"/>
  <c r="DN7" i="7"/>
  <c r="Q7" i="7"/>
  <c r="DI7" i="7"/>
  <c r="N7" i="7"/>
  <c r="DF7" i="7"/>
  <c r="L7" i="7"/>
  <c r="CY7" i="7"/>
  <c r="GP7" i="7"/>
  <c r="Y7" i="7"/>
  <c r="I7" i="7"/>
  <c r="DS7" i="7"/>
  <c r="AB7" i="7"/>
  <c r="DT7" i="7"/>
  <c r="W7" i="7"/>
  <c r="DO7" i="7"/>
  <c r="T7" i="7"/>
  <c r="DL7" i="7"/>
  <c r="AD7" i="7"/>
  <c r="DQ7" i="7"/>
  <c r="S7" i="7"/>
  <c r="CA7" i="7"/>
  <c r="U7" i="7"/>
  <c r="DY7" i="7"/>
  <c r="AH7" i="7"/>
  <c r="DZ7" i="7"/>
  <c r="AC7" i="7"/>
  <c r="DU7" i="7"/>
  <c r="Z7" i="7"/>
  <c r="DR7" i="7"/>
  <c r="AV7" i="7"/>
  <c r="EI7" i="7"/>
  <c r="AK7" i="7"/>
  <c r="EC7" i="7"/>
  <c r="AA7" i="7"/>
  <c r="EE7" i="7"/>
  <c r="AN7" i="7"/>
  <c r="EF7" i="7"/>
  <c r="AI7" i="7"/>
  <c r="EA7" i="7"/>
  <c r="AF7" i="7"/>
  <c r="DX7" i="7"/>
  <c r="BN7" i="7"/>
  <c r="FA7" i="7"/>
  <c r="BC7" i="7"/>
  <c r="GE7" i="7"/>
  <c r="AG7" i="7"/>
  <c r="EK7" i="7"/>
  <c r="AT7" i="7"/>
  <c r="EL7" i="7"/>
  <c r="AO7" i="7"/>
  <c r="EG7" i="7"/>
  <c r="AL7" i="7"/>
  <c r="ED7" i="7"/>
  <c r="CF7" i="7"/>
  <c r="FS7" i="7"/>
  <c r="BU7" i="7"/>
  <c r="AP7" i="7"/>
  <c r="AM7" i="7"/>
  <c r="EQ7" i="7"/>
  <c r="AZ7" i="7"/>
  <c r="ER7" i="7"/>
  <c r="AU7" i="7"/>
  <c r="EM7" i="7"/>
  <c r="AR7" i="7"/>
  <c r="EJ7" i="7"/>
  <c r="CX7" i="7"/>
  <c r="GK7" i="7"/>
  <c r="CM7" i="7"/>
  <c r="CR7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4" i="7"/>
  <c r="K24" i="7"/>
  <c r="N65" i="7"/>
  <c r="M65" i="7"/>
  <c r="L65" i="7"/>
  <c r="J65" i="7"/>
  <c r="K65" i="7"/>
  <c r="J24" i="7"/>
  <c r="L24" i="7"/>
  <c r="N24" i="7"/>
  <c r="M24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5" i="7"/>
  <c r="EN5" i="7"/>
  <c r="DC5" i="7"/>
  <c r="V5" i="7"/>
  <c r="EG5" i="7"/>
  <c r="AZ5" i="7"/>
  <c r="FJ5" i="7"/>
  <c r="CD5" i="7"/>
  <c r="GI5" i="7"/>
  <c r="DH5" i="7"/>
  <c r="AA5" i="7"/>
  <c r="EL5" i="7"/>
  <c r="BB5" i="7"/>
  <c r="ET5" i="7"/>
  <c r="DK5" i="7"/>
  <c r="AC5" i="7"/>
  <c r="EO5" i="7"/>
  <c r="BG5" i="7"/>
  <c r="FP5" i="7"/>
  <c r="CK5" i="7"/>
  <c r="GO5" i="7"/>
  <c r="DO5" i="7"/>
  <c r="AH5" i="7"/>
  <c r="ES5" i="7"/>
  <c r="BH5" i="7"/>
  <c r="EZ5" i="7"/>
  <c r="DR5" i="7"/>
  <c r="AK5" i="7"/>
  <c r="EV5" i="7"/>
  <c r="BO5" i="7"/>
  <c r="FV5" i="7"/>
  <c r="CS5" i="7"/>
  <c r="GU5" i="7"/>
  <c r="DW5" i="7"/>
  <c r="AO5" i="7"/>
  <c r="FA5" i="7"/>
  <c r="BN5" i="7"/>
  <c r="N5" i="7"/>
  <c r="DY5" i="7"/>
  <c r="AR5" i="7"/>
  <c r="FC5" i="7"/>
  <c r="BV5" i="7"/>
  <c r="GB5" i="7"/>
  <c r="CZ5" i="7"/>
  <c r="S5" i="7"/>
  <c r="ED5" i="7"/>
  <c r="AW5" i="7"/>
  <c r="FG5" i="7"/>
  <c r="BT5" i="7"/>
  <c r="U5" i="7"/>
  <c r="EF5" i="7"/>
  <c r="AY5" i="7"/>
  <c r="FI5" i="7"/>
  <c r="CC5" i="7"/>
  <c r="GH5" i="7"/>
  <c r="DG5" i="7"/>
  <c r="Z5" i="7"/>
  <c r="EK5" i="7"/>
  <c r="BD5" i="7"/>
  <c r="FM5" i="7"/>
  <c r="BZ5" i="7"/>
  <c r="AB5" i="7"/>
  <c r="EM5" i="7"/>
  <c r="BF5" i="7"/>
  <c r="FO5" i="7"/>
  <c r="CJ5" i="7"/>
  <c r="GN5" i="7"/>
  <c r="DN5" i="7"/>
  <c r="AG5" i="7"/>
  <c r="ER5" i="7"/>
  <c r="BK5" i="7"/>
  <c r="FS5" i="7"/>
  <c r="CF5" i="7"/>
  <c r="AI5" i="7"/>
  <c r="EU5" i="7"/>
  <c r="BM5" i="7"/>
  <c r="FU5" i="7"/>
  <c r="CQ5" i="7"/>
  <c r="GT5" i="7"/>
  <c r="DU5" i="7"/>
  <c r="AN5" i="7"/>
  <c r="EY5" i="7"/>
  <c r="BR5" i="7"/>
  <c r="FY5" i="7"/>
  <c r="CL5" i="7"/>
  <c r="AQ5" i="7"/>
  <c r="FB5" i="7"/>
  <c r="BU5" i="7"/>
  <c r="GA5" i="7"/>
  <c r="CY5" i="7"/>
  <c r="Q5" i="7"/>
  <c r="EC5" i="7"/>
  <c r="AU5" i="7"/>
  <c r="FF5" i="7"/>
  <c r="BY5" i="7"/>
  <c r="GE5" i="7"/>
  <c r="CR5" i="7"/>
  <c r="AX5" i="7"/>
  <c r="FH5" i="7"/>
  <c r="CB5" i="7"/>
  <c r="GG5" i="7"/>
  <c r="DF5" i="7"/>
  <c r="Y5" i="7"/>
  <c r="EJ5" i="7"/>
  <c r="BC5" i="7"/>
  <c r="FL5" i="7"/>
  <c r="CG5" i="7"/>
  <c r="GK5" i="7"/>
  <c r="CX5" i="7"/>
  <c r="BE5" i="7"/>
  <c r="FN5" i="7"/>
  <c r="CI5" i="7"/>
  <c r="GM5" i="7"/>
  <c r="DM5" i="7"/>
  <c r="AF5" i="7"/>
  <c r="EQ5" i="7"/>
  <c r="BJ5" i="7"/>
  <c r="FR5" i="7"/>
  <c r="CN5" i="7"/>
  <c r="GQ5" i="7"/>
  <c r="DD5" i="7"/>
  <c r="BL5" i="7"/>
  <c r="FT5" i="7"/>
  <c r="CP5" i="7"/>
  <c r="GS5" i="7"/>
  <c r="DT5" i="7"/>
  <c r="AM5" i="7"/>
  <c r="EX5" i="7"/>
  <c r="BQ5" i="7"/>
  <c r="FX5" i="7"/>
  <c r="CU5" i="7"/>
  <c r="R5" i="7"/>
  <c r="DJ5" i="7"/>
  <c r="BS5" i="7"/>
  <c r="FZ5" i="7"/>
  <c r="CW5" i="7"/>
  <c r="P5" i="7"/>
  <c r="EA5" i="7"/>
  <c r="AT5" i="7"/>
  <c r="FE5" i="7"/>
  <c r="BX5" i="7"/>
  <c r="GD5" i="7"/>
  <c r="DB5" i="7"/>
  <c r="X5" i="7"/>
  <c r="DP5" i="7"/>
  <c r="CA5" i="7"/>
  <c r="GF5" i="7"/>
  <c r="DE5" i="7"/>
  <c r="W5" i="7"/>
  <c r="EI5" i="7"/>
  <c r="BA5" i="7"/>
  <c r="FK5" i="7"/>
  <c r="CE5" i="7"/>
  <c r="GJ5" i="7"/>
  <c r="DI5" i="7"/>
  <c r="AD5" i="7"/>
  <c r="DV5" i="7"/>
  <c r="CH5" i="7"/>
  <c r="GL5" i="7"/>
  <c r="DL5" i="7"/>
  <c r="AE5" i="7"/>
  <c r="EP5" i="7"/>
  <c r="BI5" i="7"/>
  <c r="FQ5" i="7"/>
  <c r="CM5" i="7"/>
  <c r="GP5" i="7"/>
  <c r="DQ5" i="7"/>
  <c r="AJ5" i="7"/>
  <c r="EB5" i="7"/>
  <c r="CO5" i="7"/>
  <c r="GR5" i="7"/>
  <c r="DS5" i="7"/>
  <c r="AL5" i="7"/>
  <c r="EW5" i="7"/>
  <c r="BP5" i="7"/>
  <c r="FW5" i="7"/>
  <c r="CT5" i="7"/>
  <c r="DX5" i="7"/>
  <c r="AP5" i="7"/>
  <c r="EH5" i="7"/>
  <c r="CV5" i="7"/>
  <c r="O5" i="7"/>
  <c r="DZ5" i="7"/>
  <c r="AS5" i="7"/>
  <c r="FD5" i="7"/>
  <c r="BW5" i="7"/>
  <c r="GC5" i="7"/>
  <c r="DA5" i="7"/>
  <c r="T5" i="7"/>
  <c r="EE5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3" i="7"/>
  <c r="J23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3" i="7"/>
  <c r="GI23" i="7"/>
  <c r="CL23" i="7"/>
  <c r="GD23" i="7"/>
  <c r="CM23" i="7"/>
  <c r="GE23" i="7"/>
  <c r="CN23" i="7"/>
  <c r="GF23" i="7"/>
  <c r="CO23" i="7"/>
  <c r="GG23" i="7"/>
  <c r="EX23" i="7"/>
  <c r="CV23" i="7"/>
  <c r="CW23" i="7"/>
  <c r="GO23" i="7"/>
  <c r="CR23" i="7"/>
  <c r="GJ23" i="7"/>
  <c r="CS23" i="7"/>
  <c r="GK23" i="7"/>
  <c r="CT23" i="7"/>
  <c r="GL23" i="7"/>
  <c r="CU23" i="7"/>
  <c r="GM23" i="7"/>
  <c r="GH23" i="7"/>
  <c r="EF23" i="7"/>
  <c r="K23" i="7"/>
  <c r="DC23" i="7"/>
  <c r="GU23" i="7"/>
  <c r="CX23" i="7"/>
  <c r="GP23" i="7"/>
  <c r="CY23" i="7"/>
  <c r="GQ23" i="7"/>
  <c r="CZ23" i="7"/>
  <c r="GR23" i="7"/>
  <c r="DA23" i="7"/>
  <c r="GS23" i="7"/>
  <c r="P23" i="7"/>
  <c r="FP23" i="7"/>
  <c r="Q23" i="7"/>
  <c r="DI23" i="7"/>
  <c r="L23" i="7"/>
  <c r="DD23" i="7"/>
  <c r="M23" i="7"/>
  <c r="DE23" i="7"/>
  <c r="N23" i="7"/>
  <c r="DF23" i="7"/>
  <c r="O23" i="7"/>
  <c r="DG23" i="7"/>
  <c r="AH23" i="7"/>
  <c r="AZ23" i="7"/>
  <c r="W23" i="7"/>
  <c r="DO23" i="7"/>
  <c r="R23" i="7"/>
  <c r="DJ23" i="7"/>
  <c r="S23" i="7"/>
  <c r="DK23" i="7"/>
  <c r="T23" i="7"/>
  <c r="DL23" i="7"/>
  <c r="U23" i="7"/>
  <c r="DM23" i="7"/>
  <c r="BR23" i="7"/>
  <c r="CJ23" i="7"/>
  <c r="AC23" i="7"/>
  <c r="DU23" i="7"/>
  <c r="X23" i="7"/>
  <c r="DP23" i="7"/>
  <c r="Y23" i="7"/>
  <c r="DQ23" i="7"/>
  <c r="Z23" i="7"/>
  <c r="DR23" i="7"/>
  <c r="AA23" i="7"/>
  <c r="DS23" i="7"/>
  <c r="DB23" i="7"/>
  <c r="DT23" i="7"/>
  <c r="AI23" i="7"/>
  <c r="EA23" i="7"/>
  <c r="AD23" i="7"/>
  <c r="DV23" i="7"/>
  <c r="AE23" i="7"/>
  <c r="DW23" i="7"/>
  <c r="AF23" i="7"/>
  <c r="DX23" i="7"/>
  <c r="AG23" i="7"/>
  <c r="DY23" i="7"/>
  <c r="EL23" i="7"/>
  <c r="FD23" i="7"/>
  <c r="AO23" i="7"/>
  <c r="EG23" i="7"/>
  <c r="AJ23" i="7"/>
  <c r="EB23" i="7"/>
  <c r="AK23" i="7"/>
  <c r="EC23" i="7"/>
  <c r="AL23" i="7"/>
  <c r="ED23" i="7"/>
  <c r="AM23" i="7"/>
  <c r="EE23" i="7"/>
  <c r="FV23" i="7"/>
  <c r="GN23" i="7"/>
  <c r="AU23" i="7"/>
  <c r="EM23" i="7"/>
  <c r="AP23" i="7"/>
  <c r="EH23" i="7"/>
  <c r="AQ23" i="7"/>
  <c r="EI23" i="7"/>
  <c r="AR23" i="7"/>
  <c r="EJ23" i="7"/>
  <c r="AS23" i="7"/>
  <c r="EK23" i="7"/>
  <c r="AN23" i="7"/>
  <c r="V23" i="7"/>
  <c r="BA23" i="7"/>
  <c r="ES23" i="7"/>
  <c r="AV23" i="7"/>
  <c r="EN23" i="7"/>
  <c r="AW23" i="7"/>
  <c r="EO23" i="7"/>
  <c r="AX23" i="7"/>
  <c r="EP23" i="7"/>
  <c r="AY23" i="7"/>
  <c r="EQ23" i="7"/>
  <c r="BX23" i="7"/>
  <c r="BF23" i="7"/>
  <c r="BG23" i="7"/>
  <c r="EY23" i="7"/>
  <c r="BB23" i="7"/>
  <c r="ET23" i="7"/>
  <c r="BC23" i="7"/>
  <c r="EU23" i="7"/>
  <c r="BD23" i="7"/>
  <c r="EV23" i="7"/>
  <c r="BE23" i="7"/>
  <c r="EW23" i="7"/>
  <c r="DH23" i="7"/>
  <c r="CP23" i="7"/>
  <c r="BM23" i="7"/>
  <c r="FE23" i="7"/>
  <c r="BH23" i="7"/>
  <c r="EZ23" i="7"/>
  <c r="BI23" i="7"/>
  <c r="FA23" i="7"/>
  <c r="BJ23" i="7"/>
  <c r="FB23" i="7"/>
  <c r="BK23" i="7"/>
  <c r="FC23" i="7"/>
  <c r="ER23" i="7"/>
  <c r="DZ23" i="7"/>
  <c r="BS23" i="7"/>
  <c r="FK23" i="7"/>
  <c r="BN23" i="7"/>
  <c r="FF23" i="7"/>
  <c r="BO23" i="7"/>
  <c r="FG23" i="7"/>
  <c r="BP23" i="7"/>
  <c r="FH23" i="7"/>
  <c r="BQ23" i="7"/>
  <c r="FI23" i="7"/>
  <c r="GB23" i="7"/>
  <c r="FJ23" i="7"/>
  <c r="BY23" i="7"/>
  <c r="FQ23" i="7"/>
  <c r="BT23" i="7"/>
  <c r="FL23" i="7"/>
  <c r="BU23" i="7"/>
  <c r="FM23" i="7"/>
  <c r="BV23" i="7"/>
  <c r="FN23" i="7"/>
  <c r="BW23" i="7"/>
  <c r="FO23" i="7"/>
  <c r="AT23" i="7"/>
  <c r="GT23" i="7"/>
  <c r="CE23" i="7"/>
  <c r="FW23" i="7"/>
  <c r="BZ23" i="7"/>
  <c r="FR23" i="7"/>
  <c r="CA23" i="7"/>
  <c r="FS23" i="7"/>
  <c r="CB23" i="7"/>
  <c r="FT23" i="7"/>
  <c r="CC23" i="7"/>
  <c r="FU23" i="7"/>
  <c r="CD23" i="7"/>
  <c r="AB23" i="7"/>
  <c r="CK23" i="7"/>
  <c r="GC23" i="7"/>
  <c r="CF23" i="7"/>
  <c r="FX23" i="7"/>
  <c r="CG23" i="7"/>
  <c r="FY23" i="7"/>
  <c r="CH23" i="7"/>
  <c r="FZ23" i="7"/>
  <c r="CI23" i="7"/>
  <c r="GA23" i="7"/>
  <c r="DN23" i="7"/>
  <c r="BL23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8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8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8" i="7"/>
  <c r="FI8" i="7"/>
  <c r="BR8" i="7"/>
  <c r="FJ8" i="7"/>
  <c r="BM8" i="7"/>
  <c r="FE8" i="7"/>
  <c r="BH8" i="7"/>
  <c r="EZ8" i="7"/>
  <c r="BI8" i="7"/>
  <c r="FA8" i="7"/>
  <c r="BJ8" i="7"/>
  <c r="FB8" i="7"/>
  <c r="BW8" i="7"/>
  <c r="FO8" i="7"/>
  <c r="BX8" i="7"/>
  <c r="FP8" i="7"/>
  <c r="BS8" i="7"/>
  <c r="FK8" i="7"/>
  <c r="BN8" i="7"/>
  <c r="FF8" i="7"/>
  <c r="BO8" i="7"/>
  <c r="FG8" i="7"/>
  <c r="BP8" i="7"/>
  <c r="FH8" i="7"/>
  <c r="CC8" i="7"/>
  <c r="FU8" i="7"/>
  <c r="CD8" i="7"/>
  <c r="FV8" i="7"/>
  <c r="BY8" i="7"/>
  <c r="FQ8" i="7"/>
  <c r="BT8" i="7"/>
  <c r="FL8" i="7"/>
  <c r="BU8" i="7"/>
  <c r="FM8" i="7"/>
  <c r="BV8" i="7"/>
  <c r="FN8" i="7"/>
  <c r="CI8" i="7"/>
  <c r="GA8" i="7"/>
  <c r="CJ8" i="7"/>
  <c r="GB8" i="7"/>
  <c r="CE8" i="7"/>
  <c r="FW8" i="7"/>
  <c r="BZ8" i="7"/>
  <c r="FR8" i="7"/>
  <c r="CA8" i="7"/>
  <c r="CO8" i="7"/>
  <c r="GG8" i="7"/>
  <c r="CP8" i="7"/>
  <c r="GH8" i="7"/>
  <c r="CK8" i="7"/>
  <c r="GC8" i="7"/>
  <c r="CF8" i="7"/>
  <c r="FX8" i="7"/>
  <c r="CG8" i="7"/>
  <c r="FY8" i="7"/>
  <c r="CH8" i="7"/>
  <c r="FZ8" i="7"/>
  <c r="CU8" i="7"/>
  <c r="GM8" i="7"/>
  <c r="CV8" i="7"/>
  <c r="GN8" i="7"/>
  <c r="CQ8" i="7"/>
  <c r="GI8" i="7"/>
  <c r="CL8" i="7"/>
  <c r="GD8" i="7"/>
  <c r="CM8" i="7"/>
  <c r="GE8" i="7"/>
  <c r="CN8" i="7"/>
  <c r="GF8" i="7"/>
  <c r="DA8" i="7"/>
  <c r="GS8" i="7"/>
  <c r="DB8" i="7"/>
  <c r="GT8" i="7"/>
  <c r="CW8" i="7"/>
  <c r="GO8" i="7"/>
  <c r="CR8" i="7"/>
  <c r="GJ8" i="7"/>
  <c r="CS8" i="7"/>
  <c r="GK8" i="7"/>
  <c r="CT8" i="7"/>
  <c r="GL8" i="7"/>
  <c r="O8" i="7"/>
  <c r="DG8" i="7"/>
  <c r="P8" i="7"/>
  <c r="DH8" i="7"/>
  <c r="K8" i="7"/>
  <c r="DC8" i="7"/>
  <c r="GU8" i="7"/>
  <c r="CX8" i="7"/>
  <c r="GP8" i="7"/>
  <c r="CY8" i="7"/>
  <c r="GQ8" i="7"/>
  <c r="CZ8" i="7"/>
  <c r="GR8" i="7"/>
  <c r="U8" i="7"/>
  <c r="DM8" i="7"/>
  <c r="V8" i="7"/>
  <c r="DN8" i="7"/>
  <c r="Q8" i="7"/>
  <c r="DI8" i="7"/>
  <c r="L8" i="7"/>
  <c r="AA8" i="7"/>
  <c r="DS8" i="7"/>
  <c r="AB8" i="7"/>
  <c r="DT8" i="7"/>
  <c r="W8" i="7"/>
  <c r="DO8" i="7"/>
  <c r="R8" i="7"/>
  <c r="DJ8" i="7"/>
  <c r="S8" i="7"/>
  <c r="DK8" i="7"/>
  <c r="T8" i="7"/>
  <c r="DL8" i="7"/>
  <c r="AG8" i="7"/>
  <c r="DY8" i="7"/>
  <c r="AH8" i="7"/>
  <c r="DZ8" i="7"/>
  <c r="AC8" i="7"/>
  <c r="DU8" i="7"/>
  <c r="X8" i="7"/>
  <c r="DP8" i="7"/>
  <c r="Y8" i="7"/>
  <c r="DQ8" i="7"/>
  <c r="Z8" i="7"/>
  <c r="DR8" i="7"/>
  <c r="AM8" i="7"/>
  <c r="EE8" i="7"/>
  <c r="AN8" i="7"/>
  <c r="EF8" i="7"/>
  <c r="AI8" i="7"/>
  <c r="EA8" i="7"/>
  <c r="AD8" i="7"/>
  <c r="DV8" i="7"/>
  <c r="AE8" i="7"/>
  <c r="DW8" i="7"/>
  <c r="AF8" i="7"/>
  <c r="DX8" i="7"/>
  <c r="AS8" i="7"/>
  <c r="EK8" i="7"/>
  <c r="AT8" i="7"/>
  <c r="EL8" i="7"/>
  <c r="AO8" i="7"/>
  <c r="EG8" i="7"/>
  <c r="AJ8" i="7"/>
  <c r="EB8" i="7"/>
  <c r="AK8" i="7"/>
  <c r="EC8" i="7"/>
  <c r="AL8" i="7"/>
  <c r="ED8" i="7"/>
  <c r="AY8" i="7"/>
  <c r="EQ8" i="7"/>
  <c r="AZ8" i="7"/>
  <c r="ER8" i="7"/>
  <c r="AU8" i="7"/>
  <c r="EM8" i="7"/>
  <c r="AP8" i="7"/>
  <c r="EH8" i="7"/>
  <c r="AQ8" i="7"/>
  <c r="EI8" i="7"/>
  <c r="AR8" i="7"/>
  <c r="EJ8" i="7"/>
  <c r="BE8" i="7"/>
  <c r="EW8" i="7"/>
  <c r="BF8" i="7"/>
  <c r="EX8" i="7"/>
  <c r="BA8" i="7"/>
  <c r="ES8" i="7"/>
  <c r="AV8" i="7"/>
  <c r="EN8" i="7"/>
  <c r="AW8" i="7"/>
  <c r="EO8" i="7"/>
  <c r="AX8" i="7"/>
  <c r="EP8" i="7"/>
  <c r="BK8" i="7"/>
  <c r="FC8" i="7"/>
  <c r="BL8" i="7"/>
  <c r="FD8" i="7"/>
  <c r="BG8" i="7"/>
  <c r="EY8" i="7"/>
  <c r="BB8" i="7"/>
  <c r="ET8" i="7"/>
  <c r="BC8" i="7"/>
  <c r="EU8" i="7"/>
  <c r="BD8" i="7"/>
  <c r="EV8" i="7"/>
  <c r="DD8" i="7"/>
  <c r="M8" i="7"/>
  <c r="DE8" i="7"/>
  <c r="FS8" i="7"/>
  <c r="N8" i="7"/>
  <c r="CB8" i="7"/>
  <c r="DF8" i="7"/>
  <c r="FT8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4" i="7"/>
  <c r="J4" i="7"/>
  <c r="K4" i="7"/>
  <c r="I62" i="7"/>
  <c r="I21" i="7"/>
  <c r="J62" i="7"/>
  <c r="J21" i="7"/>
  <c r="K43" i="7"/>
  <c r="J43" i="7"/>
  <c r="J5" i="7"/>
  <c r="K5" i="7"/>
  <c r="M43" i="7"/>
  <c r="L43" i="7"/>
  <c r="L5" i="7"/>
  <c r="M5" i="7"/>
  <c r="BN9" i="1"/>
  <c r="BN8" i="1"/>
  <c r="BE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3" i="7"/>
  <c r="J38" i="7"/>
  <c r="J6" i="7"/>
  <c r="M38" i="7"/>
  <c r="L38" i="7"/>
  <c r="K38" i="7"/>
  <c r="M6" i="7"/>
  <c r="L6" i="7"/>
  <c r="K6" i="7"/>
  <c r="L55" i="7"/>
  <c r="K55" i="7"/>
  <c r="M55" i="7"/>
  <c r="M29" i="7"/>
  <c r="K29" i="7"/>
  <c r="L29" i="7"/>
  <c r="K51" i="7"/>
  <c r="J51" i="7"/>
  <c r="J11" i="7"/>
  <c r="K11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1" i="7"/>
  <c r="DR11" i="7"/>
  <c r="AA11" i="7"/>
  <c r="DS11" i="7"/>
  <c r="AB11" i="7"/>
  <c r="AR11" i="7"/>
  <c r="AX11" i="7"/>
  <c r="EP11" i="7"/>
  <c r="BP11" i="7"/>
  <c r="BV11" i="7"/>
  <c r="FN11" i="7"/>
  <c r="BW11" i="7"/>
  <c r="FO11" i="7"/>
  <c r="BB11" i="7"/>
  <c r="N11" i="7"/>
  <c r="EV11" i="7"/>
  <c r="BQ11" i="7"/>
  <c r="GA11" i="7"/>
  <c r="BZ11" i="7"/>
  <c r="FR11" i="7"/>
  <c r="EU11" i="7"/>
  <c r="EX11" i="7"/>
  <c r="EY11" i="7"/>
  <c r="FA11" i="7"/>
  <c r="FQ11" i="7"/>
  <c r="DH11" i="7"/>
  <c r="T11" i="7"/>
  <c r="FB11" i="7"/>
  <c r="CC11" i="7"/>
  <c r="GG11" i="7"/>
  <c r="CF11" i="7"/>
  <c r="FX11" i="7"/>
  <c r="FG11" i="7"/>
  <c r="FJ11" i="7"/>
  <c r="FK11" i="7"/>
  <c r="FM11" i="7"/>
  <c r="GC11" i="7"/>
  <c r="GB11" i="7"/>
  <c r="AF11" i="7"/>
  <c r="FH11" i="7"/>
  <c r="CI11" i="7"/>
  <c r="GM11" i="7"/>
  <c r="CL11" i="7"/>
  <c r="GD11" i="7"/>
  <c r="FS11" i="7"/>
  <c r="FV11" i="7"/>
  <c r="FW11" i="7"/>
  <c r="FY11" i="7"/>
  <c r="GO11" i="7"/>
  <c r="AL11" i="7"/>
  <c r="FT11" i="7"/>
  <c r="CO11" i="7"/>
  <c r="GS11" i="7"/>
  <c r="CR11" i="7"/>
  <c r="GJ11" i="7"/>
  <c r="GE11" i="7"/>
  <c r="GH11" i="7"/>
  <c r="GI11" i="7"/>
  <c r="GK11" i="7"/>
  <c r="AZ11" i="7"/>
  <c r="BD11" i="7"/>
  <c r="FZ11" i="7"/>
  <c r="CU11" i="7"/>
  <c r="P11" i="7"/>
  <c r="CX11" i="7"/>
  <c r="GP11" i="7"/>
  <c r="GQ11" i="7"/>
  <c r="GT11" i="7"/>
  <c r="GU11" i="7"/>
  <c r="AC11" i="7"/>
  <c r="DT11" i="7"/>
  <c r="BJ11" i="7"/>
  <c r="GF11" i="7"/>
  <c r="DA11" i="7"/>
  <c r="V11" i="7"/>
  <c r="DD11" i="7"/>
  <c r="M11" i="7"/>
  <c r="Q11" i="7"/>
  <c r="S11" i="7"/>
  <c r="W11" i="7"/>
  <c r="AO11" i="7"/>
  <c r="GN11" i="7"/>
  <c r="CB11" i="7"/>
  <c r="GL11" i="7"/>
  <c r="DG11" i="7"/>
  <c r="L11" i="7"/>
  <c r="DJ11" i="7"/>
  <c r="AE11" i="7"/>
  <c r="AH11" i="7"/>
  <c r="AI11" i="7"/>
  <c r="AK11" i="7"/>
  <c r="BA11" i="7"/>
  <c r="BL11" i="7"/>
  <c r="CH11" i="7"/>
  <c r="GR11" i="7"/>
  <c r="DM11" i="7"/>
  <c r="R11" i="7"/>
  <c r="DP11" i="7"/>
  <c r="AQ11" i="7"/>
  <c r="AT11" i="7"/>
  <c r="AU11" i="7"/>
  <c r="AW11" i="7"/>
  <c r="BM11" i="7"/>
  <c r="EF11" i="7"/>
  <c r="CN11" i="7"/>
  <c r="O11" i="7"/>
  <c r="DY11" i="7"/>
  <c r="X11" i="7"/>
  <c r="DV11" i="7"/>
  <c r="BC11" i="7"/>
  <c r="BF11" i="7"/>
  <c r="BG11" i="7"/>
  <c r="BI11" i="7"/>
  <c r="BY11" i="7"/>
  <c r="BX11" i="7"/>
  <c r="CT11" i="7"/>
  <c r="U11" i="7"/>
  <c r="EE11" i="7"/>
  <c r="AD11" i="7"/>
  <c r="EB11" i="7"/>
  <c r="BO11" i="7"/>
  <c r="BR11" i="7"/>
  <c r="BS11" i="7"/>
  <c r="BU11" i="7"/>
  <c r="CK11" i="7"/>
  <c r="ER11" i="7"/>
  <c r="CZ11" i="7"/>
  <c r="AG11" i="7"/>
  <c r="EK11" i="7"/>
  <c r="AJ11" i="7"/>
  <c r="EH11" i="7"/>
  <c r="CA11" i="7"/>
  <c r="CD11" i="7"/>
  <c r="CE11" i="7"/>
  <c r="CG11" i="7"/>
  <c r="CW11" i="7"/>
  <c r="CJ11" i="7"/>
  <c r="DF11" i="7"/>
  <c r="AM11" i="7"/>
  <c r="EQ11" i="7"/>
  <c r="AP11" i="7"/>
  <c r="EN11" i="7"/>
  <c r="CM11" i="7"/>
  <c r="CP11" i="7"/>
  <c r="CQ11" i="7"/>
  <c r="CS11" i="7"/>
  <c r="DI11" i="7"/>
  <c r="FD11" i="7"/>
  <c r="DL11" i="7"/>
  <c r="AS11" i="7"/>
  <c r="EW11" i="7"/>
  <c r="AV11" i="7"/>
  <c r="ET11" i="7"/>
  <c r="CY11" i="7"/>
  <c r="DB11" i="7"/>
  <c r="DC11" i="7"/>
  <c r="DE11" i="7"/>
  <c r="DU11" i="7"/>
  <c r="Y11" i="7"/>
  <c r="DX11" i="7"/>
  <c r="AY11" i="7"/>
  <c r="FC11" i="7"/>
  <c r="BH11" i="7"/>
  <c r="EZ11" i="7"/>
  <c r="DK11" i="7"/>
  <c r="DN11" i="7"/>
  <c r="DO11" i="7"/>
  <c r="DQ11" i="7"/>
  <c r="EG11" i="7"/>
  <c r="CV11" i="7"/>
  <c r="ED11" i="7"/>
  <c r="BE11" i="7"/>
  <c r="FI11" i="7"/>
  <c r="BN11" i="7"/>
  <c r="FF11" i="7"/>
  <c r="DW11" i="7"/>
  <c r="DZ11" i="7"/>
  <c r="EA11" i="7"/>
  <c r="EC11" i="7"/>
  <c r="ES11" i="7"/>
  <c r="FP11" i="7"/>
  <c r="EJ11" i="7"/>
  <c r="BK11" i="7"/>
  <c r="FU11" i="7"/>
  <c r="BT11" i="7"/>
  <c r="FL11" i="7"/>
  <c r="EI11" i="7"/>
  <c r="EL11" i="7"/>
  <c r="EM11" i="7"/>
  <c r="EO11" i="7"/>
  <c r="FE11" i="7"/>
  <c r="AN11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9" i="7"/>
  <c r="DK9" i="7"/>
  <c r="GN9" i="7"/>
  <c r="CX9" i="7"/>
  <c r="GA9" i="7"/>
  <c r="CK9" i="7"/>
  <c r="EX9" i="7"/>
  <c r="AB9" i="7"/>
  <c r="DE9" i="7"/>
  <c r="GH9" i="7"/>
  <c r="CR9" i="7"/>
  <c r="FU9" i="7"/>
  <c r="U9" i="7"/>
  <c r="EA9" i="7"/>
  <c r="AK9" i="7"/>
  <c r="DN9" i="7"/>
  <c r="GQ9" i="7"/>
  <c r="DA9" i="7"/>
  <c r="FN9" i="7"/>
  <c r="AR9" i="7"/>
  <c r="DU9" i="7"/>
  <c r="AE9" i="7"/>
  <c r="DH9" i="7"/>
  <c r="GK9" i="7"/>
  <c r="J9" i="7"/>
  <c r="EQ9" i="7"/>
  <c r="BA9" i="7"/>
  <c r="ED9" i="7"/>
  <c r="AN9" i="7"/>
  <c r="DQ9" i="7"/>
  <c r="GD9" i="7"/>
  <c r="BH9" i="7"/>
  <c r="EK9" i="7"/>
  <c r="AU9" i="7"/>
  <c r="DX9" i="7"/>
  <c r="AH9" i="7"/>
  <c r="P9" i="7"/>
  <c r="FG9" i="7"/>
  <c r="BQ9" i="7"/>
  <c r="ET9" i="7"/>
  <c r="BD9" i="7"/>
  <c r="EG9" i="7"/>
  <c r="GT9" i="7"/>
  <c r="BX9" i="7"/>
  <c r="FA9" i="7"/>
  <c r="BK9" i="7"/>
  <c r="EN9" i="7"/>
  <c r="AX9" i="7"/>
  <c r="V9" i="7"/>
  <c r="FW9" i="7"/>
  <c r="CG9" i="7"/>
  <c r="FJ9" i="7"/>
  <c r="BT9" i="7"/>
  <c r="EW9" i="7"/>
  <c r="AA9" i="7"/>
  <c r="CN9" i="7"/>
  <c r="FQ9" i="7"/>
  <c r="CA9" i="7"/>
  <c r="FD9" i="7"/>
  <c r="BN9" i="7"/>
  <c r="GM9" i="7"/>
  <c r="CW9" i="7"/>
  <c r="FZ9" i="7"/>
  <c r="CJ9" i="7"/>
  <c r="FM9" i="7"/>
  <c r="AQ9" i="7"/>
  <c r="DD9" i="7"/>
  <c r="GG9" i="7"/>
  <c r="CQ9" i="7"/>
  <c r="FT9" i="7"/>
  <c r="CD9" i="7"/>
  <c r="K9" i="7"/>
  <c r="AJ9" i="7"/>
  <c r="DM9" i="7"/>
  <c r="GP9" i="7"/>
  <c r="CZ9" i="7"/>
  <c r="GC9" i="7"/>
  <c r="BG9" i="7"/>
  <c r="DT9" i="7"/>
  <c r="AD9" i="7"/>
  <c r="DG9" i="7"/>
  <c r="GJ9" i="7"/>
  <c r="CT9" i="7"/>
  <c r="Q9" i="7"/>
  <c r="AZ9" i="7"/>
  <c r="EC9" i="7"/>
  <c r="AM9" i="7"/>
  <c r="DP9" i="7"/>
  <c r="GS9" i="7"/>
  <c r="BW9" i="7"/>
  <c r="EJ9" i="7"/>
  <c r="AT9" i="7"/>
  <c r="DW9" i="7"/>
  <c r="AG9" i="7"/>
  <c r="DJ9" i="7"/>
  <c r="W9" i="7"/>
  <c r="BP9" i="7"/>
  <c r="ES9" i="7"/>
  <c r="BC9" i="7"/>
  <c r="EF9" i="7"/>
  <c r="Z9" i="7"/>
  <c r="CM9" i="7"/>
  <c r="EZ9" i="7"/>
  <c r="BJ9" i="7"/>
  <c r="EM9" i="7"/>
  <c r="AW9" i="7"/>
  <c r="DZ9" i="7"/>
  <c r="M9" i="7"/>
  <c r="CF9" i="7"/>
  <c r="FI9" i="7"/>
  <c r="BS9" i="7"/>
  <c r="EV9" i="7"/>
  <c r="AP9" i="7"/>
  <c r="DC9" i="7"/>
  <c r="FP9" i="7"/>
  <c r="BZ9" i="7"/>
  <c r="FC9" i="7"/>
  <c r="BM9" i="7"/>
  <c r="EP9" i="7"/>
  <c r="S9" i="7"/>
  <c r="L9" i="7"/>
  <c r="CV9" i="7"/>
  <c r="FY9" i="7"/>
  <c r="CI9" i="7"/>
  <c r="FL9" i="7"/>
  <c r="BF9" i="7"/>
  <c r="DS9" i="7"/>
  <c r="GF9" i="7"/>
  <c r="CP9" i="7"/>
  <c r="FS9" i="7"/>
  <c r="CC9" i="7"/>
  <c r="FF9" i="7"/>
  <c r="Y9" i="7"/>
  <c r="R9" i="7"/>
  <c r="AI9" i="7"/>
  <c r="DL9" i="7"/>
  <c r="GO9" i="7"/>
  <c r="CY9" i="7"/>
  <c r="GB9" i="7"/>
  <c r="BV9" i="7"/>
  <c r="EI9" i="7"/>
  <c r="AC9" i="7"/>
  <c r="DF9" i="7"/>
  <c r="GI9" i="7"/>
  <c r="CS9" i="7"/>
  <c r="FV9" i="7"/>
  <c r="X9" i="7"/>
  <c r="AY9" i="7"/>
  <c r="EB9" i="7"/>
  <c r="AL9" i="7"/>
  <c r="DO9" i="7"/>
  <c r="GR9" i="7"/>
  <c r="CL9" i="7"/>
  <c r="EY9" i="7"/>
  <c r="AS9" i="7"/>
  <c r="DV9" i="7"/>
  <c r="AF9" i="7"/>
  <c r="DI9" i="7"/>
  <c r="GL9" i="7"/>
  <c r="N9" i="7"/>
  <c r="BO9" i="7"/>
  <c r="ER9" i="7"/>
  <c r="BB9" i="7"/>
  <c r="EE9" i="7"/>
  <c r="AO9" i="7"/>
  <c r="DB9" i="7"/>
  <c r="FO9" i="7"/>
  <c r="BI9" i="7"/>
  <c r="EL9" i="7"/>
  <c r="AV9" i="7"/>
  <c r="DY9" i="7"/>
  <c r="T9" i="7"/>
  <c r="CE9" i="7"/>
  <c r="FH9" i="7"/>
  <c r="BR9" i="7"/>
  <c r="EU9" i="7"/>
  <c r="BE9" i="7"/>
  <c r="DR9" i="7"/>
  <c r="GE9" i="7"/>
  <c r="BY9" i="7"/>
  <c r="FB9" i="7"/>
  <c r="BL9" i="7"/>
  <c r="EO9" i="7"/>
  <c r="CU9" i="7"/>
  <c r="FX9" i="7"/>
  <c r="CH9" i="7"/>
  <c r="FK9" i="7"/>
  <c r="BU9" i="7"/>
  <c r="EH9" i="7"/>
  <c r="GU9" i="7"/>
  <c r="CO9" i="7"/>
  <c r="FR9" i="7"/>
  <c r="CB9" i="7"/>
  <c r="FE9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1" i="7"/>
  <c r="K21" i="7"/>
  <c r="M21" i="7"/>
  <c r="O21" i="7"/>
  <c r="Q21" i="7"/>
  <c r="W21" i="7"/>
  <c r="R21" i="7"/>
  <c r="Y21" i="7"/>
  <c r="S21" i="7"/>
  <c r="T21" i="7"/>
  <c r="U21" i="7"/>
  <c r="N21" i="7"/>
  <c r="V21" i="7"/>
  <c r="P21" i="7"/>
  <c r="X21" i="7"/>
  <c r="AA21" i="7"/>
  <c r="CN21" i="7"/>
  <c r="FQ21" i="7"/>
  <c r="CA21" i="7"/>
  <c r="FD21" i="7"/>
  <c r="BN21" i="7"/>
  <c r="EQ21" i="7"/>
  <c r="BA21" i="7"/>
  <c r="ED21" i="7"/>
  <c r="AN21" i="7"/>
  <c r="DQ21" i="7"/>
  <c r="GD21" i="7"/>
  <c r="AG21" i="7"/>
  <c r="AQ21" i="7"/>
  <c r="DD21" i="7"/>
  <c r="GG21" i="7"/>
  <c r="CQ21" i="7"/>
  <c r="FT21" i="7"/>
  <c r="CD21" i="7"/>
  <c r="FG21" i="7"/>
  <c r="BQ21" i="7"/>
  <c r="ET21" i="7"/>
  <c r="BD21" i="7"/>
  <c r="EG21" i="7"/>
  <c r="GT21" i="7"/>
  <c r="GM21" i="7"/>
  <c r="CJ21" i="7"/>
  <c r="BG21" i="7"/>
  <c r="DT21" i="7"/>
  <c r="AD21" i="7"/>
  <c r="DG21" i="7"/>
  <c r="GJ21" i="7"/>
  <c r="CT21" i="7"/>
  <c r="FW21" i="7"/>
  <c r="CG21" i="7"/>
  <c r="FJ21" i="7"/>
  <c r="BT21" i="7"/>
  <c r="EW21" i="7"/>
  <c r="AT21" i="7"/>
  <c r="BW21" i="7"/>
  <c r="CW21" i="7"/>
  <c r="CM21" i="7"/>
  <c r="EZ21" i="7"/>
  <c r="BJ21" i="7"/>
  <c r="EM21" i="7"/>
  <c r="AW21" i="7"/>
  <c r="DZ21" i="7"/>
  <c r="AJ21" i="7"/>
  <c r="DM21" i="7"/>
  <c r="GP21" i="7"/>
  <c r="CZ21" i="7"/>
  <c r="GC21" i="7"/>
  <c r="DC21" i="7"/>
  <c r="FP21" i="7"/>
  <c r="BZ21" i="7"/>
  <c r="FC21" i="7"/>
  <c r="BM21" i="7"/>
  <c r="EP21" i="7"/>
  <c r="AZ21" i="7"/>
  <c r="EC21" i="7"/>
  <c r="AM21" i="7"/>
  <c r="DP21" i="7"/>
  <c r="GS21" i="7"/>
  <c r="DS21" i="7"/>
  <c r="GF21" i="7"/>
  <c r="CP21" i="7"/>
  <c r="FS21" i="7"/>
  <c r="CC21" i="7"/>
  <c r="FF21" i="7"/>
  <c r="BP21" i="7"/>
  <c r="ES21" i="7"/>
  <c r="BC21" i="7"/>
  <c r="EF21" i="7"/>
  <c r="Z21" i="7"/>
  <c r="EI21" i="7"/>
  <c r="AC21" i="7"/>
  <c r="DF21" i="7"/>
  <c r="GI21" i="7"/>
  <c r="CS21" i="7"/>
  <c r="FV21" i="7"/>
  <c r="CF21" i="7"/>
  <c r="FI21" i="7"/>
  <c r="BS21" i="7"/>
  <c r="EV21" i="7"/>
  <c r="AP21" i="7"/>
  <c r="EY21" i="7"/>
  <c r="AS21" i="7"/>
  <c r="DV21" i="7"/>
  <c r="AF21" i="7"/>
  <c r="DI21" i="7"/>
  <c r="GL21" i="7"/>
  <c r="CV21" i="7"/>
  <c r="FY21" i="7"/>
  <c r="CI21" i="7"/>
  <c r="FL21" i="7"/>
  <c r="BF21" i="7"/>
  <c r="FO21" i="7"/>
  <c r="BI21" i="7"/>
  <c r="EL21" i="7"/>
  <c r="AV21" i="7"/>
  <c r="DY21" i="7"/>
  <c r="AI21" i="7"/>
  <c r="DL21" i="7"/>
  <c r="GO21" i="7"/>
  <c r="CY21" i="7"/>
  <c r="GB21" i="7"/>
  <c r="BV21" i="7"/>
  <c r="GE21" i="7"/>
  <c r="BY21" i="7"/>
  <c r="FB21" i="7"/>
  <c r="BL21" i="7"/>
  <c r="EO21" i="7"/>
  <c r="AY21" i="7"/>
  <c r="EB21" i="7"/>
  <c r="AL21" i="7"/>
  <c r="DO21" i="7"/>
  <c r="GR21" i="7"/>
  <c r="CL21" i="7"/>
  <c r="GU21" i="7"/>
  <c r="CO21" i="7"/>
  <c r="FR21" i="7"/>
  <c r="CB21" i="7"/>
  <c r="FE21" i="7"/>
  <c r="BO21" i="7"/>
  <c r="ER21" i="7"/>
  <c r="BB21" i="7"/>
  <c r="EE21" i="7"/>
  <c r="AO21" i="7"/>
  <c r="DB21" i="7"/>
  <c r="AB21" i="7"/>
  <c r="DE21" i="7"/>
  <c r="GH21" i="7"/>
  <c r="CR21" i="7"/>
  <c r="FU21" i="7"/>
  <c r="CE21" i="7"/>
  <c r="FH21" i="7"/>
  <c r="BR21" i="7"/>
  <c r="EU21" i="7"/>
  <c r="BE21" i="7"/>
  <c r="DR21" i="7"/>
  <c r="AR21" i="7"/>
  <c r="DU21" i="7"/>
  <c r="AE21" i="7"/>
  <c r="DH21" i="7"/>
  <c r="GK21" i="7"/>
  <c r="CU21" i="7"/>
  <c r="FX21" i="7"/>
  <c r="CH21" i="7"/>
  <c r="FK21" i="7"/>
  <c r="BU21" i="7"/>
  <c r="EH21" i="7"/>
  <c r="DW21" i="7"/>
  <c r="FM21" i="7"/>
  <c r="BH21" i="7"/>
  <c r="EK21" i="7"/>
  <c r="AU21" i="7"/>
  <c r="DX21" i="7"/>
  <c r="AH21" i="7"/>
  <c r="DK21" i="7"/>
  <c r="GN21" i="7"/>
  <c r="CX21" i="7"/>
  <c r="GA21" i="7"/>
  <c r="CK21" i="7"/>
  <c r="EX21" i="7"/>
  <c r="DJ21" i="7"/>
  <c r="BX21" i="7"/>
  <c r="FA21" i="7"/>
  <c r="BK21" i="7"/>
  <c r="EN21" i="7"/>
  <c r="AX21" i="7"/>
  <c r="EA21" i="7"/>
  <c r="AK21" i="7"/>
  <c r="DN21" i="7"/>
  <c r="GQ21" i="7"/>
  <c r="DA21" i="7"/>
  <c r="FN21" i="7"/>
  <c r="EJ21" i="7"/>
  <c r="FZ21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4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4" i="7"/>
  <c r="EA4" i="7"/>
  <c r="AP4" i="7"/>
  <c r="EH4" i="7"/>
  <c r="BC4" i="7"/>
  <c r="EU4" i="7"/>
  <c r="BJ4" i="7"/>
  <c r="FB4" i="7"/>
  <c r="BQ4" i="7"/>
  <c r="FI4" i="7"/>
  <c r="BX4" i="7"/>
  <c r="FP4" i="7"/>
  <c r="AO4" i="7"/>
  <c r="EG4" i="7"/>
  <c r="AV4" i="7"/>
  <c r="EN4" i="7"/>
  <c r="BI4" i="7"/>
  <c r="FA4" i="7"/>
  <c r="BP4" i="7"/>
  <c r="FH4" i="7"/>
  <c r="AU4" i="7"/>
  <c r="EM4" i="7"/>
  <c r="BB4" i="7"/>
  <c r="ET4" i="7"/>
  <c r="BO4" i="7"/>
  <c r="FG4" i="7"/>
  <c r="BV4" i="7"/>
  <c r="FN4" i="7"/>
  <c r="CC4" i="7"/>
  <c r="FU4" i="7"/>
  <c r="CJ4" i="7"/>
  <c r="GB4" i="7"/>
  <c r="BA4" i="7"/>
  <c r="ES4" i="7"/>
  <c r="BH4" i="7"/>
  <c r="EZ4" i="7"/>
  <c r="BU4" i="7"/>
  <c r="FM4" i="7"/>
  <c r="BG4" i="7"/>
  <c r="EY4" i="7"/>
  <c r="BN4" i="7"/>
  <c r="FF4" i="7"/>
  <c r="CA4" i="7"/>
  <c r="FS4" i="7"/>
  <c r="CH4" i="7"/>
  <c r="FZ4" i="7"/>
  <c r="CO4" i="7"/>
  <c r="GG4" i="7"/>
  <c r="CV4" i="7"/>
  <c r="GN4" i="7"/>
  <c r="BM4" i="7"/>
  <c r="FE4" i="7"/>
  <c r="BT4" i="7"/>
  <c r="FL4" i="7"/>
  <c r="CG4" i="7"/>
  <c r="FY4" i="7"/>
  <c r="CN4" i="7"/>
  <c r="GF4" i="7"/>
  <c r="CU4" i="7"/>
  <c r="GM4" i="7"/>
  <c r="DB4" i="7"/>
  <c r="GT4" i="7"/>
  <c r="BS4" i="7"/>
  <c r="FK4" i="7"/>
  <c r="BZ4" i="7"/>
  <c r="FR4" i="7"/>
  <c r="CM4" i="7"/>
  <c r="GE4" i="7"/>
  <c r="CT4" i="7"/>
  <c r="GL4" i="7"/>
  <c r="DA4" i="7"/>
  <c r="GS4" i="7"/>
  <c r="DH4" i="7"/>
  <c r="BY4" i="7"/>
  <c r="FQ4" i="7"/>
  <c r="CF4" i="7"/>
  <c r="FX4" i="7"/>
  <c r="CS4" i="7"/>
  <c r="GK4" i="7"/>
  <c r="CZ4" i="7"/>
  <c r="GR4" i="7"/>
  <c r="DG4" i="7"/>
  <c r="V4" i="7"/>
  <c r="DN4" i="7"/>
  <c r="CE4" i="7"/>
  <c r="FW4" i="7"/>
  <c r="CL4" i="7"/>
  <c r="GD4" i="7"/>
  <c r="CY4" i="7"/>
  <c r="GQ4" i="7"/>
  <c r="DF4" i="7"/>
  <c r="CK4" i="7"/>
  <c r="GC4" i="7"/>
  <c r="CR4" i="7"/>
  <c r="GJ4" i="7"/>
  <c r="DE4" i="7"/>
  <c r="T4" i="7"/>
  <c r="DL4" i="7"/>
  <c r="AA4" i="7"/>
  <c r="DS4" i="7"/>
  <c r="AH4" i="7"/>
  <c r="DZ4" i="7"/>
  <c r="CQ4" i="7"/>
  <c r="GI4" i="7"/>
  <c r="CX4" i="7"/>
  <c r="GP4" i="7"/>
  <c r="DK4" i="7"/>
  <c r="Z4" i="7"/>
  <c r="DR4" i="7"/>
  <c r="AG4" i="7"/>
  <c r="DY4" i="7"/>
  <c r="AN4" i="7"/>
  <c r="EF4" i="7"/>
  <c r="CW4" i="7"/>
  <c r="GO4" i="7"/>
  <c r="DD4" i="7"/>
  <c r="Y4" i="7"/>
  <c r="DQ4" i="7"/>
  <c r="AF4" i="7"/>
  <c r="DX4" i="7"/>
  <c r="AM4" i="7"/>
  <c r="EE4" i="7"/>
  <c r="AT4" i="7"/>
  <c r="EL4" i="7"/>
  <c r="DC4" i="7"/>
  <c r="GU4" i="7"/>
  <c r="DJ4" i="7"/>
  <c r="AE4" i="7"/>
  <c r="DW4" i="7"/>
  <c r="AL4" i="7"/>
  <c r="ED4" i="7"/>
  <c r="AS4" i="7"/>
  <c r="EK4" i="7"/>
  <c r="AZ4" i="7"/>
  <c r="ER4" i="7"/>
  <c r="DI4" i="7"/>
  <c r="X4" i="7"/>
  <c r="DP4" i="7"/>
  <c r="AK4" i="7"/>
  <c r="EC4" i="7"/>
  <c r="AR4" i="7"/>
  <c r="EJ4" i="7"/>
  <c r="AY4" i="7"/>
  <c r="EQ4" i="7"/>
  <c r="AC4" i="7"/>
  <c r="DU4" i="7"/>
  <c r="AJ4" i="7"/>
  <c r="EB4" i="7"/>
  <c r="AW4" i="7"/>
  <c r="EO4" i="7"/>
  <c r="BD4" i="7"/>
  <c r="EV4" i="7"/>
  <c r="BK4" i="7"/>
  <c r="FC4" i="7"/>
  <c r="BR4" i="7"/>
  <c r="FJ4" i="7"/>
  <c r="FT4" i="7"/>
  <c r="FD4" i="7"/>
  <c r="N4" i="7"/>
  <c r="U4" i="7"/>
  <c r="FV4" i="7"/>
  <c r="O4" i="7"/>
  <c r="BE4" i="7"/>
  <c r="GH4" i="7"/>
  <c r="P4" i="7"/>
  <c r="BW4" i="7"/>
  <c r="CI4" i="7"/>
  <c r="DM4" i="7"/>
  <c r="EW4" i="7"/>
  <c r="W4" i="7"/>
  <c r="FO4" i="7"/>
  <c r="DO4" i="7"/>
  <c r="GA4" i="7"/>
  <c r="AD4" i="7"/>
  <c r="AB4" i="7"/>
  <c r="DV4" i="7"/>
  <c r="BF4" i="7"/>
  <c r="AQ4" i="7"/>
  <c r="BL4" i="7"/>
  <c r="EI4" i="7"/>
  <c r="CD4" i="7"/>
  <c r="Q4" i="7"/>
  <c r="AX4" i="7"/>
  <c r="CP4" i="7"/>
  <c r="R4" i="7"/>
  <c r="CB4" i="7"/>
  <c r="DT4" i="7"/>
  <c r="M4" i="7"/>
  <c r="EP4" i="7"/>
  <c r="EX4" i="7"/>
  <c r="S4" i="7"/>
  <c r="J57" i="7"/>
  <c r="K57" i="7"/>
  <c r="J28" i="7"/>
  <c r="K28" i="7"/>
  <c r="BN5" i="1"/>
  <c r="BN4" i="1"/>
  <c r="BE5" i="1"/>
  <c r="BE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4" i="7"/>
  <c r="W24" i="7"/>
  <c r="DO24" i="7"/>
  <c r="X24" i="7"/>
  <c r="DP24" i="7"/>
  <c r="AE24" i="7"/>
  <c r="DW24" i="7"/>
  <c r="AL24" i="7"/>
  <c r="ED24" i="7"/>
  <c r="AT24" i="7"/>
  <c r="EL24" i="7"/>
  <c r="AY24" i="7"/>
  <c r="AG24" i="7"/>
  <c r="AC24" i="7"/>
  <c r="DU24" i="7"/>
  <c r="AD24" i="7"/>
  <c r="DV24" i="7"/>
  <c r="AK24" i="7"/>
  <c r="EC24" i="7"/>
  <c r="AR24" i="7"/>
  <c r="EJ24" i="7"/>
  <c r="AZ24" i="7"/>
  <c r="ER24" i="7"/>
  <c r="CI24" i="7"/>
  <c r="BQ24" i="7"/>
  <c r="AI24" i="7"/>
  <c r="EA24" i="7"/>
  <c r="AJ24" i="7"/>
  <c r="EB24" i="7"/>
  <c r="AQ24" i="7"/>
  <c r="EI24" i="7"/>
  <c r="AX24" i="7"/>
  <c r="EP24" i="7"/>
  <c r="BF24" i="7"/>
  <c r="EX24" i="7"/>
  <c r="DS24" i="7"/>
  <c r="DA24" i="7"/>
  <c r="Q24" i="7"/>
  <c r="AO24" i="7"/>
  <c r="EG24" i="7"/>
  <c r="AP24" i="7"/>
  <c r="EH24" i="7"/>
  <c r="AW24" i="7"/>
  <c r="EO24" i="7"/>
  <c r="BD24" i="7"/>
  <c r="EV24" i="7"/>
  <c r="BL24" i="7"/>
  <c r="FD24" i="7"/>
  <c r="FC24" i="7"/>
  <c r="EK24" i="7"/>
  <c r="AU24" i="7"/>
  <c r="EM24" i="7"/>
  <c r="AV24" i="7"/>
  <c r="EN24" i="7"/>
  <c r="BC24" i="7"/>
  <c r="EU24" i="7"/>
  <c r="BJ24" i="7"/>
  <c r="FB24" i="7"/>
  <c r="BR24" i="7"/>
  <c r="FJ24" i="7"/>
  <c r="GM24" i="7"/>
  <c r="FU24" i="7"/>
  <c r="BA24" i="7"/>
  <c r="ES24" i="7"/>
  <c r="BB24" i="7"/>
  <c r="ET24" i="7"/>
  <c r="BI24" i="7"/>
  <c r="FA24" i="7"/>
  <c r="BP24" i="7"/>
  <c r="FH24" i="7"/>
  <c r="BX24" i="7"/>
  <c r="FP24" i="7"/>
  <c r="U24" i="7"/>
  <c r="AM24" i="7"/>
  <c r="BG24" i="7"/>
  <c r="EY24" i="7"/>
  <c r="BH24" i="7"/>
  <c r="EZ24" i="7"/>
  <c r="BO24" i="7"/>
  <c r="FG24" i="7"/>
  <c r="BV24" i="7"/>
  <c r="FN24" i="7"/>
  <c r="CD24" i="7"/>
  <c r="FV24" i="7"/>
  <c r="BE24" i="7"/>
  <c r="BW24" i="7"/>
  <c r="BM24" i="7"/>
  <c r="FE24" i="7"/>
  <c r="BN24" i="7"/>
  <c r="FF24" i="7"/>
  <c r="BU24" i="7"/>
  <c r="FM24" i="7"/>
  <c r="CB24" i="7"/>
  <c r="FT24" i="7"/>
  <c r="CJ24" i="7"/>
  <c r="GB24" i="7"/>
  <c r="CO24" i="7"/>
  <c r="DG24" i="7"/>
  <c r="BS24" i="7"/>
  <c r="FK24" i="7"/>
  <c r="BT24" i="7"/>
  <c r="FL24" i="7"/>
  <c r="CA24" i="7"/>
  <c r="FS24" i="7"/>
  <c r="CH24" i="7"/>
  <c r="FZ24" i="7"/>
  <c r="CP24" i="7"/>
  <c r="GH24" i="7"/>
  <c r="DY24" i="7"/>
  <c r="EQ24" i="7"/>
  <c r="BY24" i="7"/>
  <c r="FQ24" i="7"/>
  <c r="BZ24" i="7"/>
  <c r="FR24" i="7"/>
  <c r="CG24" i="7"/>
  <c r="FY24" i="7"/>
  <c r="CN24" i="7"/>
  <c r="GF24" i="7"/>
  <c r="CV24" i="7"/>
  <c r="GN24" i="7"/>
  <c r="FI24" i="7"/>
  <c r="GA24" i="7"/>
  <c r="CE24" i="7"/>
  <c r="FW24" i="7"/>
  <c r="CF24" i="7"/>
  <c r="FX24" i="7"/>
  <c r="CM24" i="7"/>
  <c r="GE24" i="7"/>
  <c r="CT24" i="7"/>
  <c r="GL24" i="7"/>
  <c r="DB24" i="7"/>
  <c r="GT24" i="7"/>
  <c r="GS24" i="7"/>
  <c r="P24" i="7"/>
  <c r="CK24" i="7"/>
  <c r="GC24" i="7"/>
  <c r="CL24" i="7"/>
  <c r="GD24" i="7"/>
  <c r="CS24" i="7"/>
  <c r="GK24" i="7"/>
  <c r="CZ24" i="7"/>
  <c r="GR24" i="7"/>
  <c r="DH24" i="7"/>
  <c r="AS24" i="7"/>
  <c r="AA24" i="7"/>
  <c r="CQ24" i="7"/>
  <c r="GI24" i="7"/>
  <c r="CR24" i="7"/>
  <c r="GJ24" i="7"/>
  <c r="CY24" i="7"/>
  <c r="GQ24" i="7"/>
  <c r="DF24" i="7"/>
  <c r="V24" i="7"/>
  <c r="DN24" i="7"/>
  <c r="CC24" i="7"/>
  <c r="BK24" i="7"/>
  <c r="CW24" i="7"/>
  <c r="GO24" i="7"/>
  <c r="CX24" i="7"/>
  <c r="GP24" i="7"/>
  <c r="DE24" i="7"/>
  <c r="T24" i="7"/>
  <c r="DL24" i="7"/>
  <c r="AB24" i="7"/>
  <c r="DT24" i="7"/>
  <c r="DM24" i="7"/>
  <c r="CU24" i="7"/>
  <c r="DC24" i="7"/>
  <c r="GU24" i="7"/>
  <c r="DD24" i="7"/>
  <c r="S24" i="7"/>
  <c r="DK24" i="7"/>
  <c r="Z24" i="7"/>
  <c r="DR24" i="7"/>
  <c r="AH24" i="7"/>
  <c r="DZ24" i="7"/>
  <c r="EW24" i="7"/>
  <c r="EE24" i="7"/>
  <c r="DI24" i="7"/>
  <c r="R24" i="7"/>
  <c r="DJ24" i="7"/>
  <c r="Y24" i="7"/>
  <c r="DQ24" i="7"/>
  <c r="AF24" i="7"/>
  <c r="DX24" i="7"/>
  <c r="AN24" i="7"/>
  <c r="EF24" i="7"/>
  <c r="GG24" i="7"/>
  <c r="FO24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W10" i="1"/>
  <c r="BU8" i="1"/>
  <c r="BW15" i="1"/>
  <c r="BU13" i="1"/>
  <c r="BU6" i="1"/>
  <c r="BW7" i="1"/>
  <c r="BW9" i="1"/>
  <c r="BU7" i="1"/>
  <c r="BU12" i="1"/>
  <c r="BW13" i="1"/>
  <c r="BU15" i="1"/>
  <c r="BW11" i="1"/>
  <c r="BU14" i="1"/>
  <c r="BU11" i="1"/>
  <c r="BW12" i="1"/>
  <c r="BW6" i="1"/>
  <c r="BU10" i="1"/>
  <c r="BW14" i="1"/>
  <c r="BW8" i="1"/>
  <c r="BU9" i="1"/>
  <c r="AC125" i="1"/>
  <c r="AC224" i="1"/>
  <c r="AC387" i="1"/>
  <c r="BY15" i="1"/>
  <c r="BY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Y7" i="1"/>
  <c r="BY8" i="1"/>
  <c r="BY9" i="1"/>
  <c r="BY10" i="1"/>
  <c r="BY11" i="1"/>
  <c r="BY12" i="1"/>
  <c r="BY13" i="1"/>
  <c r="BY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W5" i="1"/>
  <c r="BU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3" i="2"/>
  <c r="AC231" i="1"/>
  <c r="BL10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5" i="2"/>
  <c r="BO33" i="2"/>
  <c r="BO14" i="2"/>
  <c r="AJ11" i="2"/>
  <c r="AJ26" i="2"/>
  <c r="AH20" i="2"/>
  <c r="BO23" i="2"/>
  <c r="AJ22" i="2"/>
  <c r="BO11" i="2"/>
  <c r="BN8" i="2"/>
  <c r="AJ4" i="2"/>
  <c r="AG16" i="2"/>
  <c r="BO53" i="5"/>
  <c r="CY6" i="2"/>
  <c r="CY5" i="2"/>
  <c r="AE8" i="2"/>
  <c r="AI15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7" i="2"/>
  <c r="BN28" i="2"/>
  <c r="BO17" i="2"/>
  <c r="BO42" i="5"/>
  <c r="BO5" i="2"/>
  <c r="BO21" i="5"/>
  <c r="AI32" i="2"/>
  <c r="AG10" i="2"/>
  <c r="AI23" i="2"/>
  <c r="AE18" i="2"/>
  <c r="AI14" i="2"/>
  <c r="AI6" i="2"/>
  <c r="AG32" i="2"/>
  <c r="AC29" i="2"/>
  <c r="AC5" i="2"/>
  <c r="AC26" i="2"/>
  <c r="AG15" i="2"/>
  <c r="AI29" i="2"/>
  <c r="AI5" i="2"/>
  <c r="AG29" i="2"/>
  <c r="AC23" i="2"/>
  <c r="AE12" i="2"/>
  <c r="AE13" i="2"/>
  <c r="AI2" i="2"/>
  <c r="AI27" i="2"/>
  <c r="AE31" i="2"/>
  <c r="AC18" i="2"/>
  <c r="AC16" i="2"/>
  <c r="AC17" i="2"/>
  <c r="AE26" i="2"/>
  <c r="AE2" i="2"/>
  <c r="AI24" i="2"/>
  <c r="AF20" i="2"/>
  <c r="AE28" i="2"/>
  <c r="AI33" i="2"/>
  <c r="AE11" i="2"/>
  <c r="AG30" i="2"/>
  <c r="AG6" i="2"/>
  <c r="AE21" i="2"/>
  <c r="AI4" i="2"/>
  <c r="AC9" i="2"/>
  <c r="AE23" i="2"/>
  <c r="AC32" i="2"/>
  <c r="AI28" i="2"/>
  <c r="AG31" i="2"/>
  <c r="AE3" i="2"/>
  <c r="AE10" i="2"/>
  <c r="AE24" i="2"/>
  <c r="AI11" i="2"/>
  <c r="AE14" i="2"/>
  <c r="AI25" i="2"/>
  <c r="AE27" i="2"/>
  <c r="AC8" i="2"/>
  <c r="AC12" i="2"/>
  <c r="AE29" i="2"/>
  <c r="AE20" i="2"/>
  <c r="AI16" i="2"/>
  <c r="AI21" i="2"/>
  <c r="AE15" i="2"/>
  <c r="AE16" i="2"/>
  <c r="AC24" i="2"/>
  <c r="AG13" i="2"/>
  <c r="AI30" i="2"/>
  <c r="AI17" i="2"/>
  <c r="AG26" i="2"/>
  <c r="AC10" i="2"/>
  <c r="AI13" i="2"/>
  <c r="AE17" i="2"/>
  <c r="AE6" i="2"/>
  <c r="AG24" i="2"/>
  <c r="AI22" i="2"/>
  <c r="AE30" i="2"/>
  <c r="AE25" i="2"/>
  <c r="AC21" i="2"/>
  <c r="AI31" i="2"/>
  <c r="AI18" i="2"/>
  <c r="AC3" i="2"/>
  <c r="AI12" i="2"/>
  <c r="AE5" i="2"/>
  <c r="AG12" i="2"/>
  <c r="AI8" i="2"/>
  <c r="AC28" i="2"/>
  <c r="AC2" i="2"/>
  <c r="AC11" i="2"/>
  <c r="AC33" i="2"/>
  <c r="AG2" i="2"/>
  <c r="AI26" i="2"/>
  <c r="AI7" i="2"/>
  <c r="AC22" i="2"/>
  <c r="AC19" i="2"/>
  <c r="AC7" i="2"/>
  <c r="AG22" i="2"/>
  <c r="AG14" i="2"/>
  <c r="AI20" i="2"/>
  <c r="AC6" i="2"/>
  <c r="AE9" i="2"/>
  <c r="AG11" i="2"/>
  <c r="AG18" i="2"/>
  <c r="AG21" i="2"/>
  <c r="AC25" i="2"/>
  <c r="AC31" i="2"/>
  <c r="AG9" i="2"/>
  <c r="AE32" i="2"/>
  <c r="AG25" i="2"/>
  <c r="AE22" i="2"/>
  <c r="AG23" i="2"/>
  <c r="AG19" i="2"/>
  <c r="AG27" i="2"/>
  <c r="AC4" i="2"/>
  <c r="AC20" i="2"/>
  <c r="AC13" i="2"/>
  <c r="AC30" i="2"/>
  <c r="AE4" i="2"/>
  <c r="AG17" i="2"/>
  <c r="AG20" i="2"/>
  <c r="AG33" i="2"/>
  <c r="AE19" i="2"/>
  <c r="AH28" i="2"/>
  <c r="AG8" i="2"/>
  <c r="AC15" i="2"/>
  <c r="AC14" i="2"/>
  <c r="AC27" i="2"/>
  <c r="AJ2" i="2"/>
  <c r="AG28" i="2"/>
  <c r="AG5" i="2"/>
  <c r="AG3" i="2"/>
  <c r="AI19" i="2"/>
  <c r="AG7" i="2"/>
  <c r="AE7" i="2"/>
  <c r="AH27" i="2"/>
  <c r="BX13" i="2"/>
  <c r="J18" i="2"/>
  <c r="G18" i="2"/>
  <c r="J14" i="2"/>
  <c r="G14" i="2"/>
  <c r="J8" i="2"/>
  <c r="BX10" i="2"/>
  <c r="J10" i="2"/>
  <c r="BV21" i="2"/>
  <c r="X10" i="2"/>
  <c r="BX21" i="2"/>
  <c r="BX15" i="2"/>
  <c r="J20" i="2"/>
  <c r="X20" i="2"/>
  <c r="X14" i="2"/>
  <c r="X6" i="2"/>
  <c r="BV15" i="2"/>
  <c r="J2" i="2"/>
  <c r="BV6" i="2"/>
  <c r="BX6" i="2"/>
  <c r="X17" i="2"/>
  <c r="BV31" i="2"/>
  <c r="X11" i="2"/>
  <c r="X22" i="2"/>
  <c r="BX3" i="2"/>
  <c r="BW13" i="2"/>
  <c r="AH25" i="2"/>
  <c r="BX33" i="2"/>
  <c r="X33" i="2"/>
  <c r="BW19" i="2"/>
  <c r="X27" i="2"/>
  <c r="BV19" i="2"/>
  <c r="BX27" i="2"/>
  <c r="BX22" i="2"/>
  <c r="BX31" i="2"/>
  <c r="X18" i="2"/>
  <c r="X7" i="2"/>
  <c r="BO16" i="2"/>
  <c r="X30" i="2"/>
  <c r="BX26" i="2"/>
  <c r="BX16" i="2"/>
  <c r="BX19" i="2"/>
  <c r="X29" i="2"/>
  <c r="BX23" i="2"/>
  <c r="BX29" i="2"/>
  <c r="BX18" i="2"/>
  <c r="X16" i="2"/>
  <c r="J15" i="2"/>
  <c r="X13" i="2"/>
  <c r="X31" i="2"/>
  <c r="BV7" i="2"/>
  <c r="BX7" i="2"/>
  <c r="BW6" i="2"/>
  <c r="BV11" i="2"/>
  <c r="BV26" i="2"/>
  <c r="BW26" i="2"/>
  <c r="BV33" i="2"/>
  <c r="BV23" i="2"/>
  <c r="BV22" i="2"/>
  <c r="X4" i="2"/>
  <c r="BX11" i="2"/>
  <c r="BV18" i="2"/>
  <c r="X26" i="2"/>
  <c r="X21" i="2"/>
  <c r="BW16" i="2"/>
  <c r="BX30" i="2"/>
  <c r="BX25" i="2"/>
  <c r="BX20" i="2"/>
  <c r="BV20" i="2"/>
  <c r="BV2" i="2"/>
  <c r="X23" i="2"/>
  <c r="BX8" i="2"/>
  <c r="X8" i="2"/>
  <c r="BX14" i="2"/>
  <c r="BX12" i="2"/>
  <c r="J25" i="2"/>
  <c r="E25" i="2" s="1"/>
  <c r="X32" i="2"/>
  <c r="BV16" i="2"/>
  <c r="AF27" i="2"/>
  <c r="AF19" i="2"/>
  <c r="AJ10" i="2"/>
  <c r="AF10" i="2"/>
  <c r="AF9" i="2"/>
  <c r="AH17" i="2"/>
  <c r="BV13" i="2"/>
  <c r="P30" i="2"/>
  <c r="BV29" i="2"/>
  <c r="BV12" i="2"/>
  <c r="X24" i="2"/>
  <c r="BX24" i="2"/>
  <c r="J19" i="2"/>
  <c r="X19" i="2"/>
  <c r="J28" i="2"/>
  <c r="X5" i="2"/>
  <c r="BX5" i="2"/>
  <c r="X28" i="2"/>
  <c r="P19" i="2"/>
  <c r="BW10" i="2"/>
  <c r="BX28" i="2"/>
  <c r="P14" i="2"/>
  <c r="X25" i="2"/>
  <c r="P7" i="2"/>
  <c r="X15" i="2"/>
  <c r="P33" i="2"/>
  <c r="P29" i="2"/>
  <c r="P11" i="2"/>
  <c r="X2" i="2"/>
  <c r="P17" i="2"/>
  <c r="P12" i="2"/>
  <c r="X12" i="2"/>
  <c r="P24" i="2"/>
  <c r="P22" i="2"/>
  <c r="BV25" i="2"/>
  <c r="BV10" i="2"/>
  <c r="BV5" i="2"/>
  <c r="BV30" i="2"/>
  <c r="BV28" i="2"/>
  <c r="BV32" i="2"/>
  <c r="BX2" i="2"/>
  <c r="BW14" i="2"/>
  <c r="BV17" i="2"/>
  <c r="BV8" i="2"/>
  <c r="BV27" i="2"/>
  <c r="BW23" i="2"/>
  <c r="BW21" i="2"/>
  <c r="BV14" i="2"/>
  <c r="BW4" i="2"/>
  <c r="BV4" i="2"/>
  <c r="BV24" i="2"/>
  <c r="BW31" i="2"/>
  <c r="BW27" i="2"/>
  <c r="BW3" i="2"/>
  <c r="BV3" i="2"/>
  <c r="BX4" i="2"/>
  <c r="X3" i="2"/>
  <c r="P5" i="2"/>
  <c r="BX17" i="2"/>
  <c r="J11" i="2"/>
  <c r="BW30" i="2"/>
  <c r="J6" i="2"/>
  <c r="P27" i="2"/>
  <c r="BX32" i="2"/>
  <c r="BW20" i="2"/>
  <c r="P20" i="2"/>
  <c r="J24" i="2"/>
  <c r="BW24" i="2"/>
  <c r="BW7" i="2"/>
  <c r="J4" i="2"/>
  <c r="P4" i="2"/>
  <c r="BW8" i="2"/>
  <c r="P8" i="2"/>
  <c r="J27" i="2"/>
  <c r="J13" i="2"/>
  <c r="J29" i="2"/>
  <c r="BW15" i="2"/>
  <c r="J31" i="2"/>
  <c r="P31" i="2"/>
  <c r="P10" i="2"/>
  <c r="BW12" i="2"/>
  <c r="BW29" i="2"/>
  <c r="J16" i="2"/>
  <c r="J17" i="2"/>
  <c r="J7" i="2"/>
  <c r="P13" i="2"/>
  <c r="P15" i="2"/>
  <c r="BW11" i="2"/>
  <c r="J32" i="2"/>
  <c r="BW5" i="2"/>
  <c r="J33" i="2"/>
  <c r="P16" i="2"/>
  <c r="BW18" i="2"/>
  <c r="P25" i="2"/>
  <c r="J3" i="2"/>
  <c r="J5" i="2"/>
  <c r="J12" i="2"/>
  <c r="P3" i="2"/>
  <c r="J22" i="2"/>
  <c r="J26" i="2"/>
  <c r="J23" i="2"/>
  <c r="BW25" i="2"/>
  <c r="P6" i="2"/>
  <c r="BW22" i="2"/>
  <c r="P18" i="2"/>
  <c r="J30" i="2"/>
  <c r="P21" i="2"/>
  <c r="P23" i="2"/>
  <c r="P28" i="2"/>
  <c r="P2" i="2"/>
  <c r="BW2" i="2"/>
  <c r="J21" i="2"/>
  <c r="BW17" i="2"/>
  <c r="BW28" i="2"/>
  <c r="P32" i="2"/>
  <c r="BW33" i="2"/>
  <c r="BW32" i="2"/>
  <c r="P26" i="2"/>
  <c r="BH18" i="2"/>
  <c r="BH17" i="2"/>
  <c r="BH5" i="2"/>
  <c r="BH19" i="2"/>
  <c r="BH24" i="2"/>
  <c r="BH25" i="2"/>
  <c r="BH3" i="2"/>
  <c r="BH29" i="2"/>
  <c r="BH13" i="2"/>
  <c r="BH8" i="2"/>
  <c r="BH30" i="2"/>
  <c r="BH16" i="2"/>
  <c r="BH4" i="2"/>
  <c r="BH27" i="2"/>
  <c r="BH20" i="2"/>
  <c r="BH2" i="2"/>
  <c r="BH11" i="2"/>
  <c r="BH21" i="2"/>
  <c r="BH23" i="2"/>
  <c r="BH10" i="2"/>
  <c r="BH6" i="2"/>
  <c r="BH22" i="2"/>
  <c r="BH15" i="2"/>
  <c r="BH28" i="2"/>
  <c r="BH14" i="2"/>
  <c r="BH12" i="2"/>
  <c r="BH31" i="2"/>
  <c r="BH33" i="2"/>
  <c r="BH32" i="2"/>
  <c r="BH26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D70" i="7" l="1"/>
  <c r="D34" i="7"/>
  <c r="BN15" i="2"/>
  <c r="BN22" i="2"/>
  <c r="AF26" i="2"/>
  <c r="AF13" i="2"/>
  <c r="AH16" i="2"/>
  <c r="AH33" i="2"/>
  <c r="BO21" i="2"/>
  <c r="BL15" i="2"/>
  <c r="BL20" i="2"/>
  <c r="BO4" i="2"/>
  <c r="BN20" i="2"/>
  <c r="AF15" i="2"/>
  <c r="AJ20" i="2"/>
  <c r="AW20" i="2" s="1"/>
  <c r="AJ30" i="2"/>
  <c r="AH12" i="2"/>
  <c r="AF30" i="2"/>
  <c r="AF8" i="2"/>
  <c r="AF2" i="2"/>
  <c r="AW2" i="2" s="1"/>
  <c r="BO12" i="2"/>
  <c r="BN30" i="2"/>
  <c r="BL30" i="2"/>
  <c r="AO796" i="1"/>
  <c r="AP32" i="2"/>
  <c r="AO802" i="1"/>
  <c r="AJ15" i="2"/>
  <c r="AL15" i="2" s="1"/>
  <c r="AH10" i="2"/>
  <c r="AL10" i="2" s="1"/>
  <c r="BO25" i="2"/>
  <c r="BL27" i="2"/>
  <c r="BN27" i="2"/>
  <c r="BE17" i="1"/>
  <c r="BE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E9" i="1"/>
  <c r="BE10" i="1" s="1"/>
  <c r="BJ17" i="1"/>
  <c r="BJ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6" i="2"/>
  <c r="AP1009" i="1"/>
  <c r="AP990" i="1"/>
  <c r="AP855" i="1"/>
  <c r="AP989" i="1"/>
  <c r="AP1012" i="1"/>
  <c r="BZ33" i="2"/>
  <c r="AO1113" i="1"/>
  <c r="BZ20" i="2"/>
  <c r="BZ3" i="2"/>
  <c r="BZ28" i="2"/>
  <c r="BZ18" i="2"/>
  <c r="BZ5" i="2"/>
  <c r="BZ23" i="2"/>
  <c r="CJ30" i="2"/>
  <c r="CJ7" i="2"/>
  <c r="CJ26" i="2"/>
  <c r="BZ10" i="2"/>
  <c r="BZ2" i="2"/>
  <c r="BZ8" i="2"/>
  <c r="CI10" i="2"/>
  <c r="CI14" i="2"/>
  <c r="CJ31" i="2"/>
  <c r="BZ17" i="2"/>
  <c r="BZ7" i="2"/>
  <c r="BZ4" i="2"/>
  <c r="BZ21" i="2"/>
  <c r="BZ30" i="2"/>
  <c r="BZ15" i="2"/>
  <c r="BZ13" i="2"/>
  <c r="BZ14" i="2"/>
  <c r="BZ25" i="2"/>
  <c r="BZ26" i="2"/>
  <c r="BZ6" i="2"/>
  <c r="BZ32" i="2"/>
  <c r="BZ16" i="2"/>
  <c r="BZ11" i="2"/>
  <c r="BZ24" i="2"/>
  <c r="BZ27" i="2"/>
  <c r="BZ29" i="2"/>
  <c r="BZ22" i="2"/>
  <c r="BZ12" i="2"/>
  <c r="BZ31" i="2"/>
  <c r="BZ19" i="2"/>
  <c r="AO958" i="1"/>
  <c r="CJ8" i="2"/>
  <c r="CI20" i="2"/>
  <c r="CI28" i="2"/>
  <c r="CJ23" i="2"/>
  <c r="CI12" i="2"/>
  <c r="CJ18" i="2"/>
  <c r="CJ33" i="2"/>
  <c r="CI30" i="2"/>
  <c r="CI18" i="2"/>
  <c r="CI9" i="2"/>
  <c r="CI8" i="2"/>
  <c r="CJ27" i="2"/>
  <c r="CJ20" i="2"/>
  <c r="CJ10" i="2"/>
  <c r="CI21" i="2"/>
  <c r="CI25" i="2"/>
  <c r="CI15" i="2"/>
  <c r="CJ16" i="2"/>
  <c r="CJ3" i="2"/>
  <c r="CJ28" i="2"/>
  <c r="AP762" i="1"/>
  <c r="CI4" i="2"/>
  <c r="CI29" i="2"/>
  <c r="CJ2" i="2"/>
  <c r="CJ15" i="2"/>
  <c r="CI5" i="2"/>
  <c r="CI33" i="2"/>
  <c r="CJ5" i="2"/>
  <c r="CI27" i="2"/>
  <c r="CI6" i="2"/>
  <c r="CJ19" i="2"/>
  <c r="CI3" i="2"/>
  <c r="CI32" i="2"/>
  <c r="CI24" i="2"/>
  <c r="CJ14" i="2"/>
  <c r="CI11" i="2"/>
  <c r="CJ22" i="2"/>
  <c r="CJ24" i="2"/>
  <c r="CI26" i="2"/>
  <c r="CI2" i="2"/>
  <c r="CJ4" i="2"/>
  <c r="CI13" i="2"/>
  <c r="CI17" i="2"/>
  <c r="CJ17" i="2"/>
  <c r="CI16" i="2"/>
  <c r="CJ32" i="2"/>
  <c r="CJ6" i="2"/>
  <c r="CI23" i="2"/>
  <c r="CJ12" i="2"/>
  <c r="CI22" i="2"/>
  <c r="CJ11" i="2"/>
  <c r="CJ21" i="2"/>
  <c r="CJ29" i="2"/>
  <c r="CI31" i="2"/>
  <c r="CI19" i="2"/>
  <c r="CI7" i="2"/>
  <c r="CJ9" i="2"/>
  <c r="CJ25" i="2"/>
  <c r="CJ13" i="2"/>
  <c r="E31" i="2"/>
  <c r="BK8" i="2"/>
  <c r="E15" i="2"/>
  <c r="E22" i="2"/>
  <c r="E13" i="2"/>
  <c r="BK14" i="2"/>
  <c r="E5" i="2"/>
  <c r="E17" i="2"/>
  <c r="E27" i="2"/>
  <c r="E6" i="2"/>
  <c r="E23" i="2"/>
  <c r="E3" i="2"/>
  <c r="E16" i="2"/>
  <c r="E11" i="2"/>
  <c r="E2" i="2"/>
  <c r="E21" i="2"/>
  <c r="E30" i="2"/>
  <c r="E26" i="2"/>
  <c r="E29" i="2"/>
  <c r="E4" i="2"/>
  <c r="E12" i="2"/>
  <c r="E33" i="2"/>
  <c r="E7" i="2"/>
  <c r="E24" i="2"/>
  <c r="E10" i="2"/>
  <c r="BK18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V16" i="1"/>
  <c r="BT16" i="1"/>
  <c r="BX5" i="1"/>
  <c r="BM12" i="1"/>
  <c r="BM11" i="1"/>
  <c r="BO32" i="2"/>
  <c r="BN18" i="2"/>
  <c r="BN3" i="2"/>
  <c r="BO3" i="2"/>
  <c r="BN13" i="2"/>
  <c r="BN4" i="2"/>
  <c r="BN14" i="2"/>
  <c r="BO6" i="2"/>
  <c r="BN7" i="2"/>
  <c r="BO8" i="2"/>
  <c r="BN24" i="2"/>
  <c r="BN23" i="2"/>
  <c r="BO30" i="2"/>
  <c r="BO31" i="2"/>
  <c r="BN31" i="2"/>
  <c r="BN32" i="2"/>
  <c r="BO18" i="2"/>
  <c r="BN19" i="2"/>
  <c r="BN6" i="2"/>
  <c r="BN11" i="2"/>
  <c r="BO13" i="2"/>
  <c r="BO29" i="2"/>
  <c r="BO24" i="2"/>
  <c r="BO19" i="2"/>
  <c r="BN5" i="2"/>
  <c r="BN29" i="2"/>
  <c r="BO7" i="2"/>
  <c r="BO22" i="2"/>
  <c r="BN21" i="2"/>
  <c r="BO10" i="2"/>
  <c r="BO9" i="2"/>
  <c r="BN16" i="2"/>
  <c r="BO27" i="2"/>
  <c r="BN12" i="2"/>
  <c r="BN17" i="2"/>
  <c r="BN33" i="2"/>
  <c r="BO2" i="2"/>
  <c r="BO15" i="2"/>
  <c r="BO20" i="2"/>
  <c r="BO26" i="2"/>
  <c r="BN2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Y5" i="1"/>
  <c r="BY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3" i="2"/>
  <c r="BL23" i="2"/>
  <c r="BM8" i="2"/>
  <c r="BL5" i="2"/>
  <c r="BL25" i="2"/>
  <c r="BM23" i="2"/>
  <c r="BM33" i="2"/>
  <c r="BM5" i="2"/>
  <c r="BL16" i="2"/>
  <c r="BL29" i="2"/>
  <c r="BM31" i="2"/>
  <c r="BL22" i="2"/>
  <c r="BM17" i="2"/>
  <c r="BM12" i="2"/>
  <c r="BL21" i="2"/>
  <c r="BM6" i="2"/>
  <c r="BM22" i="2"/>
  <c r="BM14" i="2"/>
  <c r="BL3" i="2"/>
  <c r="BM16" i="2"/>
  <c r="BM7" i="2"/>
  <c r="BM4" i="2"/>
  <c r="BL31" i="2"/>
  <c r="BM19" i="2"/>
  <c r="BL12" i="2"/>
  <c r="BL24" i="2"/>
  <c r="BL33" i="2"/>
  <c r="BM29" i="2"/>
  <c r="BM18" i="2"/>
  <c r="BM11" i="2"/>
  <c r="BM13" i="2"/>
  <c r="BM25" i="2"/>
  <c r="BL6" i="2"/>
  <c r="BL11" i="2"/>
  <c r="BM3" i="2"/>
  <c r="BL17" i="2"/>
  <c r="BM32" i="2"/>
  <c r="BL32" i="2"/>
  <c r="BL18" i="2"/>
  <c r="BM21" i="2"/>
  <c r="BL14" i="2"/>
  <c r="BL4" i="2"/>
  <c r="BM24" i="2"/>
  <c r="BM30" i="2"/>
  <c r="BM27" i="2"/>
  <c r="BL28" i="2"/>
  <c r="BL19" i="2"/>
  <c r="BM10" i="2"/>
  <c r="BL7" i="2"/>
  <c r="BM15" i="2"/>
  <c r="BM9" i="2"/>
  <c r="BM2" i="2"/>
  <c r="BM20" i="2"/>
  <c r="BL8" i="2"/>
  <c r="BL13" i="2"/>
  <c r="BM26" i="2"/>
  <c r="AP28" i="2"/>
  <c r="BE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5" i="2"/>
  <c r="AF4" i="2"/>
  <c r="AH19" i="2"/>
  <c r="AP15" i="2"/>
  <c r="AF11" i="2"/>
  <c r="AO23" i="2"/>
  <c r="AF14" i="2"/>
  <c r="AH11" i="2"/>
  <c r="AK11" i="2" s="1"/>
  <c r="AF24" i="2"/>
  <c r="AP20" i="2"/>
  <c r="AH4" i="2"/>
  <c r="AK4" i="2" s="1"/>
  <c r="AF25" i="2"/>
  <c r="AO20" i="2"/>
  <c r="AJ33" i="2"/>
  <c r="AJ25" i="2"/>
  <c r="AK25" i="2" s="1"/>
  <c r="AP26" i="2"/>
  <c r="AF23" i="2"/>
  <c r="AO19" i="2"/>
  <c r="AP22" i="2"/>
  <c r="AO14" i="2"/>
  <c r="AJ14" i="2"/>
  <c r="AO26" i="2"/>
  <c r="AH23" i="2"/>
  <c r="AK23" i="2" s="1"/>
  <c r="AH18" i="2"/>
  <c r="AF22" i="2"/>
  <c r="AO11" i="2"/>
  <c r="AO4" i="2"/>
  <c r="AP4" i="2"/>
  <c r="AP11" i="2"/>
  <c r="AJ13" i="2"/>
  <c r="BP47" i="5"/>
  <c r="BP13" i="5"/>
  <c r="AO13" i="2"/>
  <c r="BP45" i="5"/>
  <c r="BP53" i="5"/>
  <c r="AF31" i="2"/>
  <c r="AF3" i="2"/>
  <c r="AJ7" i="2"/>
  <c r="AJ31" i="2"/>
  <c r="AW26" i="2"/>
  <c r="AW9" i="2"/>
  <c r="AH31" i="2"/>
  <c r="AF12" i="2"/>
  <c r="AP8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8" i="2"/>
  <c r="AJ28" i="2"/>
  <c r="AK28" i="2" s="1"/>
  <c r="BP21" i="5"/>
  <c r="E32" i="2"/>
  <c r="CY2" i="2"/>
  <c r="CZ5" i="2" s="1"/>
  <c r="AO28" i="2"/>
  <c r="AH13" i="2"/>
  <c r="AD17" i="2"/>
  <c r="BP17" i="2" s="1"/>
  <c r="AJ29" i="2"/>
  <c r="AH14" i="2"/>
  <c r="AP14" i="2"/>
  <c r="AH5" i="2"/>
  <c r="AP7" i="2"/>
  <c r="AJ17" i="2"/>
  <c r="AK17" i="2" s="1"/>
  <c r="DA5" i="2"/>
  <c r="DA6" i="2"/>
  <c r="AF33" i="2"/>
  <c r="AF29" i="2"/>
  <c r="CY3" i="2"/>
  <c r="DA3" i="2" s="1"/>
  <c r="AP2" i="2"/>
  <c r="AJ24" i="2"/>
  <c r="AF6" i="2"/>
  <c r="AJ21" i="2"/>
  <c r="AK21" i="2" s="1"/>
  <c r="AF17" i="2"/>
  <c r="AO12" i="2"/>
  <c r="AO24" i="2"/>
  <c r="AH24" i="2"/>
  <c r="AP24" i="2"/>
  <c r="AO21" i="2"/>
  <c r="AH29" i="2"/>
  <c r="AP21" i="2"/>
  <c r="AJ12" i="2"/>
  <c r="BP27" i="5"/>
  <c r="BP3" i="5"/>
  <c r="BP11" i="5"/>
  <c r="BP25" i="5"/>
  <c r="AD24" i="2"/>
  <c r="BP24" i="2" s="1"/>
  <c r="AF16" i="2"/>
  <c r="AF5" i="2"/>
  <c r="AO7" i="2"/>
  <c r="AO8" i="2"/>
  <c r="AH8" i="2"/>
  <c r="CS8" i="2"/>
  <c r="CS7" i="2"/>
  <c r="AF21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2" i="2"/>
  <c r="E19" i="2"/>
  <c r="BK4" i="2"/>
  <c r="BK19" i="2"/>
  <c r="BK27" i="2"/>
  <c r="BK11" i="2"/>
  <c r="BK5" i="2"/>
  <c r="BK10" i="2"/>
  <c r="BK12" i="2"/>
  <c r="BK3" i="2"/>
  <c r="BK17" i="2"/>
  <c r="BK22" i="2"/>
  <c r="BK33" i="2"/>
  <c r="BK13" i="2"/>
  <c r="BK32" i="2"/>
  <c r="BK7" i="2"/>
  <c r="BK16" i="2"/>
  <c r="BK2" i="2"/>
  <c r="BK30" i="2"/>
  <c r="BK6" i="2"/>
  <c r="BK23" i="2"/>
  <c r="BK29" i="2"/>
  <c r="BK26" i="2"/>
  <c r="BK28" i="2"/>
  <c r="BK24" i="2"/>
  <c r="BK21" i="2"/>
  <c r="BK25" i="2"/>
  <c r="BK31" i="2"/>
  <c r="BK15" i="2"/>
  <c r="K18" i="2"/>
  <c r="E18" i="2"/>
  <c r="BI20" i="2"/>
  <c r="E20" i="2"/>
  <c r="K8" i="2"/>
  <c r="E8" i="2"/>
  <c r="K14" i="2"/>
  <c r="E14" i="2"/>
  <c r="BJ14" i="2"/>
  <c r="AD8" i="2"/>
  <c r="BP8" i="2" s="1"/>
  <c r="BI18" i="2"/>
  <c r="BJ18" i="2"/>
  <c r="AD32" i="2"/>
  <c r="BP32" i="2" s="1"/>
  <c r="AD21" i="2"/>
  <c r="BP21" i="2" s="1"/>
  <c r="AF32" i="2"/>
  <c r="AD26" i="2"/>
  <c r="BP26" i="2" s="1"/>
  <c r="AD31" i="2"/>
  <c r="BP31" i="2" s="1"/>
  <c r="AD23" i="2"/>
  <c r="BP23" i="2" s="1"/>
  <c r="AO6" i="2"/>
  <c r="AD14" i="2"/>
  <c r="BP14" i="2" s="1"/>
  <c r="AD19" i="2"/>
  <c r="BP19" i="2" s="1"/>
  <c r="AD33" i="2"/>
  <c r="BP33" i="2" s="1"/>
  <c r="AH32" i="2"/>
  <c r="AD11" i="2"/>
  <c r="BP11" i="2" s="1"/>
  <c r="AD20" i="2"/>
  <c r="BP20" i="2" s="1"/>
  <c r="AD25" i="2"/>
  <c r="BP25" i="2" s="1"/>
  <c r="AD4" i="2"/>
  <c r="BP4" i="2" s="1"/>
  <c r="AD7" i="2"/>
  <c r="BP7" i="2" s="1"/>
  <c r="AD18" i="2"/>
  <c r="BP18" i="2" s="1"/>
  <c r="AD15" i="2"/>
  <c r="BP15" i="2" s="1"/>
  <c r="AD2" i="2"/>
  <c r="BP2" i="2" s="1"/>
  <c r="AD3" i="2"/>
  <c r="BP3" i="2" s="1"/>
  <c r="AD13" i="2"/>
  <c r="BP13" i="2" s="1"/>
  <c r="AD27" i="2"/>
  <c r="BP27" i="2" s="1"/>
  <c r="AD22" i="2"/>
  <c r="BP22" i="2" s="1"/>
  <c r="AD29" i="2"/>
  <c r="BP29" i="2" s="1"/>
  <c r="AD16" i="2"/>
  <c r="BP16" i="2" s="1"/>
  <c r="AD10" i="2"/>
  <c r="BP10" i="2" s="1"/>
  <c r="AD6" i="2"/>
  <c r="BP6" i="2" s="1"/>
  <c r="AD30" i="2"/>
  <c r="BP30" i="2" s="1"/>
  <c r="AJ32" i="2"/>
  <c r="AP30" i="2"/>
  <c r="AH30" i="2"/>
  <c r="AJ19" i="2"/>
  <c r="AO27" i="2"/>
  <c r="AJ27" i="2"/>
  <c r="AW27" i="2" s="1"/>
  <c r="AD12" i="2"/>
  <c r="BP12" i="2" s="1"/>
  <c r="AO16" i="2"/>
  <c r="AJ16" i="2"/>
  <c r="AK16" i="2" s="1"/>
  <c r="AJ5" i="2"/>
  <c r="AD5" i="2"/>
  <c r="BP5" i="2" s="1"/>
  <c r="AJ6" i="2"/>
  <c r="AD28" i="2"/>
  <c r="BP28" i="2" s="1"/>
  <c r="AH22" i="2"/>
  <c r="AK22" i="2" s="1"/>
  <c r="BI14" i="2"/>
  <c r="BY10" i="2"/>
  <c r="BY13" i="2"/>
  <c r="BJ8" i="2"/>
  <c r="BI8" i="2"/>
  <c r="BI29" i="2"/>
  <c r="K29" i="2"/>
  <c r="BI4" i="2"/>
  <c r="K4" i="2"/>
  <c r="BJ12" i="2"/>
  <c r="K12" i="2"/>
  <c r="BJ33" i="2"/>
  <c r="K33" i="2"/>
  <c r="BJ13" i="2"/>
  <c r="K13" i="2"/>
  <c r="BI28" i="2"/>
  <c r="K28" i="2"/>
  <c r="BI22" i="2"/>
  <c r="K22" i="2"/>
  <c r="BI11" i="2"/>
  <c r="K11" i="2"/>
  <c r="BI10" i="2"/>
  <c r="K10" i="2"/>
  <c r="BJ10" i="2"/>
  <c r="BI21" i="2"/>
  <c r="K21" i="2"/>
  <c r="BJ23" i="2"/>
  <c r="K23" i="2"/>
  <c r="BI3" i="2"/>
  <c r="K3" i="2"/>
  <c r="BJ17" i="2"/>
  <c r="K17" i="2"/>
  <c r="BI31" i="2"/>
  <c r="K31" i="2"/>
  <c r="BJ24" i="2"/>
  <c r="K24" i="2"/>
  <c r="BJ19" i="2"/>
  <c r="K19" i="2"/>
  <c r="BJ15" i="2"/>
  <c r="K15" i="2"/>
  <c r="BJ20" i="2"/>
  <c r="K20" i="2"/>
  <c r="BJ5" i="2"/>
  <c r="K5" i="2"/>
  <c r="BI7" i="2"/>
  <c r="K7" i="2"/>
  <c r="BJ27" i="2"/>
  <c r="K27" i="2"/>
  <c r="BJ6" i="2"/>
  <c r="K6" i="2"/>
  <c r="BJ30" i="2"/>
  <c r="K30" i="2"/>
  <c r="BI26" i="2"/>
  <c r="K26" i="2"/>
  <c r="BJ32" i="2"/>
  <c r="K32" i="2"/>
  <c r="BJ16" i="2"/>
  <c r="K16" i="2"/>
  <c r="BI25" i="2"/>
  <c r="K25" i="2"/>
  <c r="BJ2" i="2"/>
  <c r="K2" i="2"/>
  <c r="BI2" i="2"/>
  <c r="BY21" i="2"/>
  <c r="BY15" i="2"/>
  <c r="BY6" i="2"/>
  <c r="BI15" i="2"/>
  <c r="BY27" i="2"/>
  <c r="AP3" i="2"/>
  <c r="BY26" i="2"/>
  <c r="BY22" i="2"/>
  <c r="BY3" i="2"/>
  <c r="AP25" i="2"/>
  <c r="AO25" i="2"/>
  <c r="BY23" i="2"/>
  <c r="AP5" i="2"/>
  <c r="BY33" i="2"/>
  <c r="BJ25" i="2"/>
  <c r="AP18" i="2"/>
  <c r="BY12" i="2"/>
  <c r="AO31" i="2"/>
  <c r="AO18" i="2"/>
  <c r="BY29" i="2"/>
  <c r="AP27" i="2"/>
  <c r="BY18" i="2"/>
  <c r="BY31" i="2"/>
  <c r="BY19" i="2"/>
  <c r="AP16" i="2"/>
  <c r="BY16" i="2"/>
  <c r="BY7" i="2"/>
  <c r="BY8" i="2"/>
  <c r="BY20" i="2"/>
  <c r="BY11" i="2"/>
  <c r="BY25" i="2"/>
  <c r="BY14" i="2"/>
  <c r="BY30" i="2"/>
  <c r="BI19" i="2"/>
  <c r="BY24" i="2"/>
  <c r="AO29" i="2"/>
  <c r="AQ29" i="2" s="1"/>
  <c r="AP19" i="2"/>
  <c r="AO32" i="2"/>
  <c r="AP17" i="2"/>
  <c r="AO17" i="2"/>
  <c r="AO10" i="2"/>
  <c r="BY5" i="2"/>
  <c r="AP29" i="2"/>
  <c r="BY28" i="2"/>
  <c r="AP31" i="2"/>
  <c r="AO22" i="2"/>
  <c r="AO3" i="2"/>
  <c r="AO30" i="2"/>
  <c r="AP33" i="2"/>
  <c r="AP9" i="2"/>
  <c r="AP6" i="2"/>
  <c r="AP10" i="2"/>
  <c r="BJ11" i="2"/>
  <c r="BJ28" i="2"/>
  <c r="BY2" i="2"/>
  <c r="BJ7" i="2"/>
  <c r="AO33" i="2"/>
  <c r="BY4" i="2"/>
  <c r="BY17" i="2"/>
  <c r="BI6" i="2"/>
  <c r="BI24" i="2"/>
  <c r="BI32" i="2"/>
  <c r="BI17" i="2"/>
  <c r="BJ4" i="2"/>
  <c r="BJ29" i="2"/>
  <c r="BY32" i="2"/>
  <c r="BI27" i="2"/>
  <c r="AO9" i="2"/>
  <c r="D2" i="9" s="1"/>
  <c r="U7" i="9" s="1"/>
  <c r="BI13" i="2"/>
  <c r="BJ31" i="2"/>
  <c r="BJ22" i="2"/>
  <c r="BI16" i="2"/>
  <c r="BI23" i="2"/>
  <c r="BI33" i="2"/>
  <c r="BJ21" i="2"/>
  <c r="BJ26" i="2"/>
  <c r="BJ3" i="2"/>
  <c r="BI5" i="2"/>
  <c r="BI12" i="2"/>
  <c r="BI30" i="2"/>
  <c r="BP61" i="4"/>
  <c r="BQ61" i="4" s="1"/>
  <c r="BE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12" i="2"/>
  <c r="AK33" i="2"/>
  <c r="AL20" i="2"/>
  <c r="AM20" i="2" s="1"/>
  <c r="AW30" i="2"/>
  <c r="AK20" i="2"/>
  <c r="AW10" i="2"/>
  <c r="AK10" i="2"/>
  <c r="AW15" i="2"/>
  <c r="AK15" i="2"/>
  <c r="AM15" i="2"/>
  <c r="AN15" i="2"/>
  <c r="AM26" i="2"/>
  <c r="AN26" i="2"/>
  <c r="AM10" i="2"/>
  <c r="AN10" i="2"/>
  <c r="AM2" i="2"/>
  <c r="AN2" i="2"/>
  <c r="AM9" i="2"/>
  <c r="AN9" i="2"/>
  <c r="AB18" i="2"/>
  <c r="AB8" i="2"/>
  <c r="AB13" i="2"/>
  <c r="AB29" i="2"/>
  <c r="AB24" i="2"/>
  <c r="AB28" i="2"/>
  <c r="AB20" i="2"/>
  <c r="AB32" i="2"/>
  <c r="AB10" i="2"/>
  <c r="AB33" i="2"/>
  <c r="AB25" i="2"/>
  <c r="AB27" i="2"/>
  <c r="AB12" i="2"/>
  <c r="AB11" i="2"/>
  <c r="AB7" i="2"/>
  <c r="AB30" i="2"/>
  <c r="AB31" i="2"/>
  <c r="AB3" i="2"/>
  <c r="AB19" i="2"/>
  <c r="AB21" i="2"/>
  <c r="AB5" i="2"/>
  <c r="AB4" i="2"/>
  <c r="AB26" i="2"/>
  <c r="AB17" i="2"/>
  <c r="AB2" i="2"/>
  <c r="AB15" i="2"/>
  <c r="AB23" i="2"/>
  <c r="AB14" i="2"/>
  <c r="AB16" i="2"/>
  <c r="AB6" i="2"/>
  <c r="AB22" i="2"/>
  <c r="CW11" i="2"/>
  <c r="AL7" i="2"/>
  <c r="AL29" i="2"/>
  <c r="AL14" i="2"/>
  <c r="AL32" i="2"/>
  <c r="AL13" i="2"/>
  <c r="AL19" i="2"/>
  <c r="AL31" i="2"/>
  <c r="AL5" i="2"/>
  <c r="AL18" i="2"/>
  <c r="AL24" i="2"/>
  <c r="AL6" i="2"/>
  <c r="AL3" i="2"/>
  <c r="AL33" i="2"/>
  <c r="AL11" i="2"/>
  <c r="AL30" i="2"/>
  <c r="AL25" i="2"/>
  <c r="AL16" i="2"/>
  <c r="AL21" i="2"/>
  <c r="AL23" i="2"/>
  <c r="AL4" i="2"/>
  <c r="AL17" i="2"/>
  <c r="AL8" i="2"/>
  <c r="AL22" i="2"/>
  <c r="AL12" i="2"/>
  <c r="AL27" i="2"/>
  <c r="AL28" i="2"/>
  <c r="BO36" i="2"/>
  <c r="BN35" i="2"/>
  <c r="BO35" i="2"/>
  <c r="BR21" i="2"/>
  <c r="BS21" i="2" s="1"/>
  <c r="BR5" i="2"/>
  <c r="BS5" i="2" s="1"/>
  <c r="BR4" i="2"/>
  <c r="BS4" i="2" s="1"/>
  <c r="BR32" i="2"/>
  <c r="BS32" i="2" s="1"/>
  <c r="BR31" i="2"/>
  <c r="BS31" i="2" s="1"/>
  <c r="BN37" i="2"/>
  <c r="BR20" i="2"/>
  <c r="BS20" i="2" s="1"/>
  <c r="BR23" i="2"/>
  <c r="BS23" i="2" s="1"/>
  <c r="BR14" i="2"/>
  <c r="BS14" i="2" s="1"/>
  <c r="BR12" i="2"/>
  <c r="BS12" i="2" s="1"/>
  <c r="BR29" i="2"/>
  <c r="BS29" i="2" s="1"/>
  <c r="BN36" i="2"/>
  <c r="BR27" i="2"/>
  <c r="BS27" i="2" s="1"/>
  <c r="BR18" i="2"/>
  <c r="BS18" i="2" s="1"/>
  <c r="BR8" i="2"/>
  <c r="BS8" i="2" s="1"/>
  <c r="BR3" i="2"/>
  <c r="BS3" i="2" s="1"/>
  <c r="BR10" i="2"/>
  <c r="BS10" i="2" s="1"/>
  <c r="BR17" i="2"/>
  <c r="BS17" i="2" s="1"/>
  <c r="BR24" i="2"/>
  <c r="BS24" i="2" s="1"/>
  <c r="BR28" i="2"/>
  <c r="BS28" i="2" s="1"/>
  <c r="BR2" i="2"/>
  <c r="BR11" i="2"/>
  <c r="BS11" i="2" s="1"/>
  <c r="BO37" i="2"/>
  <c r="BR26" i="2"/>
  <c r="BS26" i="2" s="1"/>
  <c r="BR33" i="2"/>
  <c r="BS33" i="2" s="1"/>
  <c r="BR25" i="2"/>
  <c r="BS25" i="2" s="1"/>
  <c r="BR22" i="2"/>
  <c r="BS22" i="2" s="1"/>
  <c r="BR19" i="2"/>
  <c r="BS19" i="2" s="1"/>
  <c r="BR16" i="2"/>
  <c r="BS16" i="2" s="1"/>
  <c r="BR13" i="2"/>
  <c r="BS13" i="2" s="1"/>
  <c r="BR7" i="2"/>
  <c r="BS7" i="2" s="1"/>
  <c r="BR30" i="2"/>
  <c r="BS30" i="2" s="1"/>
  <c r="BR6" i="2"/>
  <c r="BS6" i="2" s="1"/>
  <c r="BR15" i="2"/>
  <c r="BS15" i="2" s="1"/>
  <c r="BL35" i="2"/>
  <c r="BL36" i="2"/>
  <c r="BL37" i="2"/>
  <c r="BM35" i="2"/>
  <c r="BM36" i="2"/>
  <c r="BM37" i="2"/>
  <c r="CK7" i="2"/>
  <c r="CL7" i="2" s="1"/>
  <c r="CK30" i="2"/>
  <c r="CL30" i="2" s="1"/>
  <c r="CK14" i="2"/>
  <c r="CL14" i="2" s="1"/>
  <c r="CK26" i="2"/>
  <c r="CL26" i="2" s="1"/>
  <c r="CK12" i="2"/>
  <c r="CL12" i="2" s="1"/>
  <c r="CK10" i="2"/>
  <c r="CL10" i="2" s="1"/>
  <c r="CK31" i="2"/>
  <c r="CL31" i="2" s="1"/>
  <c r="CK2" i="2"/>
  <c r="CL2" i="2" s="1"/>
  <c r="BV37" i="2"/>
  <c r="BZ9" i="2"/>
  <c r="BZ37" i="2" s="1"/>
  <c r="CK23" i="2"/>
  <c r="CL23" i="2" s="1"/>
  <c r="CK27" i="2"/>
  <c r="CL27" i="2" s="1"/>
  <c r="CK33" i="2"/>
  <c r="CL33" i="2" s="1"/>
  <c r="CK20" i="2"/>
  <c r="CL20" i="2" s="1"/>
  <c r="CK28" i="2"/>
  <c r="CL28" i="2" s="1"/>
  <c r="CK15" i="2"/>
  <c r="CL15" i="2" s="1"/>
  <c r="CK8" i="2"/>
  <c r="CL8" i="2" s="1"/>
  <c r="CK18" i="2"/>
  <c r="CL18" i="2" s="1"/>
  <c r="CK25" i="2"/>
  <c r="CL25" i="2" s="1"/>
  <c r="CK9" i="2"/>
  <c r="CL9" i="2" s="1"/>
  <c r="CK21" i="2"/>
  <c r="CL21" i="2" s="1"/>
  <c r="CK11" i="2"/>
  <c r="CL11" i="2" s="1"/>
  <c r="CK5" i="2"/>
  <c r="CL5" i="2" s="1"/>
  <c r="CK17" i="2"/>
  <c r="CL17" i="2" s="1"/>
  <c r="CK24" i="2"/>
  <c r="CL24" i="2" s="1"/>
  <c r="CK6" i="2"/>
  <c r="CL6" i="2" s="1"/>
  <c r="CK16" i="2"/>
  <c r="CL16" i="2" s="1"/>
  <c r="CK32" i="2"/>
  <c r="CL32" i="2" s="1"/>
  <c r="CK3" i="2"/>
  <c r="CL3" i="2" s="1"/>
  <c r="CK19" i="2"/>
  <c r="CL19" i="2" s="1"/>
  <c r="CK13" i="2"/>
  <c r="CL13" i="2" s="1"/>
  <c r="CK4" i="2"/>
  <c r="CL4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7" i="2"/>
  <c r="AK13" i="2"/>
  <c r="AK19" i="2"/>
  <c r="AK29" i="2"/>
  <c r="AK5" i="2"/>
  <c r="AK3" i="2"/>
  <c r="AK18" i="2"/>
  <c r="AK6" i="2"/>
  <c r="AK14" i="2"/>
  <c r="AK31" i="2"/>
  <c r="AK32" i="2"/>
  <c r="AK8" i="2"/>
  <c r="AK27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1" i="2"/>
  <c r="AV21" i="2" s="1"/>
  <c r="AQ4" i="2"/>
  <c r="AQ22" i="2"/>
  <c r="AR13" i="2"/>
  <c r="AV13" i="2" s="1"/>
  <c r="AQ11" i="2"/>
  <c r="AR20" i="2"/>
  <c r="AV20" i="2" s="1"/>
  <c r="AR29" i="2"/>
  <c r="AV29" i="2" s="1"/>
  <c r="AQ25" i="2"/>
  <c r="AQ16" i="2"/>
  <c r="AQ21" i="2"/>
  <c r="AR7" i="2"/>
  <c r="AV7" i="2" s="1"/>
  <c r="AQ6" i="2"/>
  <c r="AR4" i="2"/>
  <c r="AV4" i="2" s="1"/>
  <c r="AR31" i="2"/>
  <c r="AV31" i="2" s="1"/>
  <c r="AR25" i="2"/>
  <c r="AV25" i="2" s="1"/>
  <c r="AQ5" i="2"/>
  <c r="AR24" i="2"/>
  <c r="AV24" i="2" s="1"/>
  <c r="AR28" i="2"/>
  <c r="AQ33" i="2"/>
  <c r="AQ10" i="2"/>
  <c r="AR16" i="2"/>
  <c r="AV16" i="2" s="1"/>
  <c r="AR14" i="2"/>
  <c r="AV14" i="2" s="1"/>
  <c r="AQ2" i="2"/>
  <c r="AQ24" i="2"/>
  <c r="AQ26" i="2"/>
  <c r="AQ23" i="2"/>
  <c r="AQ8" i="2"/>
  <c r="AQ12" i="2"/>
  <c r="AQ27" i="2"/>
  <c r="AQ7" i="2"/>
  <c r="AQ14" i="2"/>
  <c r="AR15" i="2"/>
  <c r="AV15" i="2" s="1"/>
  <c r="AR32" i="2"/>
  <c r="AV32" i="2" s="1"/>
  <c r="AR19" i="2"/>
  <c r="AV19" i="2" s="1"/>
  <c r="AR27" i="2"/>
  <c r="AV27" i="2" s="1"/>
  <c r="AR30" i="2"/>
  <c r="AV30" i="2" s="1"/>
  <c r="AR22" i="2"/>
  <c r="AV22" i="2" s="1"/>
  <c r="AQ32" i="2"/>
  <c r="AQ19" i="2"/>
  <c r="AR6" i="2"/>
  <c r="AV6" i="2" s="1"/>
  <c r="AQ13" i="2"/>
  <c r="AQ15" i="2"/>
  <c r="AR2" i="2"/>
  <c r="AV2" i="2" s="1"/>
  <c r="AR8" i="2"/>
  <c r="AV8" i="2" s="1"/>
  <c r="AR26" i="2"/>
  <c r="AV26" i="2" s="1"/>
  <c r="AQ17" i="2"/>
  <c r="AR17" i="2"/>
  <c r="AV17" i="2" s="1"/>
  <c r="AR3" i="2"/>
  <c r="AV3" i="2" s="1"/>
  <c r="AR10" i="2"/>
  <c r="AV10" i="2" s="1"/>
  <c r="AQ28" i="2"/>
  <c r="BQ28" i="2" s="1"/>
  <c r="AQ18" i="2"/>
  <c r="AQ31" i="2"/>
  <c r="AR33" i="2"/>
  <c r="AV33" i="2" s="1"/>
  <c r="AR23" i="2"/>
  <c r="AV23" i="2" s="1"/>
  <c r="AQ30" i="2"/>
  <c r="AR18" i="2"/>
  <c r="AV18" i="2" s="1"/>
  <c r="AQ3" i="2"/>
  <c r="AR12" i="2"/>
  <c r="AV12" i="2" s="1"/>
  <c r="AR11" i="2"/>
  <c r="AV11" i="2" s="1"/>
  <c r="AQ20" i="2"/>
  <c r="AW28" i="2"/>
  <c r="AR9" i="2"/>
  <c r="AW33" i="2"/>
  <c r="AW11" i="2"/>
  <c r="AW4" i="2"/>
  <c r="AW19" i="2"/>
  <c r="AW23" i="2"/>
  <c r="AW14" i="2"/>
  <c r="AW25" i="2"/>
  <c r="AT22" i="2"/>
  <c r="AS14" i="2"/>
  <c r="AW22" i="2"/>
  <c r="AW13" i="2"/>
  <c r="AW7" i="2"/>
  <c r="AW24" i="2"/>
  <c r="AW31" i="2"/>
  <c r="AW3" i="2"/>
  <c r="AW32" i="2"/>
  <c r="AW18" i="2"/>
  <c r="AW12" i="2"/>
  <c r="AW6" i="2"/>
  <c r="AW21" i="2"/>
  <c r="AW5" i="2"/>
  <c r="AW16" i="2"/>
  <c r="AW17" i="2"/>
  <c r="AW29" i="2"/>
  <c r="CR18" i="2"/>
  <c r="CZ6" i="2"/>
  <c r="CY4" i="2"/>
  <c r="DA4" i="2" s="1"/>
  <c r="AS8" i="2"/>
  <c r="BP67" i="5"/>
  <c r="AT18" i="2"/>
  <c r="AT14" i="2"/>
  <c r="BK9" i="2"/>
  <c r="BK36" i="2" s="1"/>
  <c r="AT8" i="2"/>
  <c r="K9" i="2"/>
  <c r="E9" i="2"/>
  <c r="E35" i="2" s="1"/>
  <c r="AT30" i="2"/>
  <c r="AD9" i="2"/>
  <c r="AS18" i="2"/>
  <c r="AQ9" i="2"/>
  <c r="AT17" i="2"/>
  <c r="AT33" i="2"/>
  <c r="AT29" i="2"/>
  <c r="AS13" i="2"/>
  <c r="AT13" i="2"/>
  <c r="AS2" i="2"/>
  <c r="AT2" i="2"/>
  <c r="AS6" i="2"/>
  <c r="AT6" i="2"/>
  <c r="AS19" i="2"/>
  <c r="AT19" i="2"/>
  <c r="AS21" i="2"/>
  <c r="AT21" i="2"/>
  <c r="AS26" i="2"/>
  <c r="AT26" i="2"/>
  <c r="AS20" i="2"/>
  <c r="AT20" i="2"/>
  <c r="AT3" i="2"/>
  <c r="AT10" i="2"/>
  <c r="AS28" i="2"/>
  <c r="AT28" i="2"/>
  <c r="AS12" i="2"/>
  <c r="AT12" i="2"/>
  <c r="AS11" i="2"/>
  <c r="AT11" i="2"/>
  <c r="AS4" i="2"/>
  <c r="AT4" i="2"/>
  <c r="AT32" i="2"/>
  <c r="AS5" i="2"/>
  <c r="AT5" i="2"/>
  <c r="AT25" i="2"/>
  <c r="AS27" i="2"/>
  <c r="AT27" i="2"/>
  <c r="AS24" i="2"/>
  <c r="AT24" i="2"/>
  <c r="AS16" i="2"/>
  <c r="AT16" i="2"/>
  <c r="AS7" i="2"/>
  <c r="AT7" i="2"/>
  <c r="AS15" i="2"/>
  <c r="AT15" i="2"/>
  <c r="AT31" i="2"/>
  <c r="AS23" i="2"/>
  <c r="AT23" i="2"/>
  <c r="AS33" i="2"/>
  <c r="AS29" i="2"/>
  <c r="AS25" i="2"/>
  <c r="AS3" i="2"/>
  <c r="AS10" i="2"/>
  <c r="AS22" i="2"/>
  <c r="AS30" i="2"/>
  <c r="AS31" i="2"/>
  <c r="AS32" i="2"/>
  <c r="AS17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0" i="2" l="1"/>
  <c r="AM4" i="2"/>
  <c r="AN4" i="2"/>
  <c r="AM32" i="2"/>
  <c r="AN32" i="2"/>
  <c r="AM21" i="2"/>
  <c r="AN21" i="2"/>
  <c r="AM29" i="2"/>
  <c r="AN29" i="2"/>
  <c r="AM16" i="2"/>
  <c r="AN16" i="2"/>
  <c r="AM7" i="2"/>
  <c r="AN7" i="2"/>
  <c r="AM25" i="2"/>
  <c r="AN25" i="2"/>
  <c r="AM14" i="2"/>
  <c r="AN14" i="2"/>
  <c r="AM30" i="2"/>
  <c r="AN30" i="2"/>
  <c r="AM11" i="2"/>
  <c r="AN11" i="2"/>
  <c r="AM33" i="2"/>
  <c r="AN33" i="2"/>
  <c r="AM3" i="2"/>
  <c r="AN3" i="2"/>
  <c r="AM6" i="2"/>
  <c r="AN6" i="2"/>
  <c r="AM23" i="2"/>
  <c r="AN23" i="2"/>
  <c r="AM28" i="2"/>
  <c r="AN28" i="2"/>
  <c r="AM24" i="2"/>
  <c r="AN24" i="2"/>
  <c r="AM27" i="2"/>
  <c r="AN27" i="2"/>
  <c r="AM18" i="2"/>
  <c r="AN18" i="2"/>
  <c r="AM12" i="2"/>
  <c r="AN12" i="2"/>
  <c r="AM5" i="2"/>
  <c r="AN5" i="2"/>
  <c r="AM22" i="2"/>
  <c r="AN22" i="2"/>
  <c r="AM31" i="2"/>
  <c r="AN31" i="2"/>
  <c r="AM8" i="2"/>
  <c r="AN8" i="2"/>
  <c r="AM19" i="2"/>
  <c r="AN19" i="2"/>
  <c r="AM17" i="2"/>
  <c r="AN17" i="2"/>
  <c r="AM13" i="2"/>
  <c r="AN13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7" i="2"/>
  <c r="BQ17" i="2"/>
  <c r="AU14" i="2"/>
  <c r="BQ14" i="2"/>
  <c r="AU20" i="2"/>
  <c r="BQ20" i="2"/>
  <c r="AU27" i="2"/>
  <c r="BQ27" i="2"/>
  <c r="AU15" i="2"/>
  <c r="BQ15" i="2"/>
  <c r="AU8" i="2"/>
  <c r="BQ8" i="2"/>
  <c r="AU3" i="2"/>
  <c r="BQ3" i="2"/>
  <c r="AU13" i="2"/>
  <c r="BQ13" i="2"/>
  <c r="AU23" i="2"/>
  <c r="BQ23" i="2"/>
  <c r="AU21" i="2"/>
  <c r="BQ21" i="2"/>
  <c r="AU26" i="2"/>
  <c r="BQ26" i="2"/>
  <c r="AU16" i="2"/>
  <c r="BQ16" i="2"/>
  <c r="AU30" i="2"/>
  <c r="BQ30" i="2"/>
  <c r="AU19" i="2"/>
  <c r="BQ19" i="2"/>
  <c r="AU24" i="2"/>
  <c r="BQ24" i="2"/>
  <c r="AU25" i="2"/>
  <c r="BQ25" i="2"/>
  <c r="AU29" i="2"/>
  <c r="BQ29" i="2"/>
  <c r="AU2" i="2"/>
  <c r="BQ2" i="2"/>
  <c r="AU32" i="2"/>
  <c r="BQ32" i="2"/>
  <c r="AU6" i="2"/>
  <c r="BQ6" i="2"/>
  <c r="AU31" i="2"/>
  <c r="BQ31" i="2"/>
  <c r="AU11" i="2"/>
  <c r="BQ11" i="2"/>
  <c r="AU18" i="2"/>
  <c r="BQ18" i="2"/>
  <c r="AU10" i="2"/>
  <c r="BQ10" i="2"/>
  <c r="AU33" i="2"/>
  <c r="BQ33" i="2"/>
  <c r="AU22" i="2"/>
  <c r="BQ22" i="2"/>
  <c r="AU12" i="2"/>
  <c r="BQ12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<sst xmlns="http://schemas.openxmlformats.org/spreadsheetml/2006/main" count="6228" uniqueCount="767">
  <si>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</si>
  <si>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</si>
  <si>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</si>
  <si>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</si>
  <si>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</si>
  <si>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</si>
  <si>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</si>
  <si>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</si>
  <si>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</si>
  <si>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</si>
  <si>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</si>
  <si>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</si>
  <si>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</si>
  <si>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</si>
  <si>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</si>
  <si>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</si>
  <si>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</si>
  <si>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</si>
  <si>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</si>
  <si>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</si>
  <si>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</si>
  <si>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</si>
  <si>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</si>
  <si>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</si>
  <si>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</si>
  <si>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</si>
  <si>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</si>
  <si>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</si>
  <si>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</si>
  <si>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</si>
  <si>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</si>
  <si>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</si>
  <si>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</si>
  <si>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</si>
  <si>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</si>
  <si>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</si>
  <si>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</si>
  <si>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</si>
  <si>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</si>
  <si>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</si>
  <si>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</si>
  <si>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</si>
  <si>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</si>
  <si>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</si>
  <si>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</si>
  <si>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</si>
  <si>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</si>
  <si>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</si>
  <si>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</si>
  <si>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</si>
  <si>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</si>
  <si>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</si>
  <si>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</si>
  <si>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</si>
  <si>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</si>
  <si>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</si>
  <si>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</si>
  <si>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</si>
  <si>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</si>
  <si>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</si>
  <si>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</si>
  <si>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</si>
  <si>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</si>
  <si>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</si>
  <si>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</si>
  <si>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</si>
  <si>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</si>
  <si>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</si>
  <si>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</si>
  <si>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</si>
  <si>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</si>
  <si>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</si>
  <si>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</si>
  <si>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</si>
  <si>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</si>
  <si>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</si>
  <si>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</si>
  <si>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</si>
  <si>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</si>
  <si>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</si>
  <si>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</si>
  <si>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</si>
  <si>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</si>
  <si>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</si>
  <si>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</si>
  <si>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</si>
  <si>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</si>
  <si>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</si>
  <si>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</si>
  <si>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</si>
  <si>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</si>
  <si>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</si>
  <si>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</si>
  <si>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</si>
  <si>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</si>
  <si>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</si>
  <si>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</si>
  <si>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</si>
  <si>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</si>
  <si>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</si>
  <si>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</si>
  <si>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</si>
  <si>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</si>
  <si>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</si>
  <si>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</si>
  <si>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</si>
  <si>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</si>
  <si>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</si>
  <si>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</si>
  <si>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</si>
  <si>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</si>
  <si>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</si>
  <si>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</si>
  <si>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</si>
  <si>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</si>
  <si>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</si>
  <si>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</si>
  <si>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</si>
  <si>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</si>
  <si>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</si>
  <si>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</si>
  <si>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</si>
  <si>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</si>
  <si>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</si>
  <si>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</si>
  <si>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</si>
  <si>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</si>
  <si>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</si>
  <si>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</si>
  <si>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</si>
  <si>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</si>
  <si>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</si>
  <si>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</si>
  <si>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</si>
  <si>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</si>
  <si>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</si>
  <si>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</si>
  <si>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</si>
  <si>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</si>
  <si>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</si>
  <si>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</si>
  <si>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</si>
  <si>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</si>
  <si>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</si>
  <si>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</si>
  <si>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</si>
  <si>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</si>
  <si>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</si>
  <si>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</si>
  <si>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</si>
  <si>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</si>
  <si>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</si>
  <si>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</si>
  <si>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</si>
  <si>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</si>
  <si>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</si>
  <si>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</si>
  <si>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</si>
  <si>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</si>
  <si>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</si>
  <si>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</si>
  <si>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</si>
  <si>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</si>
  <si>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</si>
  <si>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</si>
  <si>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</si>
  <si>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</si>
  <si>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</si>
  <si>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</si>
  <si>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</si>
  <si>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</si>
  <si>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</si>
  <si>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</si>
  <si>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</si>
  <si>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</si>
  <si>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</si>
  <si>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</si>
  <si>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</si>
  <si>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</si>
  <si>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</si>
  <si>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</si>
  <si>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</si>
  <si>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</si>
  <si>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</si>
  <si>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</si>
  <si>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</si>
  <si>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</si>
  <si>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</si>
  <si>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</si>
  <si>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</si>
  <si>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</si>
  <si>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</si>
  <si>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</si>
  <si>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</si>
  <si>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</si>
  <si>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</si>
  <si>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</si>
  <si>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</si>
  <si>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</si>
  <si>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</si>
  <si>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</si>
  <si>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</si>
  <si>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</si>
  <si>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</si>
  <si>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</si>
  <si>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</si>
  <si>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</si>
  <si>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</si>
  <si>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</si>
  <si>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</si>
  <si>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</si>
  <si>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</si>
  <si>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</si>
  <si>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</si>
  <si>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</si>
  <si>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</si>
  <si>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</si>
  <si>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</si>
  <si>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</si>
  <si>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</si>
  <si>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</si>
  <si>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</si>
  <si>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</si>
  <si>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</si>
  <si>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</si>
  <si>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</si>
  <si>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</si>
  <si>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</si>
  <si>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</si>
  <si>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</si>
  <si>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</si>
  <si>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</si>
  <si>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</si>
  <si>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</si>
  <si>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</si>
  <si>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</si>
  <si>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</si>
  <si>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</si>
  <si>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</si>
  <si>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</si>
  <si>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</si>
  <si>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</si>
  <si>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</si>
  <si>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</si>
  <si>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</si>
  <si>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</si>
  <si>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</si>
  <si>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</si>
  <si>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</si>
  <si>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</si>
  <si>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</si>
  <si>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</si>
  <si>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</si>
  <si>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</si>
  <si>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</si>
  <si>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</si>
  <si>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</si>
  <si>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</si>
  <si>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</si>
  <si>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</si>
  <si>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</si>
  <si>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</si>
  <si>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</si>
  <si>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</si>
  <si>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</si>
  <si>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</si>
  <si>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</si>
  <si>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</si>
  <si>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</si>
  <si>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</si>
  <si>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</si>
  <si>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</si>
  <si>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</si>
  <si>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</si>
  <si>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</si>
  <si>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</si>
  <si>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</si>
  <si>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</si>
  <si>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</si>
  <si>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</si>
  <si>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</si>
  <si>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</si>
  <si>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</si>
  <si>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</si>
  <si>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</si>
  <si>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</si>
  <si>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</si>
  <si>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</si>
  <si>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</si>
  <si>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</si>
  <si>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</si>
  <si>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</si>
  <si>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</si>
  <si>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</si>
  <si>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</si>
  <si>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</si>
  <si>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</si>
  <si>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</si>
  <si>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</si>
  <si>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</si>
  <si>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</si>
  <si>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</si>
  <si>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</si>
  <si>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</si>
  <si>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</si>
  <si>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</si>
  <si>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</si>
  <si>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</si>
  <si>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</si>
  <si>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</si>
  <si>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</si>
  <si>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</si>
  <si>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</si>
  <si>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</si>
  <si>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</si>
  <si>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</si>
  <si>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</si>
  <si>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</si>
  <si>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</si>
  <si>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</si>
  <si>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</si>
  <si>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</si>
  <si>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</si>
  <si>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</si>
  <si>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</si>
  <si>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</si>
  <si>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</si>
  <si>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</si>
  <si>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</si>
  <si>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</si>
  <si>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</si>
  <si>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</si>
  <si>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</si>
  <si>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</si>
  <si>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</si>
  <si>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</si>
  <si>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</si>
  <si>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</si>
  <si>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</si>
  <si>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</si>
  <si>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</si>
  <si>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</si>
  <si>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</si>
  <si>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</si>
  <si>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</si>
  <si>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</si>
  <si>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</si>
  <si>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</si>
  <si>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</si>
  <si>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</si>
  <si>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</si>
  <si>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</si>
  <si>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</si>
  <si>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</si>
  <si>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</si>
  <si>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</si>
  <si>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</si>
  <si>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</si>
  <si>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</si>
  <si>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</si>
  <si>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</si>
  <si>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</si>
  <si>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</si>
  <si>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</si>
  <si>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</si>
  <si>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</si>
  <si>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</si>
  <si>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</si>
  <si>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</si>
  <si>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</si>
  <si>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</si>
  <si>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</si>
  <si>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</si>
  <si>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</si>
  <si>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</si>
  <si>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</si>
  <si>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</si>
  <si>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</si>
  <si>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</si>
  <si>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</si>
  <si>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</si>
  <si>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</si>
  <si>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</si>
  <si>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</si>
  <si>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</si>
  <si>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</si>
  <si>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</si>
  <si>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</si>
  <si>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</si>
  <si>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</si>
  <si>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</si>
  <si>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</si>
  <si>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</si>
  <si>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</si>
  <si>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</si>
  <si>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</si>
  <si>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</si>
  <si>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</si>
  <si>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</si>
  <si>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</si>
  <si>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</si>
  <si>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</si>
  <si>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</si>
  <si>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</si>
  <si>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</si>
  <si>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</si>
  <si>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</si>
  <si>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</si>
  <si>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</si>
  <si>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</si>
  <si>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</si>
  <si>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</si>
  <si>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</si>
  <si>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</si>
  <si>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</si>
  <si>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</si>
  <si>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</si>
  <si>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</si>
  <si>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</si>
  <si>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</si>
  <si>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</si>
  <si>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</si>
  <si>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</si>
  <si>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</si>
  <si>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</si>
  <si>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</si>
  <si>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</si>
  <si>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</si>
  <si>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</si>
  <si>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</si>
  <si>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</si>
  <si>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</si>
  <si>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</si>
  <si>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</si>
  <si>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</si>
  <si>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</si>
  <si>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</si>
  <si>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</si>
  <si>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</si>
  <si>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</si>
  <si>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</si>
  <si>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</si>
  <si>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</si>
  <si>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</si>
  <si>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</si>
  <si>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</si>
  <si>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</si>
  <si>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</si>
  <si>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</si>
  <si>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</si>
  <si>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</si>
  <si>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</si>
  <si>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</si>
  <si>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</si>
  <si>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</si>
  <si>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</si>
  <si>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</si>
  <si>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</si>
  <si>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</si>
  <si>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</si>
  <si>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</si>
  <si>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</si>
  <si>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</si>
  <si>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</si>
  <si>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</si>
  <si>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</si>
  <si>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</si>
  <si>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</si>
  <si>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</si>
  <si>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</si>
  <si>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</si>
  <si>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</si>
  <si>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</si>
  <si>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</si>
  <si>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</si>
  <si>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</si>
  <si>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</si>
  <si>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</si>
  <si>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</si>
  <si>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</si>
  <si>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</si>
  <si>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</si>
  <si>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</si>
  <si>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</si>
  <si>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</si>
  <si>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</si>
  <si>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</si>
  <si>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</si>
  <si>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</si>
  <si>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</si>
  <si>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</si>
  <si>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</si>
  <si>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</si>
  <si>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</si>
  <si>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</si>
  <si>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</si>
  <si>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</si>
  <si>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</si>
  <si>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</si>
  <si>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</si>
  <si>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</si>
  <si>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</si>
  <si>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</si>
  <si>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</si>
  <si>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</si>
  <si>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</si>
  <si>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</si>
  <si>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</si>
  <si>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</si>
  <si>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</si>
  <si>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</si>
  <si>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</si>
  <si>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</si>
  <si>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</si>
  <si>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</si>
  <si>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</si>
  <si>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</si>
  <si>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</si>
  <si>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</si>
  <si>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</si>
  <si>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</si>
  <si>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</si>
  <si>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</si>
  <si>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</si>
  <si>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</si>
  <si>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</si>
  <si>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</si>
  <si>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</si>
  <si>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</si>
  <si>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</si>
  <si>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</si>
  <si>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</si>
  <si>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</si>
  <si>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</si>
  <si>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</si>
  <si>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</si>
  <si>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</si>
  <si>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</si>
  <si>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</si>
  <si>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</si>
  <si>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</si>
  <si>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</si>
  <si>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</si>
  <si>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</si>
  <si>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</si>
  <si>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</si>
  <si>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</si>
  <si>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</si>
  <si>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</si>
  <si>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</si>
  <si>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</si>
  <si>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</si>
  <si>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</si>
  <si>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</si>
  <si>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</si>
  <si>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</si>
  <si>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</si>
  <si>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</si>
  <si>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</si>
  <si>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</si>
  <si>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</si>
  <si>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</si>
  <si>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</si>
  <si>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</si>
  <si>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</si>
  <si>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</si>
  <si>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</si>
  <si>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</si>
  <si>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</si>
  <si>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</si>
  <si>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</si>
  <si>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</si>
  <si>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</si>
  <si>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</si>
  <si>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</si>
  <si>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</si>
  <si>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</si>
  <si>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</si>
  <si>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</si>
  <si>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</si>
  <si>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</si>
  <si>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</si>
  <si>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</si>
  <si>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</si>
  <si>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</si>
  <si>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</si>
  <si>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</si>
  <si>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</si>
  <si>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</si>
  <si>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</si>
  <si>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</si>
  <si>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</si>
  <si>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</si>
  <si>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</si>
  <si>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</si>
  <si>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</si>
  <si>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</si>
  <si>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</si>
  <si>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</si>
  <si>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</si>
  <si>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</si>
  <si>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</si>
  <si>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</si>
  <si>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</si>
  <si>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</si>
  <si>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</si>
  <si>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</si>
  <si>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</si>
  <si>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</si>
  <si>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</si>
  <si>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</si>
  <si>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</si>
  <si>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</si>
  <si>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</si>
  <si>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</si>
  <si>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</si>
  <si>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</si>
  <si>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</si>
  <si>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</si>
  <si>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</si>
  <si>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</si>
  <si>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</si>
  <si>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</si>
  <si>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</si>
  <si>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</si>
  <si>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</si>
  <si>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</si>
  <si>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</si>
  <si>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</si>
  <si>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</si>
  <si>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</si>
  <si>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</si>
  <si>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</si>
  <si>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</si>
  <si>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</si>
  <si>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</si>
  <si>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</si>
  <si>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</si>
  <si>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</si>
  <si>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</si>
  <si>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</si>
  <si>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</si>
  <si>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</si>
  <si>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</si>
  <si>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</si>
  <si>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</si>
  <si>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</si>
  <si>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</si>
  <si>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</si>
  <si>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</si>
  <si>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</si>
  <si>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</si>
  <si>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</si>
  <si>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</si>
  <si>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</si>
  <si>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</si>
  <si>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</si>
  <si>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</si>
  <si>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</si>
  <si>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</si>
  <si>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</si>
  <si>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</si>
  <si>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</si>
  <si>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</si>
  <si>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</si>
  <si>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</si>
  <si>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</si>
  <si>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</si>
  <si>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</si>
  <si>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</si>
  <si>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</si>
  <si>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</si>
  <si>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</si>
  <si>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</si>
  <si>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</si>
  <si>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</si>
  <si>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</si>
  <si>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</si>
  <si>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</si>
  <si>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</si>
  <si>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</si>
  <si>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</si>
  <si>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</si>
  <si>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</si>
  <si>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</si>
  <si>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</si>
  <si>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</si>
  <si>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</si>
  <si>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</si>
  <si>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</si>
  <si>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</si>
  <si>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</si>
  <si>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</si>
  <si>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</si>
  <si>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</si>
  <si>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</si>
  <si>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</si>
  <si>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</si>
  <si>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</si>
  <si>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</si>
  <si>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</si>
  <si>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</si>
  <si>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</si>
  <si>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</si>
  <si>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</si>
  <si>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</si>
  <si>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</si>
  <si>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</si>
  <si>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</si>
  <si>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</si>
  <si>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</si>
  <si>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</si>
  <si>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</si>
  <si>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</si>
  <si>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</si>
  <si>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</si>
  <si>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</si>
  <si>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</si>
  <si>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</si>
  <si>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</si>
  <si>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</si>
  <si>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</si>
  <si>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</si>
  <si>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</si>
  <si>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</si>
  <si>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</si>
  <si>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</si>
  <si>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</si>
  <si>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</si>
  <si>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</si>
  <si>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</si>
  <si>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</si>
  <si>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</si>
  <si>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</si>
  <si>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</si>
  <si>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</si>
  <si>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</si>
  <si>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</si>
  <si>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</si>
  <si>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</si>
  <si>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</si>
  <si>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</si>
  <si>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</si>
  <si>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</si>
  <si>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</si>
  <si>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</si>
  <si>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</si>
  <si>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</si>
  <si>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</si>
  <si>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</si>
  <si>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</si>
  <si>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</si>
  <si>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</si>
  <si>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</si>
  <si>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</si>
  <si>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</si>
  <si>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</si>
  <si>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</si>
  <si>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</si>
  <si>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</si>
  <si>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</si>
  <si>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</si>
  <si>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</si>
  <si>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</si>
  <si>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</si>
  <si>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</si>
  <si>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>PaySearchTeam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</si>
</sst>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9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NumberFormat="1" applyBorder="1" applyAlignment="1">
      <alignment horizontal="center"/>
    </xf>
  </cellXfs>
  <cellStyles count="2">
    <cellStyle name="Normal" xfId="0" builtinId="0"/>
    <cellStyle name="Output" xfId="1" builtinId="21"/>
  </cellStyles>
  <dxfs count="943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2</c:v>
                </c:pt>
                <c:pt idx="515">
                  <c:v>1</c:v>
                </c:pt>
                <c:pt idx="516">
                  <c:v>2</c:v>
                </c:pt>
                <c:pt idx="517">
                  <c:v>1</c:v>
                </c:pt>
                <c:pt idx="518">
                  <c:v>-1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-3</c:v>
                </c:pt>
                <c:pt idx="516">
                  <c:v>0</c:v>
                </c:pt>
                <c:pt idx="517">
                  <c:v>-1</c:v>
                </c:pt>
                <c:pt idx="518">
                  <c:v>1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-3</c:v>
                </c:pt>
                <c:pt idx="515">
                  <c:v>-3</c:v>
                </c:pt>
                <c:pt idx="516">
                  <c:v>-3</c:v>
                </c:pt>
                <c:pt idx="517">
                  <c:v>-3</c:v>
                </c:pt>
                <c:pt idx="518">
                  <c:v>-3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DataRegularSeason20242025!$BU$5:$BU$15</c:f>
              <c:numCache>
                <c:formatCode>General</c:formatCode>
                <c:ptCount val="11"/>
                <c:pt idx="0">
                  <c:v>0.18532818532818532</c:v>
                </c:pt>
                <c:pt idx="1">
                  <c:v>0.38416988416988418</c:v>
                </c:pt>
                <c:pt idx="2">
                  <c:v>0.22586872586872586</c:v>
                </c:pt>
                <c:pt idx="3">
                  <c:v>0.14285714285714285</c:v>
                </c:pt>
                <c:pt idx="4">
                  <c:v>4.8262548262548263E-2</c:v>
                </c:pt>
                <c:pt idx="5">
                  <c:v>7.7220077220077222E-3</c:v>
                </c:pt>
                <c:pt idx="6">
                  <c:v>7.7220077220077222E-3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DataRegularSeason20242025!$BW$5:$BW$15</c:f>
              <c:numCache>
                <c:formatCode>General</c:formatCode>
                <c:ptCount val="11"/>
                <c:pt idx="0">
                  <c:v>0.17567567567567569</c:v>
                </c:pt>
                <c:pt idx="1">
                  <c:v>0.35521235521235522</c:v>
                </c:pt>
                <c:pt idx="2">
                  <c:v>0.26447876447876451</c:v>
                </c:pt>
                <c:pt idx="3">
                  <c:v>0.13513513513513514</c:v>
                </c:pt>
                <c:pt idx="4">
                  <c:v>6.1776061776061778E-2</c:v>
                </c:pt>
                <c:pt idx="5">
                  <c:v>5.7915057915057912E-3</c:v>
                </c:pt>
                <c:pt idx="6">
                  <c:v>3.8610038610038611E-3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DataRegularSeason20242025!$BY$5:$BY$15</c:f>
              <c:numCache>
                <c:formatCode>General</c:formatCode>
                <c:ptCount val="11"/>
                <c:pt idx="0">
                  <c:v>0.1805019305019305</c:v>
                </c:pt>
                <c:pt idx="1">
                  <c:v>0.36969111969111967</c:v>
                </c:pt>
                <c:pt idx="2">
                  <c:v>0.24517374517374518</c:v>
                </c:pt>
                <c:pt idx="3">
                  <c:v>0.138996138996139</c:v>
                </c:pt>
                <c:pt idx="4">
                  <c:v>5.501930501930502E-2</c:v>
                </c:pt>
                <c:pt idx="5">
                  <c:v>6.7567567567567571E-3</c:v>
                </c:pt>
                <c:pt idx="6">
                  <c:v>5.7915057915057912E-3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142502</xdr:colOff>
      <xdr:row>95</xdr:row>
      <xdr:rowOff>13289</xdr:rowOff>
    </xdr:from>
    <xdr:to>
      <xdr:col>163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154288</xdr:colOff>
      <xdr:row>121</xdr:row>
      <xdr:rowOff>142492</xdr:rowOff>
    </xdr:from>
    <xdr:to>
      <xdr:col>163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70</xdr:col>
      <xdr:colOff>33337</xdr:colOff>
      <xdr:row>17</xdr:row>
      <xdr:rowOff>4762</xdr:rowOff>
    </xdr:from>
    <xdr:to>
      <xdr:col>80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W1314" headerRowDxfId="942" dataDxfId="940" headerRowBorderDxfId="941">
  <autoFilter ref="A2:AW1314" xr:uid="{5B054025-4CD5-437B-A2B1-4953810278F9}"/>
  <tableColumns count="49">
    <tableColumn id="1" xr3:uid="{4F0EF3E3-5ED2-413B-9486-9498BEF02C85}" name=" PredictionDate" totalsRowLabel="Total" dataDxfId="939" totalsRowDxfId="938"/>
    <tableColumn id="2" xr3:uid="{39F623AD-0A71-404E-ACB2-FF5C232C4B60}" name="GameDate" dataDxfId="937"/>
    <tableColumn id="3" xr3:uid="{F9CBDD2B-6977-478D-B9B1-48132BC29B8D}" name="GameID" dataDxfId="936" totalsRowDxfId="935"/>
    <tableColumn id="4" xr3:uid="{2B6D103E-CF04-4221-A032-6566D087A240}" name="AwayTeam" totalsRowFunction="count" dataDxfId="934" totalsRowDxfId="933"/>
    <tableColumn id="5" xr3:uid="{E9B83039-5C7E-45B4-A5F1-F54DF85D8DB5}" name="HomeTeam" totalsRowFunction="count" dataDxfId="932" totalsRowDxfId="931"/>
    <tableColumn id="6" xr3:uid="{CA60FB2E-C878-4F57-9486-8FFAB21268D1}" name="PredictedAwayScore" totalsRowFunction="count" dataDxfId="930" totalsRowDxfId="929"/>
    <tableColumn id="7" xr3:uid="{BDE84EDC-079B-4057-84F6-42C28780CF56}" name="PredictedHomeScore" totalsRowFunction="count" dataDxfId="928" totalsRowDxfId="927"/>
    <tableColumn id="8" xr3:uid="{AB1145B6-73D2-4952-891E-2532100229DC}" name="PredictedWinner" totalsRowFunction="count" dataDxfId="926" totalsRowDxfId="925"/>
    <tableColumn id="9" xr3:uid="{0FDA5C85-1339-41A1-AEB6-455F4E077F46}" name="PredictedResult" totalsRowFunction="count" dataDxfId="924" totalsRowDxfId="923"/>
    <tableColumn id="10" xr3:uid="{6C6A6DF0-F9AE-4DAF-8957-8621DF7520A2}" name="ActualAwayScore" totalsRowFunction="count" dataDxfId="922"/>
    <tableColumn id="11" xr3:uid="{B8B678E5-1823-43AE-95CC-BEE79D908CEE}" name="ActualHomeScore" totalsRowFunction="count" dataDxfId="921" totalsRowDxfId="920"/>
    <tableColumn id="12" xr3:uid="{C650F2F7-7978-49EE-8737-DCE1A6311E23}" name="ActualWinner" totalsRowFunction="count" dataDxfId="919" totalsRowDxfId="918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7" totalsRowDxfId="916"/>
    <tableColumn id="17" xr3:uid="{239B68C2-07A2-4506-9EC8-00E52DD7178A}" name="GameIsOver" totalsRowFunction="count" dataDxfId="915" totalsRowDxfId="914">
      <calculatedColumnFormula>IF(ISBLANK(Table2[[#This Row],[ActualResult]]), 0, 1)</calculatedColumnFormula>
    </tableColumn>
    <tableColumn id="14" xr3:uid="{C40BC093-C7BF-4F78-9D28-E8E87FFCAD46}" name="CorrectWinnerPrediction" totalsRowFunction="count" dataDxfId="913" totalsRowDxfId="912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11" totalsRowDxfId="910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9" totalsRowDxfId="908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7" totalsRowDxfId="906"/>
    <tableColumn id="19" xr3:uid="{665B4234-0C9B-451F-996C-0671FAEA8ED7}" name="LosingTeam" totalsRowFunction="count" dataDxfId="905" totalsRowDxfId="904">
      <calculatedColumnFormula>IF($L3="_", "_", IF($L3=$D3,$E3,$D3))</calculatedColumnFormula>
    </tableColumn>
    <tableColumn id="20" xr3:uid="{44E37CA6-669F-47CA-95D2-B831EB8B3628}" name="InterConf" totalsRowFunction="count" dataDxfId="903" totalsRowDxfId="902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901" totalsRowDxfId="900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9" totalsRowDxfId="898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7" totalsRowDxfId="896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5" totalsRowDxfId="894"/>
    <tableColumn id="25" xr3:uid="{5D6968E6-45CE-4B45-818F-1A4B201A39D4}" name="PostGameNotes" totalsRowFunction="count" dataDxfId="893" totalsRowDxfId="892"/>
    <tableColumn id="26" xr3:uid="{4CC012EB-DB6C-4853-A5B9-75650FDCD78B}" name="GameHasShutOut" dataDxfId="891" totalsRowDxfId="890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9" totalsRowDxfId="888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7" totalsRowDxfId="886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5" totalsRowDxfId="884">
      <calculatedColumnFormula>(($BG$11)*IF(Table2[[#This Row],[CorrectWinnerPrediction]]="Y", 1, 0))+(($BG$12)*IF(Table2[[#This Row],[CorrectAwayScorePrediction]]="Y", 1, 0))+(($BG$13)*IF(Table2[[#This Row],[CorrectHomeScorePrediction]]="Y", 1, 0))</calculatedColumnFormula>
    </tableColumn>
    <tableColumn id="31" xr3:uid="{4B765D38-7690-40FC-AA0D-1B437759BB0B}" name="GamePredictionScore2" dataDxfId="883" totalsRowDxfId="882">
      <calculatedColumnFormula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81" totalsRowDxfId="880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9" totalsRowDxfId="878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7" totalsRowDxfId="876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5" totalsRowDxfId="874">
      <calculatedColumnFormula>SUMIF($B$3:$B$1315, $B3, $AF$3:$AF$1315)</calculatedColumnFormula>
    </tableColumn>
    <tableColumn id="35" xr3:uid="{438B3C73-5C9F-4061-9177-ADA21EB41F1F}" name="PredictedHomeScorePlusMinusByDate" dataDxfId="873" totalsRowDxfId="872">
      <calculatedColumnFormula>SUMIF($B$3:$B$1315, $B3, $AG$3:$AG$1315)</calculatedColumnFormula>
    </tableColumn>
    <tableColumn id="36" xr3:uid="{4D822B59-35DC-4091-9231-8369AB949EE5}" name="WatchOrder" dataDxfId="871" totalsRowDxfId="870"/>
    <tableColumn id="37" xr3:uid="{B77EE501-1744-4AD0-B258-0585548DBA89}" name="WatchDate" dataDxfId="869" totalsRowDxfId="868"/>
    <tableColumn id="38" xr3:uid="{6E91C3FB-94AE-4E5D-952D-6DEEE0AE52C5}" name="AwayWon" dataDxfId="867" totalsRowDxfId="866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5" totalsRowDxfId="864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3" totalsRowDxfId="862">
      <calculatedColumnFormula>IF(IFERROR(FIND(Table2[[#This Row],[AwayTeam]], UPPER(_xlfn.TEXTJOIN(";", 1, $BE$31:$BE$40))), 0) &gt; 0, 1, 0) + IF(IFERROR(FIND(Table2[[#This Row],[HomeTeam]], UPPER(_xlfn.TEXTJOIN(";", 1, $BE$31:$BE$40))), 0) &gt; 0, 1, 0)</calculatedColumnFormula>
    </tableColumn>
    <tableColumn id="41" xr3:uid="{C0D8E96D-C185-4F49-8512-18CC8A612DB7}" name="AwayVsHomeRecord" dataDxfId="861" totalsRowDxfId="860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9" totalsRowDxfId="858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7" totalsRowDxfId="856">
      <calculatedColumnFormula>IF(Table2[[#This Row],[GameHasShutOut]], 1, 0)</calculatedColumnFormula>
    </tableColumn>
    <tableColumn id="46" xr3:uid="{BBFBDF87-36DE-484F-86A2-55ABF6AE31FC}" name="THG_80sGame" dataDxfId="855" totalsRowDxfId="854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3" totalsRowDxfId="852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51" totalsRowDxfId="850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9" totalsRowDxfId="848">
      <calculatedColumnFormula>IF(IFERROR(FIND(Table2[[#This Row],[AwayTeam]], UPPER(_xlfn.TEXTJOIN(";", 1, $BH$47:$BH$52))), 0) &gt; 0, 1, 0) + IF(IFERROR(FIND(Table2[[#This Row],[HomeTeam]], UPPER(_xlfn.TEXTJOIN(";", 1, $BE$31:$BE$40))), 0) &gt; 0, 1, 0)</calculatedColumnFormula>
    </tableColumn>
    <tableColumn id="48" xr3:uid="{BDBA9500-1B08-4C78-A627-8692B4F09A7E}" name="CanadianTeamPlays" dataDxfId="847" totalsRowDxfId="846">
      <calculatedColumnFormula>IF(IFERROR(FIND(Table2[[#This Row],[AwayTeam]], UPPER(_xlfn.TEXTJOIN(";", 1, $BI$47:$BI$53))), 0) &gt; 0, 1, 0) + IF(IFERROR(FIND(Table2[[#This Row],[HomeTeam]], UPPER(_xlfn.TEXTJOIN(";", 1, $BE$31:$BE$40))), 0) &gt; 0, 1, 0)</calculatedColumnFormula>
    </tableColumn>
    <tableColumn id="49" xr3:uid="{56CEEC66-4A93-4397-AAD5-4397FBADBA1E}" name="PaySearchTeam" dataDxfId="0" totalsRowDxfId="1">
      <calculatedColumnFormula xml:space="preserve"> (UPPER(TRIM(Table2[[#This Row],[AwayTeam]]))=UPPER(TRIM(StatsRegularSeason20242025!$CV$30))) + (UPPER(TRIM(Table2[[#This Row],[HomeTeam]]))=UPPER(TRIM(StatsRegularSeason20242025!$CV$30)))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5" dataDxfId="844">
  <autoFilter ref="A1:AG273" xr:uid="{74EEDFCB-ED7A-4BB1-A2EE-67F4F56372D2}"/>
  <tableColumns count="33">
    <tableColumn id="1" xr3:uid="{A49AAD1C-7D7D-45B8-A139-0779BA31A77E}" name="Date" dataDxfId="843"/>
    <tableColumn id="2" xr3:uid="{730CD6D2-246F-432B-8EEB-0203EE317A26}" name="ANA" dataDxfId="842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41"/>
    <tableColumn id="4" xr3:uid="{87F00FE4-13FE-4967-9AA3-C167D9305BF9}" name="BUF" dataDxfId="840"/>
    <tableColumn id="5" xr3:uid="{E4871159-5731-4550-8344-84BE83ED01F0}" name="CAR" dataDxfId="839"/>
    <tableColumn id="6" xr3:uid="{5725D175-4124-4B24-993F-7A6EFE1491AC}" name="CBJ" dataDxfId="838"/>
    <tableColumn id="7" xr3:uid="{C13EFE5D-116B-45F1-A9D9-40B119CB0AD5}" name="CGY" dataDxfId="837"/>
    <tableColumn id="8" xr3:uid="{64E13E1C-E642-404F-86A4-5519B5259476}" name="CHI" dataDxfId="836"/>
    <tableColumn id="9" xr3:uid="{36E64709-D15B-46B3-A7DE-B98D6486B271}" name="COL" dataDxfId="835"/>
    <tableColumn id="10" xr3:uid="{1CD1FEAC-B353-4165-A857-F8E64B61D6BA}" name="DAL" dataDxfId="834"/>
    <tableColumn id="11" xr3:uid="{23CC1A05-CF3C-41D9-ADFE-F115BEFC985F}" name="DET" dataDxfId="833"/>
    <tableColumn id="12" xr3:uid="{1C5CEC72-E9F1-43F8-A2AB-965A58C697FF}" name="EDM" dataDxfId="832"/>
    <tableColumn id="13" xr3:uid="{CC6E7C18-A903-499F-B324-61FD69F457D3}" name="FLA" dataDxfId="831"/>
    <tableColumn id="14" xr3:uid="{EA30EDB7-6072-42F9-B2C0-5015D88CD405}" name="LAK" dataDxfId="830"/>
    <tableColumn id="15" xr3:uid="{43F59676-0F92-4F04-B89B-D52DE8300412}" name="MIN" dataDxfId="829"/>
    <tableColumn id="16" xr3:uid="{74052D50-F767-4835-96C3-D812137B6B78}" name="MTL" dataDxfId="828"/>
    <tableColumn id="17" xr3:uid="{090B024D-8AC7-4C1B-9B31-4454C3F37CB3}" name="NJD" dataDxfId="827"/>
    <tableColumn id="18" xr3:uid="{526C0944-F465-462A-8ECA-BF074D7EB1DE}" name="NSH" dataDxfId="826"/>
    <tableColumn id="19" xr3:uid="{7C20E30B-1AA1-48BD-A65C-DE528BA72FE6}" name="NYI" dataDxfId="825"/>
    <tableColumn id="20" xr3:uid="{27A2F177-CC7A-4B19-977F-CEA1C51D6C0E}" name="NYR" dataDxfId="824"/>
    <tableColumn id="21" xr3:uid="{073FE83E-0AF1-44C3-AE3C-5BD26992F7D5}" name="OTT" dataDxfId="823"/>
    <tableColumn id="22" xr3:uid="{6370A811-7903-4DD2-9DE8-8D7B816BE146}" name="PHI" dataDxfId="822"/>
    <tableColumn id="23" xr3:uid="{37BEE05D-28D8-4538-8285-29B64599DD4E}" name="PIT" dataDxfId="821"/>
    <tableColumn id="24" xr3:uid="{132755F5-4605-4136-9380-5C1921B33212}" name="SEA" dataDxfId="820"/>
    <tableColumn id="25" xr3:uid="{0468EE05-8CDF-4319-BE9D-D89F14C8E183}" name="SJS" dataDxfId="819"/>
    <tableColumn id="26" xr3:uid="{C0A1252B-B678-413D-B72A-E409CAA4D568}" name="STL" dataDxfId="818"/>
    <tableColumn id="27" xr3:uid="{2FCCA5C4-ADEA-43B2-980E-C95A408B8B92}" name="TBL" dataDxfId="817"/>
    <tableColumn id="28" xr3:uid="{399BA29B-CDF9-4FB4-9C8F-90EF3231D634}" name="TOR" dataDxfId="816"/>
    <tableColumn id="29" xr3:uid="{3FD60A86-C15C-4F59-96BA-7D808B5C7AF7}" name="UTA" dataDxfId="815"/>
    <tableColumn id="30" xr3:uid="{E95E1BF9-F880-45B8-BABE-2E3FFD2EB59F}" name="VAN" dataDxfId="814"/>
    <tableColumn id="31" xr3:uid="{14971F10-0533-4026-A0C3-1CD757193D21}" name="VGK" dataDxfId="813"/>
    <tableColumn id="32" xr3:uid="{78F9574A-44B1-4063-8869-88AD0333E712}" name="WPG" dataDxfId="812"/>
    <tableColumn id="33" xr3:uid="{E013F70D-43E1-4AE8-99B8-77027202A8A5}" name="WSH" dataDxfId="8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10" dataDxfId="809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8"/>
    <tableColumn id="274" xr3:uid="{010ED52E-0419-4863-94F8-9AF3356A2738}" name="Conf" dataDxfId="807"/>
    <tableColumn id="275" xr3:uid="{72531E18-55CF-4588-B22F-9093ECF8BF1A}" name="Div" dataDxfId="806"/>
    <tableColumn id="2" xr3:uid="{BD7886D5-3240-48F9-AD10-972D3E8FE85B}" name="2025-10-03" totalsRowFunction="average" dataDxfId="805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4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3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2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801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800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9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8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7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6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5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4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3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2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91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90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9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8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7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6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5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4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3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2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81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80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9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8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7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6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5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4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3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2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71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70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9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8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7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6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5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4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3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2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61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60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9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8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7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6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5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4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3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2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51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50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9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8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7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6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5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4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3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2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41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40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9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8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7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6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5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4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3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2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31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30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9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8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7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6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5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4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3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2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21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20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9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8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7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6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5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4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3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2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11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10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9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8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7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6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5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4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3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2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701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700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9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8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7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6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5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4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3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2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91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90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9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8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7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6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5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4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3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2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81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80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9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8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7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6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5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4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3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2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71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70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9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8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7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6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5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4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3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2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61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60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9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8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7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6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5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4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3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2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51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50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9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8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7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6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5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4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3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2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41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40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9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8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7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6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5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4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3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2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31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30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9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8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7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6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5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4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3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2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21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20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9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8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7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6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5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4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3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2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11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10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9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8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7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6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5"/>
    <tableColumn id="203" xr3:uid="{EF04B5B5-9142-4C44-8A69-7BDEC74C0F2F}" name="2025-04-22" dataDxfId="604"/>
    <tableColumn id="204" xr3:uid="{82B364E6-C40F-4EA4-B27D-9C321844B44D}" name="2025-04-23" dataDxfId="603"/>
    <tableColumn id="205" xr3:uid="{A3EE5B43-B6BC-40EA-85FF-398957E3EC07}" name="2025-04-24" dataDxfId="602"/>
    <tableColumn id="206" xr3:uid="{8772AE8A-933D-46C1-B9C1-60B6C8185E8A}" name="2025-04-25" dataDxfId="601"/>
    <tableColumn id="207" xr3:uid="{484C07C8-EBA2-453D-B583-F930911565C0}" name="2025-04-26" dataDxfId="600"/>
    <tableColumn id="208" xr3:uid="{B52D8603-B5B2-488C-A433-34FD2A683C6B}" name="2025-04-27" dataDxfId="599"/>
    <tableColumn id="209" xr3:uid="{169BF9D8-EE52-429B-B28E-9B5C27822A41}" name="2025-04-28" dataDxfId="598"/>
    <tableColumn id="210" xr3:uid="{84174DF3-C71A-4E90-8847-B6C7B782A654}" name="2025-04-29" dataDxfId="597"/>
    <tableColumn id="211" xr3:uid="{206EDDC5-46BB-4D3A-9BE0-E0197053913D}" name="2025-04-30" dataDxfId="596"/>
    <tableColumn id="212" xr3:uid="{366CA1C4-A2DF-4B3E-A696-C1F3BBAD987A}" name="2025-05-01" dataDxfId="595"/>
    <tableColumn id="213" xr3:uid="{77111EA0-AC60-4806-8C9E-118542B3A239}" name="2025-05-02" dataDxfId="594"/>
    <tableColumn id="214" xr3:uid="{5F31DB5D-F68F-497F-A3C0-14D09C735B50}" name="2025-05-03" dataDxfId="593"/>
    <tableColumn id="215" xr3:uid="{053478A4-6AB5-46FA-AB15-755FCEDA366B}" name="2025-05-04" dataDxfId="592"/>
    <tableColumn id="216" xr3:uid="{E63F8AFE-33C8-44CE-ABD5-87AFA2B2DEE5}" name="2025-05-05" dataDxfId="591"/>
    <tableColumn id="217" xr3:uid="{0F704A9A-705A-4A63-A5CB-2E2030610C2C}" name="2025-05-06" dataDxfId="590"/>
    <tableColumn id="218" xr3:uid="{5C606A6D-1C96-4494-A223-4347F237E33C}" name="2025-05-07" dataDxfId="589"/>
    <tableColumn id="219" xr3:uid="{28C842CB-95E9-41FC-9A54-6285101CA2E4}" name="2025-05-08" dataDxfId="588"/>
    <tableColumn id="220" xr3:uid="{A5ED12A3-494D-4396-97B2-620410EAB47C}" name="2025-05-09" dataDxfId="587"/>
    <tableColumn id="221" xr3:uid="{0A5ABB48-A153-4B93-9AF3-A6C216F7B6FC}" name="2025-05-10" dataDxfId="586"/>
    <tableColumn id="222" xr3:uid="{0405F07C-691E-4156-B1AB-789FB58D118D}" name="2025-05-11" dataDxfId="585"/>
    <tableColumn id="223" xr3:uid="{246E8105-028E-4D2B-A83D-CB77EA9C86B5}" name="2025-05-12" dataDxfId="584"/>
    <tableColumn id="224" xr3:uid="{D81920D6-A5AC-4A82-B2FA-98E67E362CE3}" name="2025-05-13" dataDxfId="583"/>
    <tableColumn id="225" xr3:uid="{CC727698-0496-467C-971F-D75A82A7EBDF}" name="2025-05-14" dataDxfId="582"/>
    <tableColumn id="226" xr3:uid="{339361FD-67CC-4E23-9ACB-B74553C52593}" name="2025-05-15" dataDxfId="581"/>
    <tableColumn id="227" xr3:uid="{4DE55659-72B2-4210-9353-7D9C4CCCE733}" name="2025-05-16" dataDxfId="580"/>
    <tableColumn id="228" xr3:uid="{6215F3BA-5DFF-4976-BC80-78E30D01889D}" name="2025-05-17" dataDxfId="579"/>
    <tableColumn id="229" xr3:uid="{50DA08D7-FC7B-49B0-B3F4-1C4635DE3032}" name="2025-05-18" dataDxfId="578"/>
    <tableColumn id="230" xr3:uid="{30BC1EC6-2069-4300-8391-810C9EC04511}" name="2025-05-19" dataDxfId="577"/>
    <tableColumn id="231" xr3:uid="{3043D2FE-95E0-48AF-ACD8-B5634AE3E9D5}" name="2025-05-20" dataDxfId="576"/>
    <tableColumn id="232" xr3:uid="{A1EAF0F2-FC84-4670-AAF9-B5A7CCF2C92A}" name="2025-05-21" dataDxfId="575"/>
    <tableColumn id="233" xr3:uid="{777586C1-D3DF-470E-B1DC-EF50B354B885}" name="2025-05-22" dataDxfId="574"/>
    <tableColumn id="234" xr3:uid="{F9D2BEE5-0C9C-4591-9625-B5A40D8C6987}" name="2025-05-23" dataDxfId="573"/>
    <tableColumn id="235" xr3:uid="{D5CB1CD3-1B56-4F97-9378-63F4D461B94D}" name="2025-05-24" dataDxfId="572"/>
    <tableColumn id="236" xr3:uid="{4474AF3B-88F1-40B9-B58F-5CC8F0AAE000}" name="2025-05-25" dataDxfId="571"/>
    <tableColumn id="237" xr3:uid="{DD6FFB66-C370-442C-9825-05FDB743FE00}" name="2025-05-26" dataDxfId="570"/>
    <tableColumn id="238" xr3:uid="{9BE32098-E719-426B-8143-7E12C6A3F46A}" name="2025-05-27" dataDxfId="569"/>
    <tableColumn id="239" xr3:uid="{F5D1C276-6464-4D7F-BCBD-5336B596A903}" name="2025-05-28" dataDxfId="568"/>
    <tableColumn id="240" xr3:uid="{31B515AE-008A-4669-8CEE-771E1638A518}" name="2025-05-29" dataDxfId="567"/>
    <tableColumn id="241" xr3:uid="{3200C033-4974-4D1B-A44C-3F837D42D2DC}" name="2025-05-30" dataDxfId="566"/>
    <tableColumn id="242" xr3:uid="{4D4CDA41-067D-4DA0-95F0-4823FC08D4E5}" name="2025-05-31" dataDxfId="565"/>
    <tableColumn id="243" xr3:uid="{3DBF5A2B-0E33-4E1C-9DC2-18CA4F0A1493}" name="2025-06-01" dataDxfId="564"/>
    <tableColumn id="244" xr3:uid="{9D3D72D9-161F-4909-8971-6C5C7D46BAA7}" name="2025-06-02" dataDxfId="563"/>
    <tableColumn id="245" xr3:uid="{232663AE-B137-4CF8-A170-52E93C00C65D}" name="2025-06-03" dataDxfId="562"/>
    <tableColumn id="246" xr3:uid="{BD7A6004-6162-4AC8-9110-BA5E6A9D1049}" name="2025-06-04" dataDxfId="561"/>
    <tableColumn id="247" xr3:uid="{C0AA2183-97B0-473E-8388-F06F8164380F}" name="2025-06-05" dataDxfId="560"/>
    <tableColumn id="248" xr3:uid="{F84BC399-3949-4C18-ABAA-64C17BEA5CE0}" name="2025-06-06" dataDxfId="559"/>
    <tableColumn id="249" xr3:uid="{4A9CC113-874C-4FC8-A1A6-63A95A893D95}" name="2025-06-07" dataDxfId="558"/>
    <tableColumn id="250" xr3:uid="{6A253FC8-C38B-4237-BE92-22BD7FDA4D1D}" name="2025-06-08" dataDxfId="557"/>
    <tableColumn id="251" xr3:uid="{ABD1D9B8-A62F-43C7-8867-D07F901B294B}" name="2025-06-09" dataDxfId="556"/>
    <tableColumn id="252" xr3:uid="{FF84CAE4-B5B3-4E8C-ACD5-281ECE9DA5EB}" name="2025-06-10" dataDxfId="555"/>
    <tableColumn id="253" xr3:uid="{06E2F1E1-34E4-442D-91B3-36F14418A6DD}" name="2025-06-11" dataDxfId="554"/>
    <tableColumn id="254" xr3:uid="{00DD0F40-05DE-4EF1-9263-6F11B02C8F66}" name="2025-06-12" dataDxfId="553"/>
    <tableColumn id="255" xr3:uid="{B3BC126B-C9C6-4541-B7BF-8E0A8AF13283}" name="2025-06-13" dataDxfId="552"/>
    <tableColumn id="256" xr3:uid="{58A93E20-2E09-42D6-83C4-3187C52FC2C9}" name="2025-06-14" dataDxfId="551"/>
    <tableColumn id="257" xr3:uid="{99B8A1B1-1594-47C1-A779-5AE979AC6886}" name="2025-06-15" dataDxfId="550"/>
    <tableColumn id="258" xr3:uid="{DB9B71D0-083F-40C9-99EC-EA2500168DB1}" name="2025-06-16" dataDxfId="549"/>
    <tableColumn id="259" xr3:uid="{F368A8EF-CA23-49A5-84B6-E087A332E315}" name="2025-06-17" dataDxfId="548"/>
    <tableColumn id="260" xr3:uid="{F2B11177-CB50-47EB-87ED-A437D4F32F8E}" name="2025-06-18" dataDxfId="547"/>
    <tableColumn id="261" xr3:uid="{F21EDA7F-2C76-45F1-AB9D-D35BEE4425F3}" name="2025-06-19" dataDxfId="546"/>
    <tableColumn id="262" xr3:uid="{527A99F6-045E-4293-955B-C68E4AD9052A}" name="2025-06-20" dataDxfId="545"/>
    <tableColumn id="263" xr3:uid="{99DC238A-A4C6-4EAE-82AC-FCA02043D4EA}" name="2025-06-21" dataDxfId="544"/>
    <tableColumn id="264" xr3:uid="{43477D6D-E749-4FFF-9062-9F92408792BE}" name="2025-06-22" dataDxfId="543"/>
    <tableColumn id="265" xr3:uid="{13D87D26-AA45-4778-8BD5-BDB665171820}" name="2025-06-23" dataDxfId="542"/>
    <tableColumn id="266" xr3:uid="{3DF15EBF-5CB5-4787-8409-9F983729C815}" name="2025-06-24" dataDxfId="541"/>
    <tableColumn id="267" xr3:uid="{71F1B423-DE3D-4704-B52D-D6660BE9B52F}" name="2025-06-25" dataDxfId="540"/>
    <tableColumn id="268" xr3:uid="{E9D496DF-4D64-42C9-9857-E5FCB3FF66F8}" name="2025-06-26" dataDxfId="539"/>
    <tableColumn id="269" xr3:uid="{21A1EEB8-CF48-4BFB-9EB7-3E5069338279}" name="2025-06-27" dataDxfId="538"/>
    <tableColumn id="270" xr3:uid="{05C6922F-BFAD-40A6-BF87-21B77F0394F1}" name="2025-06-28" dataDxfId="537"/>
    <tableColumn id="271" xr3:uid="{8929460E-C610-4A2C-A152-7ADD44E2FE12}" name="2025-06-29" dataDxfId="536"/>
    <tableColumn id="272" xr3:uid="{4C8830FB-F1D3-4D12-BD25-337AA191C58D}" name="2025-06-30" dataDxfId="535"/>
    <tableColumn id="273" xr3:uid="{AC1A3332-3064-4E0E-BA13-DA3DA202B941}" name="2025-07-01" totalsRowFunction="count" dataDxfId="5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3" dataDxfId="532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31"/>
    <tableColumn id="274" xr3:uid="{496FDEA5-9D1C-4D6A-9EBD-6C1BABCB49AE}" name="Conf" dataDxfId="530"/>
    <tableColumn id="275" xr3:uid="{86FFCC5F-9815-48BA-836C-2576F2F03D77}" name="Div" dataDxfId="529"/>
    <tableColumn id="2" xr3:uid="{BEE4EC6C-76A9-496A-A1D8-CBB882332D70}" name="2024-10-03" totalsRowFunction="average" dataDxfId="528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7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6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5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4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3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2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21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20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9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8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7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6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5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4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3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2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11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10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9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8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7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6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5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4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3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2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501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500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9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8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7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6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5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4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3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2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91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90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9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8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7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6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5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4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3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2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81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80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9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8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7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6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5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4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3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2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71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70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9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8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7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6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5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4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3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2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61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60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9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8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7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6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5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4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3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2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51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50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9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8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7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6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5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4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3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2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41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40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9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8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7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6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5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4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3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2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31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30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9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8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7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6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5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4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3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2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21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20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9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8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7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6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5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4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3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2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11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10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9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8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7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6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5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4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3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2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401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400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9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8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7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6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5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4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3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2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91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90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9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8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7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6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5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4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3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2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81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80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9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8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7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6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5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4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3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2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71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70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9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8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7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6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5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4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3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2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61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60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9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8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7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6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5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4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3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2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51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50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9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8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7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6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5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4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3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2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41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40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9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8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7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6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5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4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3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2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31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30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9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8"/>
    <tableColumn id="203" xr3:uid="{669DF731-A16A-4A16-B166-62D16EB040F1}" name="2025-04-22" dataDxfId="327"/>
    <tableColumn id="204" xr3:uid="{707C842B-7FEF-43DB-B1E4-C841190286EF}" name="2025-04-23" dataDxfId="326"/>
    <tableColumn id="205" xr3:uid="{5EC331B4-8F33-4173-A3A6-D8CE4C2D4383}" name="2025-04-24" dataDxfId="325"/>
    <tableColumn id="206" xr3:uid="{4F412742-F64C-4BF7-9D0D-488E7DCD1891}" name="2025-04-25" dataDxfId="324"/>
    <tableColumn id="207" xr3:uid="{BD11B2DD-DEC6-441A-8741-DC5E6FE684AD}" name="2025-04-26" dataDxfId="323"/>
    <tableColumn id="208" xr3:uid="{01E98C63-5032-4D66-B075-8A1E371C642D}" name="2025-04-27" dataDxfId="322"/>
    <tableColumn id="209" xr3:uid="{316E8AF4-CD07-4887-B340-BE9B9DA31CF5}" name="2025-04-28" dataDxfId="321"/>
    <tableColumn id="210" xr3:uid="{6D75A24F-3048-4A53-A6E2-194D8F14D184}" name="2025-04-29" dataDxfId="320"/>
    <tableColumn id="211" xr3:uid="{BB0FF42A-83E1-43D0-A164-ECD7741F459C}" name="2025-04-30" dataDxfId="319"/>
    <tableColumn id="212" xr3:uid="{10B32DD9-A02E-431E-B3B5-841A5AEF700E}" name="2025-05-01" dataDxfId="318"/>
    <tableColumn id="213" xr3:uid="{BCBD5454-C4BC-438B-895E-47FA1420274F}" name="2025-05-02" dataDxfId="317"/>
    <tableColumn id="214" xr3:uid="{B1169E04-BA65-464B-A342-F34C0FEA6A2C}" name="2025-05-03" dataDxfId="316"/>
    <tableColumn id="215" xr3:uid="{3C97D612-9AC1-4E31-A48E-8106EF9FAE48}" name="2025-05-04" dataDxfId="315"/>
    <tableColumn id="216" xr3:uid="{FEE32124-295E-4813-AC14-90EA0229E033}" name="2025-05-05" dataDxfId="314"/>
    <tableColumn id="217" xr3:uid="{1757C997-E861-4C66-A53A-95D2250D386E}" name="2025-05-06" dataDxfId="313"/>
    <tableColumn id="218" xr3:uid="{D6DFB818-75F8-4F5B-A7F2-30898198AE61}" name="2025-05-07" dataDxfId="312"/>
    <tableColumn id="219" xr3:uid="{A0BB9636-488B-4747-88BD-AE87668E490B}" name="2025-05-08" dataDxfId="311"/>
    <tableColumn id="220" xr3:uid="{264045BF-A92C-40EE-B15A-F04831AB1BED}" name="2025-05-09" dataDxfId="310"/>
    <tableColumn id="221" xr3:uid="{FA9546C5-5203-4EBD-8BEE-E5CB96224CC9}" name="2025-05-10" dataDxfId="309"/>
    <tableColumn id="222" xr3:uid="{DD55014D-EFA1-4E41-98B0-530079E82F06}" name="2025-05-11" dataDxfId="308"/>
    <tableColumn id="223" xr3:uid="{51F01270-F49A-4487-90CB-75B5B319BE64}" name="2025-05-12" dataDxfId="307"/>
    <tableColumn id="224" xr3:uid="{7DBD5A9E-B478-4E1C-B1A2-A5B25692A3F2}" name="2025-05-13" dataDxfId="306"/>
    <tableColumn id="225" xr3:uid="{A17E540D-2F28-46E5-B930-5279214FBAA1}" name="2025-05-14" dataDxfId="305"/>
    <tableColumn id="226" xr3:uid="{94D24299-28DD-4494-89EF-03C6686A22A4}" name="2025-05-15" dataDxfId="304"/>
    <tableColumn id="227" xr3:uid="{17568BC2-90D8-4C63-BE94-026D855AB482}" name="2025-05-16" dataDxfId="303"/>
    <tableColumn id="228" xr3:uid="{6F85633D-6A2A-4A1D-AF78-AD747CA479E7}" name="2025-05-17" dataDxfId="302"/>
    <tableColumn id="229" xr3:uid="{6C6AF260-0FB9-4B73-8C48-C1DB7C4061BF}" name="2025-05-18" dataDxfId="301"/>
    <tableColumn id="230" xr3:uid="{70800AA9-D126-4C37-AB50-1E13B3AFC665}" name="2025-05-19" dataDxfId="300"/>
    <tableColumn id="231" xr3:uid="{5260BE1B-4EEB-4A35-A8C1-6603C8D03A07}" name="2025-05-20" dataDxfId="299"/>
    <tableColumn id="232" xr3:uid="{0D959241-A561-4878-9E45-0836E005AAEA}" name="2025-05-21" dataDxfId="298"/>
    <tableColumn id="233" xr3:uid="{9E4BDDD8-4EB5-4667-BEAC-D7D9387C3573}" name="2025-05-22" dataDxfId="297"/>
    <tableColumn id="234" xr3:uid="{0F3E2935-A85F-4840-9D68-1228E373814C}" name="2025-05-23" dataDxfId="296"/>
    <tableColumn id="235" xr3:uid="{CE06132F-B6B4-41BE-BE73-A3642C101841}" name="2025-05-24" dataDxfId="295"/>
    <tableColumn id="236" xr3:uid="{4AED8CE4-2376-40CC-A3CC-CC50D5C754B0}" name="2025-05-25" dataDxfId="294"/>
    <tableColumn id="237" xr3:uid="{1F92138E-0618-4529-98AD-ACF9AF2E796F}" name="2025-05-26" dataDxfId="293"/>
    <tableColumn id="238" xr3:uid="{3BD6FF95-4DBA-41C0-AAF8-3E9DDEE2BF16}" name="2025-05-27" dataDxfId="292"/>
    <tableColumn id="239" xr3:uid="{4EA86621-2249-4313-BDA7-CC5EC4D06A33}" name="2025-05-28" dataDxfId="291"/>
    <tableColumn id="240" xr3:uid="{37DB0B4A-8E90-4626-8901-1E757334B36B}" name="2025-05-29" dataDxfId="290"/>
    <tableColumn id="241" xr3:uid="{3AF90AA8-A691-4266-BC29-1064BF39CCA1}" name="2025-05-30" dataDxfId="289"/>
    <tableColumn id="242" xr3:uid="{B668308B-6AD5-4A63-8600-6C7B20D782F9}" name="2025-05-31" dataDxfId="288"/>
    <tableColumn id="243" xr3:uid="{4F3CD694-1072-4A2E-912B-0FDC3FE7AC80}" name="2025-06-01" dataDxfId="287"/>
    <tableColumn id="244" xr3:uid="{335A3B3B-63CC-4ECC-A0A4-4038918A3EA2}" name="2025-06-02" dataDxfId="286"/>
    <tableColumn id="245" xr3:uid="{385F91FB-0AE4-44BD-82A5-86A5AB9B071F}" name="2025-06-03" dataDxfId="285"/>
    <tableColumn id="246" xr3:uid="{319A6FA6-07E2-4EEA-9772-58E82236CB41}" name="2025-06-04" dataDxfId="284"/>
    <tableColumn id="247" xr3:uid="{B4941D09-3489-4868-ACC3-47D921355755}" name="2025-06-05" dataDxfId="283"/>
    <tableColumn id="248" xr3:uid="{EF4C253C-D8E4-4646-B8B4-93BC006A696E}" name="2025-06-06" dataDxfId="282"/>
    <tableColumn id="249" xr3:uid="{B90F8FE2-1821-4816-94D2-5A12DFC3B4A2}" name="2025-06-07" dataDxfId="281"/>
    <tableColumn id="250" xr3:uid="{E3F6BC30-0266-454D-9E4A-0FE864BFFB2B}" name="2025-06-08" dataDxfId="280"/>
    <tableColumn id="251" xr3:uid="{142CB93A-809D-4D7D-9A92-AC45A7DC6871}" name="2025-06-09" dataDxfId="279"/>
    <tableColumn id="252" xr3:uid="{321F823B-7550-4A9E-8132-870E1FA08449}" name="2025-06-10" dataDxfId="278"/>
    <tableColumn id="253" xr3:uid="{32879841-DF09-4A0B-8B28-8E9E30AB109B}" name="2025-06-11" dataDxfId="277"/>
    <tableColumn id="254" xr3:uid="{660EA0C5-DE72-406A-BB4D-72C37F3C458B}" name="2025-06-12" dataDxfId="276"/>
    <tableColumn id="255" xr3:uid="{1C0F2603-121E-46C4-B720-7A61810F19FC}" name="2025-06-13" dataDxfId="275"/>
    <tableColumn id="256" xr3:uid="{30E46327-4699-4823-8EB2-889776D583A6}" name="2025-06-14" dataDxfId="274"/>
    <tableColumn id="257" xr3:uid="{99BD5150-3286-4D02-94CE-5B954932F50F}" name="2025-06-15" dataDxfId="273"/>
    <tableColumn id="258" xr3:uid="{15C6F836-5F52-4D76-BC77-96B6CA4FFCBE}" name="2025-06-16" dataDxfId="272"/>
    <tableColumn id="259" xr3:uid="{D1EA0DE6-C75B-4A21-8EC3-6648FF7782DE}" name="2025-06-17" dataDxfId="271"/>
    <tableColumn id="260" xr3:uid="{F61721FF-5883-4743-971E-52A3A1EB7B14}" name="2025-06-18" dataDxfId="270"/>
    <tableColumn id="261" xr3:uid="{75C80C97-AF8E-4F9E-B2B5-02C534F6353D}" name="2025-06-19" dataDxfId="269"/>
    <tableColumn id="262" xr3:uid="{8486A84E-5348-4DEC-BF9B-DA69614D8FA4}" name="2025-06-20" dataDxfId="268"/>
    <tableColumn id="263" xr3:uid="{3C258950-EE85-4494-BB18-625B938F03D1}" name="2025-06-21" dataDxfId="267"/>
    <tableColumn id="264" xr3:uid="{BD3F4478-E75C-4A32-86EE-715226D1085D}" name="2025-06-22" dataDxfId="266"/>
    <tableColumn id="265" xr3:uid="{F9DEC6F8-2679-455A-A9C4-32787A2D4E11}" name="2025-06-23" dataDxfId="265"/>
    <tableColumn id="266" xr3:uid="{784A4807-A629-4F3F-AD53-1FCFB318B1F7}" name="2025-06-24" dataDxfId="264"/>
    <tableColumn id="267" xr3:uid="{1F8884D5-4F44-449C-9BC0-9EB9000E6F35}" name="2025-06-25" dataDxfId="263"/>
    <tableColumn id="268" xr3:uid="{8015116D-D8CE-49DC-A393-362351FEC77C}" name="2025-06-26" dataDxfId="262"/>
    <tableColumn id="269" xr3:uid="{A6A81A45-9617-444D-BF76-F6142CCA14C4}" name="2025-06-27" dataDxfId="261"/>
    <tableColumn id="270" xr3:uid="{BE589CA9-AA90-41B7-8D5F-41757C65CE41}" name="2025-06-28" dataDxfId="260"/>
    <tableColumn id="271" xr3:uid="{86028D04-58A7-4A7C-A177-17398024CB22}" name="2025-06-29" dataDxfId="259"/>
    <tableColumn id="272" xr3:uid="{E146A928-574B-4D77-A53C-63CE01F33DDD}" name="2025-06-30" dataDxfId="258"/>
    <tableColumn id="273" xr3:uid="{7EDAFB8B-A951-4043-88FD-40BE980E7D2F}" name="2025-07-01" totalsRowFunction="count" dataDxfId="2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6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5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4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3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2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51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50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9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8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7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6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5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4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3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2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41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40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9">
      <calculatedColumnFormula>Table3[[#This Row],[W]]/MAX(1,Table3[[#This Row],[W]]+Table3[[#This Row],[L]])</calculatedColumnFormula>
    </tableColumn>
    <tableColumn id="52" xr3:uid="{835E8B4B-1B56-4988-ADA0-E6D362F4CA4D}" name="W" dataDxfId="238">
      <calculatedColumnFormula>Table3[[#This Row],[W_A]]+Table3[[#This Row],[W_H]]</calculatedColumnFormula>
    </tableColumn>
    <tableColumn id="53" xr3:uid="{88446FA8-50DC-4FD7-ADED-80F797D341F2}" name="L" dataDxfId="237">
      <calculatedColumnFormula>Table3[[#This Row],[L_A]]+Table3[[#This Row],[L_H]]</calculatedColumnFormula>
    </tableColumn>
    <tableColumn id="54" xr3:uid="{8B16E8B3-A102-413E-9653-CF701CEEB9C9}" name="RW" dataDxfId="236">
      <calculatedColumnFormula>Table3[[#This Row],[RW_A]]+Table3[[#This Row],[RW_H]]</calculatedColumnFormula>
    </tableColumn>
    <tableColumn id="56" xr3:uid="{8CC6F779-2722-4557-A481-A8ECBA4EC611}" name="RL" dataDxfId="235">
      <calculatedColumnFormula>Table3[[#This Row],[RL_A]]+Table3[[#This Row],[RL_H]]</calculatedColumnFormula>
    </tableColumn>
    <tableColumn id="55" xr3:uid="{B5F893C5-62B6-4BD4-A363-58006E427EB4}" name="OTW" dataDxfId="234">
      <calculatedColumnFormula>Table3[[#This Row],[OTW_A]]+Table3[[#This Row],[OTW_H]]</calculatedColumnFormula>
    </tableColumn>
    <tableColumn id="57" xr3:uid="{65CBB9B0-79F9-4697-BF9E-46D8F8199661}" name="OTL" dataDxfId="233">
      <calculatedColumnFormula>Table3[[#This Row],[OTL_A]]+Table3[[#This Row],[OTL_H]]</calculatedColumnFormula>
    </tableColumn>
    <tableColumn id="58" xr3:uid="{935B18B6-6EE9-4AB7-96D2-5CC21B3091F1}" name="SOW" dataDxfId="232">
      <calculatedColumnFormula>Table3[[#This Row],[SOW_A]]+Table3[[#This Row],[SOW_H]]</calculatedColumnFormula>
    </tableColumn>
    <tableColumn id="59" xr3:uid="{72AA5675-42CA-4646-9D56-F903019CA984}" name="SOL" dataDxfId="231">
      <calculatedColumnFormula>Table3[[#This Row],[SOL_A]]+Table3[[#This Row],[SOL_H]]</calculatedColumnFormula>
    </tableColumn>
    <tableColumn id="74" xr3:uid="{2189042C-91CF-4BD8-82AF-C8C409607107}" name="OT_SO_Record" dataDxfId="230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9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8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7">
      <calculatedColumnFormula>Table3[[#This Row],[Total_ExtraTimes]]/MAX(1,Table3[[#This Row],[GP]])</calculatedColumnFormula>
    </tableColumn>
    <tableColumn id="36" xr3:uid="{963D35F6-3613-4CF0-B60C-81F6AC38687D}" name="PTS" dataDxfId="226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5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4">
      <calculatedColumnFormula>Table3[[#This Row],[PTS]]/(2*Table3[[#This Row],[GP]])</calculatedColumnFormula>
    </tableColumn>
    <tableColumn id="64" xr3:uid="{C4462842-CB72-4A45-8AE0-F1C2F1896F3C}" name="PTS%2" dataDxfId="223">
      <calculatedColumnFormula>Table3[[#This Row],[PTS2]]/(3*Table3[[#This Row],[GP]])</calculatedColumnFormula>
    </tableColumn>
    <tableColumn id="49" xr3:uid="{A615DA94-4BB4-4863-8FB3-13B2512D6354}" name="MAX_PTS" dataDxfId="222">
      <calculatedColumnFormula>(2*Table3[[#This Row],[GR]])+Table3[[#This Row],[PTS]]</calculatedColumnFormula>
    </tableColumn>
    <tableColumn id="50" xr3:uid="{8E72A434-A9EA-4A87-9B77-6458DC51D3DD}" name="MAX_PTS2" dataDxfId="221">
      <calculatedColumnFormula>(3*Table3[[#This Row],[GR]])+Table3[[#This Row],[PTS2]]</calculatedColumnFormula>
    </tableColumn>
    <tableColumn id="67" xr3:uid="{685476C7-AB55-4647-B9F7-7860AABCA2A3}" name="PROJ_PTS" dataDxfId="220">
      <calculatedColumnFormula>Table3[[#This Row],[PTS]]+(2 * Table3[[#This Row],[GR]] * Table3[[#This Row],[PTS%]])</calculatedColumnFormula>
    </tableColumn>
    <tableColumn id="68" xr3:uid="{B82889C2-551D-43DB-AD0C-EA626770F09C}" name="PROJ_PTS2" dataDxfId="219">
      <calculatedColumnFormula>Table3[[#This Row],[PTS2]]+(3 * Table3[[#This Row],[GR]] * Table3[[#This Row],[PTS%2]])</calculatedColumnFormula>
    </tableColumn>
    <tableColumn id="60" xr3:uid="{EE4931FD-ADC7-49F3-98DE-CE48D4109732}" name="RECORD" dataDxfId="218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7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6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5">
      <calculatedColumnFormula>Table3[[#This Row],[GF]]/Table3[[#This Row],[GP]]</calculatedColumnFormula>
    </tableColumn>
    <tableColumn id="32" xr3:uid="{F1CD7542-6690-4276-B0F0-95BFD01CFF0B}" name="GAPG" dataDxfId="214">
      <calculatedColumnFormula>Table3[[#This Row],[GA]]/Table3[[#This Row],[GP]]</calculatedColumnFormula>
    </tableColumn>
    <tableColumn id="31" xr3:uid="{39B39AC6-8EA7-4628-BDD5-D00B1BD609DA}" name="GDPG" dataDxfId="213">
      <calculatedColumnFormula>(Table3[[#This Row],[GF]]-Table3[[#This Row],[GA]])/Table3[[#This Row],[GP]]</calculatedColumnFormula>
    </tableColumn>
    <tableColumn id="66" xr3:uid="{507DA38A-B238-41CE-9C18-7D9B525AE471}" name="HOME_RECORD" dataDxfId="212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11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10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9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8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7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6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5">
      <calculatedColumnFormula>Table3[[#This Row],[TeamCost83]]/Table3[[#This Row],[GP]]</calculatedColumnFormula>
    </tableColumn>
    <tableColumn id="23" xr3:uid="{96B64A31-865A-4CC8-8BA8-C7027FB896A9}" name="TimesPredictedWinnerAway" dataDxfId="204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3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2">
      <calculatedColumnFormula>INDEX(Table2[AwayTeam], Table3[[#This Row],[Column2]])</calculatedColumnFormula>
    </tableColumn>
    <tableColumn id="76" xr3:uid="{9B9B8B21-342B-462C-8D29-32167E678CD0}" name="Column2" dataDxfId="201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200">
      <calculatedColumnFormula>SUMIFS(Table2[GamePredictionScore], Table2[AwayTeam], Table3[[#This Row],[Teams]])</calculatedColumnFormula>
    </tableColumn>
    <tableColumn id="82" xr3:uid="{9053A00E-0209-4673-A66E-8C0E85603822}" name="Column4" dataDxfId="199">
      <calculatedColumnFormula>SUMIFS(Table2[GamePredictionScore], Table2[HomeTeam], Table3[[#This Row],[Teams]])</calculatedColumnFormula>
    </tableColumn>
    <tableColumn id="83" xr3:uid="{64B7785D-B2C4-4ACC-A9E3-3EDA70F2A57A}" name="Column5" dataDxfId="198">
      <calculatedColumnFormula>Table3[[#This Row],[Column4]]+Table3[[#This Row],[Column3]]</calculatedColumnFormula>
    </tableColumn>
    <tableColumn id="84" xr3:uid="{D8BED368-DAC9-48FF-80E2-915F13132254}" name="Column6" dataDxfId="197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6" headerRowBorderDxfId="195" tableBorderDxfId="194" totalsRowBorderDxfId="193">
  <autoFilter ref="A1:E33" xr:uid="{CF6344AB-A7D7-4470-97E8-25F345DCEB50}"/>
  <tableColumns count="5">
    <tableColumn id="1" xr3:uid="{9D810EAE-C7D0-4954-9C7C-A98F443DB376}" name="Teams" dataDxfId="192"/>
    <tableColumn id="2" xr3:uid="{2CCA5DB0-3229-4630-954B-5B483D49092B}" name="C" dataDxfId="191"/>
    <tableColumn id="3" xr3:uid="{DF5449A8-1B40-49C5-A31E-A4CCE3B98D7D}" name="D" dataDxfId="190"/>
    <tableColumn id="4" xr3:uid="{ED972387-8DB1-432C-B36F-2D37E10DE551}" name="PTS" dataDxfId="189">
      <calculatedColumnFormula>INDEX(Table3[PTS], MATCH(Table6[[#This Row],[Teams]], Table3[Teams],0))</calculatedColumnFormula>
    </tableColumn>
    <tableColumn id="5" xr3:uid="{F2DDCA70-8451-496C-BD0D-42540EE60669}" name="Column2" dataDxfId="188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7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6">
      <calculatedColumnFormula>INDEX(Table6[PTS], MATCH($T2, Table6[Teams], 0))</calculatedColumnFormula>
    </tableColumn>
    <tableColumn id="4" xr3:uid="{424CFEDF-201C-4AD9-83C5-6C8C6D57757F}" name="ANA" dataDxfId="185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4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3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2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81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80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9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8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7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6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5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4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3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2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71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70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9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8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7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6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5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4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3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2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61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60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9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8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7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6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5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4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3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2">
      <calculatedColumnFormula>INDEX(Table6[PTS], MATCH($T12, Table6[Teams], 0))</calculatedColumnFormula>
    </tableColumn>
    <tableColumn id="4" xr3:uid="{DA5E44C6-FE41-47EF-8152-7A78B5002053}" name="ANA" dataDxfId="151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50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9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8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7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6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5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4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3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2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41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40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9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8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7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6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5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4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3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2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31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30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9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8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7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6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5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4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3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2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21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20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9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8">
      <calculatedColumnFormula>INDEX(Table6[PTS], MATCH($T22, Table6[Teams], 0))</calculatedColumnFormula>
    </tableColumn>
    <tableColumn id="4" xr3:uid="{3DA1C0D4-49FC-4E4D-8B98-108051EF4486}" name="ANA" dataDxfId="117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6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5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4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3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2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11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10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9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8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7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6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5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4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3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2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101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100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9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8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7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6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5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4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3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2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91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90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9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8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7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6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5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4">
      <calculatedColumnFormula>INDEX(Table6[PTS], MATCH($T32, Table6[Teams], 0))</calculatedColumnFormula>
    </tableColumn>
    <tableColumn id="4" xr3:uid="{55BDE359-ED2E-4B0A-858C-73F04D31F61E}" name="ANA" dataDxfId="83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2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81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80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9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8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7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6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5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4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3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2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71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70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9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8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7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6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5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4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3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2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61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60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9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8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7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6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5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4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3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2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E1316"/>
  <sheetViews>
    <sheetView topLeftCell="A511" workbookViewId="0">
      <selection activeCell="M519" sqref="M519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48" width="8.5703125" customWidth="1"/>
    <col min="49" max="49" width="16.5703125" customWidth="1"/>
    <col min="50" max="52" width="8.5703125" customWidth="1"/>
    <col min="56" max="56" width="25.140625" customWidth="1"/>
    <col min="57" max="57" width="17.5703125" bestFit="1" customWidth="1"/>
    <col min="61" max="61" width="14.28515625" customWidth="1"/>
    <col min="72" max="72" width="10.42578125" bestFit="1" customWidth="1"/>
    <col min="73" max="73" width="10.85546875" customWidth="1"/>
    <col min="74" max="74" width="11" bestFit="1" customWidth="1"/>
    <col min="75" max="76" width="11" customWidth="1"/>
  </cols>
  <sheetData>
    <row r="1" spans="1:83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3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AW2" s="6" t="s">
        <v>766</v>
      </c>
      <c r="BM2" s="60"/>
      <c r="BN2" s="60"/>
      <c r="BO2" s="60"/>
      <c r="BP2" s="60"/>
      <c r="BQ2" s="60"/>
    </row>
    <row r="3" spans="1:83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" s="139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" s="188">
        <f xml:space="preserve"> (UPPER(TRIM(Table2[[#This Row],[AwayTeam]]))=UPPER(TRIM(StatsRegularSeason20242025!$CV$30))) + (UPPER(TRIM(Table2[[#This Row],[HomeTeam]]))=UPPER(TRIM(StatsRegularSeason20242025!$CV$30)))</f>
        <v>0</v>
      </c>
      <c r="BI3" t="s">
        <v>126</v>
      </c>
      <c r="BJ3">
        <v>100</v>
      </c>
      <c r="BL3" s="57"/>
      <c r="BM3" s="165" t="s">
        <v>472</v>
      </c>
      <c r="BN3" s="166"/>
      <c r="BO3" s="166"/>
      <c r="BP3" s="166"/>
      <c r="BQ3" s="167"/>
      <c r="BS3" s="162" t="s">
        <v>466</v>
      </c>
      <c r="BT3" s="162"/>
      <c r="BU3" s="162"/>
      <c r="BV3" s="162"/>
      <c r="BW3" s="2"/>
      <c r="BX3" s="2"/>
    </row>
    <row r="4" spans="1:83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" s="188">
        <f xml:space="preserve"> (UPPER(TRIM(Table2[[#This Row],[AwayTeam]]))=UPPER(TRIM(StatsRegularSeason20242025!$CV$30))) + (UPPER(TRIM(Table2[[#This Row],[HomeTeam]]))=UPPER(TRIM(StatsRegularSeason20242025!$CV$30)))</f>
        <v>0</v>
      </c>
      <c r="BD4" t="s">
        <v>80</v>
      </c>
      <c r="BE4">
        <f>COUNTA($M$3:$M$1315)</f>
        <v>518</v>
      </c>
      <c r="BI4" t="s">
        <v>127</v>
      </c>
      <c r="BJ4">
        <v>50</v>
      </c>
      <c r="BL4" s="57"/>
      <c r="BM4" t="s">
        <v>118</v>
      </c>
      <c r="BN4">
        <f>COUNTIFS($O$3:$O$1315, "Y", $M$3:$M$1315, "REG")</f>
        <v>204</v>
      </c>
      <c r="BQ4" s="57"/>
      <c r="BS4" s="44" t="s">
        <v>465</v>
      </c>
      <c r="BT4" s="162" t="s">
        <v>463</v>
      </c>
      <c r="BU4" s="162"/>
      <c r="BV4" s="162" t="s">
        <v>464</v>
      </c>
      <c r="BW4" s="162"/>
      <c r="BX4" s="2" t="s">
        <v>510</v>
      </c>
      <c r="BY4" s="2" t="s">
        <v>469</v>
      </c>
      <c r="CE4" t="s">
        <v>479</v>
      </c>
    </row>
    <row r="5" spans="1:83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" s="189">
        <f xml:space="preserve"> (UPPER(TRIM(Table2[[#This Row],[AwayTeam]]))=UPPER(TRIM(StatsRegularSeason20242025!$CV$30))) + (UPPER(TRIM(Table2[[#This Row],[HomeTeam]]))=UPPER(TRIM(StatsRegularSeason20242025!$CV$30)))</f>
        <v>0</v>
      </c>
      <c r="BD5" t="s">
        <v>79</v>
      </c>
      <c r="BE5">
        <f>COUNTIF($O$3:$O$1315,"Y")</f>
        <v>274</v>
      </c>
      <c r="BI5" t="s">
        <v>128</v>
      </c>
      <c r="BJ5">
        <v>50</v>
      </c>
      <c r="BL5" s="57"/>
      <c r="BM5" t="s">
        <v>120</v>
      </c>
      <c r="BN5">
        <f>COUNTIFS($O$3:$O$1315, "N", $M$3:$M$1315, "REG")</f>
        <v>174</v>
      </c>
      <c r="BQ5" s="57"/>
      <c r="BS5" s="2">
        <v>0</v>
      </c>
      <c r="BT5" s="110" cm="1">
        <f t="array" ref="BT5">SUM(--(ABS($F$3:$F$1315 - $J$3:$J$1315) = 0)) -(((32*82)/2) - $BE$4)</f>
        <v>96</v>
      </c>
      <c r="BU5" s="111">
        <f>$BT5/$BE$4</f>
        <v>0.18532818532818532</v>
      </c>
      <c r="BV5" s="112" cm="1">
        <f t="array" ref="BV5">SUM(--(ABS($G$3:$G$1315 - $K$3:$K$1315) = 0)) -(((32*82)/2) - $BE$4)</f>
        <v>91</v>
      </c>
      <c r="BW5" s="113">
        <f>$BV5/$BE$4</f>
        <v>0.17567567567567569</v>
      </c>
      <c r="BX5" s="109">
        <f t="shared" ref="BX5:BX15" si="5">BT5+BV5</f>
        <v>187</v>
      </c>
      <c r="BY5" s="114">
        <f t="shared" ref="BY5:BY15" si="6">(BT5+BV5)/($BE$4*2)</f>
        <v>0.1805019305019305</v>
      </c>
      <c r="CE5" t="s">
        <v>480</v>
      </c>
    </row>
    <row r="6" spans="1:83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" s="188">
        <f xml:space="preserve"> (UPPER(TRIM(Table2[[#This Row],[AwayTeam]]))=UPPER(TRIM(StatsRegularSeason20242025!$CV$30))) + (UPPER(TRIM(Table2[[#This Row],[HomeTeam]]))=UPPER(TRIM(StatsRegularSeason20242025!$CV$30)))</f>
        <v>0</v>
      </c>
      <c r="BD6" t="s">
        <v>81</v>
      </c>
      <c r="BE6">
        <f>BE4-BE5</f>
        <v>244</v>
      </c>
      <c r="BI6" t="s">
        <v>156</v>
      </c>
      <c r="BJ6">
        <v>50</v>
      </c>
      <c r="BL6" s="57"/>
      <c r="BM6" t="s">
        <v>121</v>
      </c>
      <c r="BN6">
        <f>COUNTIFS($O$3:$O$1315, "Y", $M$3:$M$1315, "OT")</f>
        <v>45</v>
      </c>
      <c r="BQ6" s="57"/>
      <c r="BS6" s="2">
        <v>1</v>
      </c>
      <c r="BT6" s="110" cm="1">
        <f t="array" ref="BT6">SUM(--(ABS($F$3:$F$1315 - $J$3:$J$1315) = $BS6))</f>
        <v>199</v>
      </c>
      <c r="BU6" s="111">
        <f t="shared" ref="BU6:BU15" si="7">$BT6/$BE$4</f>
        <v>0.38416988416988418</v>
      </c>
      <c r="BV6" s="112" cm="1">
        <f t="array" ref="BV6">SUM(--(ABS($G$3:$G$1315 - $K$3:$K$1315) = $BS6))</f>
        <v>184</v>
      </c>
      <c r="BW6" s="113">
        <f t="shared" ref="BW6:BW15" si="8">$BV6/$BE$4</f>
        <v>0.35521235521235522</v>
      </c>
      <c r="BX6" s="109">
        <f t="shared" si="5"/>
        <v>383</v>
      </c>
      <c r="BY6" s="114">
        <f t="shared" si="6"/>
        <v>0.36969111969111967</v>
      </c>
      <c r="CE6" t="s">
        <v>481</v>
      </c>
    </row>
    <row r="7" spans="1:83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" s="188">
        <f xml:space="preserve"> (UPPER(TRIM(Table2[[#This Row],[AwayTeam]]))=UPPER(TRIM(StatsRegularSeason20242025!$CV$30))) + (UPPER(TRIM(Table2[[#This Row],[HomeTeam]]))=UPPER(TRIM(StatsRegularSeason20242025!$CV$30)))</f>
        <v>0</v>
      </c>
      <c r="BD7" t="s">
        <v>82</v>
      </c>
      <c r="BE7" s="10">
        <f>BE5/BE4</f>
        <v>0.52895752895752901</v>
      </c>
      <c r="BI7" t="s">
        <v>129</v>
      </c>
      <c r="BJ7">
        <v>50</v>
      </c>
      <c r="BL7" s="57"/>
      <c r="BM7" t="s">
        <v>122</v>
      </c>
      <c r="BN7">
        <f>COUNTIFS($O$3:$O$1315, "N", $M$3:$M$1315, "OT")</f>
        <v>44</v>
      </c>
      <c r="BQ7" s="57"/>
      <c r="BS7" s="2">
        <v>2</v>
      </c>
      <c r="BT7" s="110" cm="1">
        <f t="array" ref="BT7">SUM(--(ABS($F$3:$F$1315 - $J$3:$J$1315) = $BS7))</f>
        <v>117</v>
      </c>
      <c r="BU7" s="111">
        <f t="shared" si="7"/>
        <v>0.22586872586872586</v>
      </c>
      <c r="BV7" s="112" cm="1">
        <f t="array" ref="BV7">SUM(--(ABS($G$3:$G$1315 - $K$3:$K$1315) = $BS7))</f>
        <v>137</v>
      </c>
      <c r="BW7" s="113">
        <f t="shared" si="8"/>
        <v>0.26447876447876451</v>
      </c>
      <c r="BX7" s="109">
        <f t="shared" si="5"/>
        <v>254</v>
      </c>
      <c r="BY7" s="114">
        <f t="shared" si="6"/>
        <v>0.24517374517374518</v>
      </c>
      <c r="CE7" t="s">
        <v>482</v>
      </c>
    </row>
    <row r="8" spans="1:83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" s="188">
        <f xml:space="preserve"> (UPPER(TRIM(Table2[[#This Row],[AwayTeam]]))=UPPER(TRIM(StatsRegularSeason20242025!$CV$30))) + (UPPER(TRIM(Table2[[#This Row],[HomeTeam]]))=UPPER(TRIM(StatsRegularSeason20242025!$CV$30)))</f>
        <v>1</v>
      </c>
      <c r="BI8" t="s">
        <v>133</v>
      </c>
      <c r="BJ8">
        <v>55</v>
      </c>
      <c r="BL8" s="57"/>
      <c r="BM8" t="s">
        <v>123</v>
      </c>
      <c r="BN8">
        <f>COUNTIFS($O$3:$O$1315, "Y", $M$3:$M$1315, "SO")</f>
        <v>25</v>
      </c>
      <c r="BQ8" s="57"/>
      <c r="BS8" s="2">
        <v>3</v>
      </c>
      <c r="BT8" s="110" cm="1">
        <f t="array" ref="BT8">SUM(--(ABS($F$3:$F$1315 - $J$3:$J$1315) = $BS8))</f>
        <v>74</v>
      </c>
      <c r="BU8" s="111">
        <f t="shared" si="7"/>
        <v>0.14285714285714285</v>
      </c>
      <c r="BV8" s="112" cm="1">
        <f t="array" ref="BV8">SUM(--(ABS($G$3:$G$1315 - $K$3:$K$1315) = $BS8))</f>
        <v>70</v>
      </c>
      <c r="BW8" s="113">
        <f t="shared" si="8"/>
        <v>0.13513513513513514</v>
      </c>
      <c r="BX8" s="109">
        <f t="shared" si="5"/>
        <v>144</v>
      </c>
      <c r="BY8" s="114">
        <f t="shared" si="6"/>
        <v>0.138996138996139</v>
      </c>
      <c r="CE8" t="s">
        <v>483</v>
      </c>
    </row>
    <row r="9" spans="1:83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" s="189">
        <f xml:space="preserve"> (UPPER(TRIM(Table2[[#This Row],[AwayTeam]]))=UPPER(TRIM(StatsRegularSeason20242025!$CV$30))) + (UPPER(TRIM(Table2[[#This Row],[HomeTeam]]))=UPPER(TRIM(StatsRegularSeason20242025!$CV$30)))</f>
        <v>0</v>
      </c>
      <c r="BD9" t="s">
        <v>438</v>
      </c>
      <c r="BE9" s="23">
        <f>SUMIF($N$3:$N$1315,1, $AC$3:$AC$1315)</f>
        <v>237.70000000000073</v>
      </c>
      <c r="BI9" t="s">
        <v>134</v>
      </c>
      <c r="BJ9">
        <v>40</v>
      </c>
      <c r="BL9" s="57"/>
      <c r="BM9" t="s">
        <v>124</v>
      </c>
      <c r="BN9">
        <f>COUNTIFS($O$3:$O$1315, "N", $M$3:$M$1315, "SO")</f>
        <v>26</v>
      </c>
      <c r="BQ9" s="57"/>
      <c r="BS9" s="2">
        <v>4</v>
      </c>
      <c r="BT9" s="110" cm="1">
        <f t="array" ref="BT9">SUM(--(ABS($F$3:$F$1315 - $J$3:$J$1315) = $BS9))</f>
        <v>25</v>
      </c>
      <c r="BU9" s="111">
        <f t="shared" si="7"/>
        <v>4.8262548262548263E-2</v>
      </c>
      <c r="BV9" s="112" cm="1">
        <f t="array" ref="BV9">SUM(--(ABS($G$3:$G$1315 - $K$3:$K$1315) = $BS9))</f>
        <v>32</v>
      </c>
      <c r="BW9" s="113">
        <f t="shared" si="8"/>
        <v>6.1776061776061778E-2</v>
      </c>
      <c r="BX9" s="109">
        <f t="shared" si="5"/>
        <v>57</v>
      </c>
      <c r="BY9" s="114">
        <f t="shared" si="6"/>
        <v>5.501930501930502E-2</v>
      </c>
      <c r="CE9" t="s">
        <v>484</v>
      </c>
    </row>
    <row r="10" spans="1:83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" s="188">
        <f xml:space="preserve"> (UPPER(TRIM(Table2[[#This Row],[AwayTeam]]))=UPPER(TRIM(StatsRegularSeason20242025!$CV$30))) + (UPPER(TRIM(Table2[[#This Row],[HomeTeam]]))=UPPER(TRIM(StatsRegularSeason20242025!$CV$30)))</f>
        <v>0</v>
      </c>
      <c r="BD10" t="s">
        <v>439</v>
      </c>
      <c r="BE10" s="23">
        <f>BE9/$BE$4</f>
        <v>0.45888030888031028</v>
      </c>
      <c r="BI10" t="s">
        <v>136</v>
      </c>
      <c r="BJ10">
        <v>75</v>
      </c>
      <c r="BL10" s="57"/>
      <c r="BQ10" s="57"/>
      <c r="BS10" s="2">
        <v>5</v>
      </c>
      <c r="BT10" s="110" cm="1">
        <f t="array" ref="BT10">SUM(--(ABS($F$3:$F$1315 - $J$3:$J$1315) = $BS10))</f>
        <v>4</v>
      </c>
      <c r="BU10" s="111">
        <f t="shared" si="7"/>
        <v>7.7220077220077222E-3</v>
      </c>
      <c r="BV10" s="112" cm="1">
        <f t="array" ref="BV10">SUM(--(ABS($G$3:$G$1315 - $K$3:$K$1315) = $BS10))</f>
        <v>3</v>
      </c>
      <c r="BW10" s="113">
        <f t="shared" si="8"/>
        <v>5.7915057915057912E-3</v>
      </c>
      <c r="BX10" s="109">
        <f t="shared" si="5"/>
        <v>7</v>
      </c>
      <c r="BY10" s="114">
        <f t="shared" si="6"/>
        <v>6.7567567567567571E-3</v>
      </c>
    </row>
    <row r="11" spans="1:83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" s="188">
        <f xml:space="preserve"> (UPPER(TRIM(Table2[[#This Row],[AwayTeam]]))=UPPER(TRIM(StatsRegularSeason20242025!$CV$30))) + (UPPER(TRIM(Table2[[#This Row],[HomeTeam]]))=UPPER(TRIM(StatsRegularSeason20242025!$CV$30)))</f>
        <v>0</v>
      </c>
      <c r="BB11" t="s">
        <v>446</v>
      </c>
      <c r="BD11" t="s">
        <v>440</v>
      </c>
      <c r="BE11" s="23">
        <f>$BG$11*($BE$5)</f>
        <v>219.20000000000002</v>
      </c>
      <c r="BG11">
        <f>80/100</f>
        <v>0.8</v>
      </c>
      <c r="BI11" t="s">
        <v>135</v>
      </c>
      <c r="BJ11">
        <v>65</v>
      </c>
      <c r="BL11" s="57"/>
      <c r="BM11" s="169" t="str">
        <f>_xlfn.CONCAT(TEXT(BN4+BN6+BN8, "0"),"-",TEXT(BN5, "0"),"-",TEXT(BN7+BN9, "0"))</f>
        <v>274-174-70</v>
      </c>
      <c r="BN11" s="170"/>
      <c r="BO11" t="s">
        <v>528</v>
      </c>
      <c r="BQ11" s="57"/>
      <c r="BS11" s="2">
        <v>6</v>
      </c>
      <c r="BT11" s="110" cm="1">
        <f t="array" ref="BT11">SUM(--(ABS($F$3:$F$1315 - $J$3:$J$1315) = $BS11))</f>
        <v>4</v>
      </c>
      <c r="BU11" s="111">
        <f t="shared" si="7"/>
        <v>7.7220077220077222E-3</v>
      </c>
      <c r="BV11" s="112" cm="1">
        <f t="array" ref="BV11">SUM(--(ABS($G$3:$G$1315 - $K$3:$K$1315) = $BS11))</f>
        <v>2</v>
      </c>
      <c r="BW11" s="113">
        <f t="shared" si="8"/>
        <v>3.8610038610038611E-3</v>
      </c>
      <c r="BX11" s="109">
        <f t="shared" si="5"/>
        <v>6</v>
      </c>
      <c r="BY11" s="114">
        <f t="shared" si="6"/>
        <v>5.7915057915057912E-3</v>
      </c>
    </row>
    <row r="12" spans="1:83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" s="188">
        <f xml:space="preserve"> (UPPER(TRIM(Table2[[#This Row],[AwayTeam]]))=UPPER(TRIM(StatsRegularSeason20242025!$CV$30))) + (UPPER(TRIM(Table2[[#This Row],[HomeTeam]]))=UPPER(TRIM(StatsRegularSeason20242025!$CV$30)))</f>
        <v>0</v>
      </c>
      <c r="BD12" t="s">
        <v>442</v>
      </c>
      <c r="BE12" s="23">
        <f>COUNTIFS($N$3:$N$1315,1, $P$3:$P$1315, "Y")</f>
        <v>95</v>
      </c>
      <c r="BG12">
        <f>10/100</f>
        <v>0.1</v>
      </c>
      <c r="BL12" s="57"/>
      <c r="BM12" s="163" t="str">
        <f>_xlfn.CONCAT(TEXT(BN4, "0"),"-",TEXT(BN5, "0"),"-",TEXT(BN7+BN9+BN6+BN8, "0"))</f>
        <v>204-174-140</v>
      </c>
      <c r="BN12" s="164"/>
      <c r="BO12" s="58" t="s">
        <v>473</v>
      </c>
      <c r="BP12" s="58"/>
      <c r="BQ12" s="59"/>
      <c r="BS12" s="2">
        <v>7</v>
      </c>
      <c r="BT12" s="110" cm="1">
        <f t="array" ref="BT12">SUM(--(ABS($F$3:$F$1315 - $J$3:$J$1315) = $BS12))</f>
        <v>0</v>
      </c>
      <c r="BU12" s="111">
        <f t="shared" si="7"/>
        <v>0</v>
      </c>
      <c r="BV12" s="112" cm="1">
        <f t="array" ref="BV12">SUM(--(ABS($G$3:$G$1315 - $K$3:$K$1315) = $BS12))</f>
        <v>0</v>
      </c>
      <c r="BW12" s="113">
        <f t="shared" si="8"/>
        <v>0</v>
      </c>
      <c r="BX12" s="109">
        <f t="shared" si="5"/>
        <v>0</v>
      </c>
      <c r="BY12" s="114">
        <f t="shared" si="6"/>
        <v>0</v>
      </c>
    </row>
    <row r="13" spans="1:83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" s="188">
        <f xml:space="preserve"> (UPPER(TRIM(Table2[[#This Row],[AwayTeam]]))=UPPER(TRIM(StatsRegularSeason20242025!$CV$30))) + (UPPER(TRIM(Table2[[#This Row],[HomeTeam]]))=UPPER(TRIM(StatsRegularSeason20242025!$CV$30)))</f>
        <v>0</v>
      </c>
      <c r="BD13" t="s">
        <v>441</v>
      </c>
      <c r="BE13" s="23">
        <f>COUNTIFS($N$3:$N$1315,1, $Q$3:$Q$1315, "Y")*$BG$13</f>
        <v>9</v>
      </c>
      <c r="BG13">
        <f>10/100</f>
        <v>0.1</v>
      </c>
      <c r="BI13" t="s">
        <v>157</v>
      </c>
      <c r="BJ13">
        <f>SUM(BJ3:BJ11)</f>
        <v>535</v>
      </c>
      <c r="BS13" s="2">
        <v>8</v>
      </c>
      <c r="BT13" s="110" cm="1">
        <f t="array" ref="BT13">SUM(--(ABS($F$3:$F$1315 - $J$3:$J$1315) = $BS13))</f>
        <v>0</v>
      </c>
      <c r="BU13" s="111">
        <f t="shared" si="7"/>
        <v>0</v>
      </c>
      <c r="BV13" s="112" cm="1">
        <f t="array" ref="BV13">SUM(--(ABS($G$3:$G$1315 - $K$3:$K$1315) = $BS13))</f>
        <v>0</v>
      </c>
      <c r="BW13" s="113">
        <f t="shared" si="8"/>
        <v>0</v>
      </c>
      <c r="BX13" s="109">
        <f t="shared" si="5"/>
        <v>0</v>
      </c>
      <c r="BY13" s="114">
        <f t="shared" si="6"/>
        <v>0</v>
      </c>
    </row>
    <row r="14" spans="1:83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" s="188">
        <f xml:space="preserve"> (UPPER(TRIM(Table2[[#This Row],[AwayTeam]]))=UPPER(TRIM(StatsRegularSeason20242025!$CV$30))) + (UPPER(TRIM(Table2[[#This Row],[HomeTeam]]))=UPPER(TRIM(StatsRegularSeason20242025!$CV$30)))</f>
        <v>0</v>
      </c>
      <c r="BS14" s="2">
        <v>9</v>
      </c>
      <c r="BT14" s="110" cm="1">
        <f t="array" ref="BT14">SUM(--(ABS($F$3:$F$1315 - $J$3:$J$1315) = $BS14))</f>
        <v>0</v>
      </c>
      <c r="BU14" s="111">
        <f t="shared" si="7"/>
        <v>0</v>
      </c>
      <c r="BV14" s="112" cm="1">
        <f t="array" ref="BV14">SUM(--(ABS($G$3:$G$1315 - $K$3:$K$1315) = $BS14))</f>
        <v>0</v>
      </c>
      <c r="BW14" s="113">
        <f t="shared" si="8"/>
        <v>0</v>
      </c>
      <c r="BX14" s="109">
        <f t="shared" si="5"/>
        <v>0</v>
      </c>
      <c r="BY14" s="114">
        <f t="shared" si="6"/>
        <v>0</v>
      </c>
    </row>
    <row r="15" spans="1:83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" s="188">
        <f xml:space="preserve"> (UPPER(TRIM(Table2[[#This Row],[AwayTeam]]))=UPPER(TRIM(StatsRegularSeason20242025!$CV$30))) + (UPPER(TRIM(Table2[[#This Row],[HomeTeam]]))=UPPER(TRIM(StatsRegularSeason20242025!$CV$30)))</f>
        <v>0</v>
      </c>
      <c r="BS15" s="2">
        <v>10</v>
      </c>
      <c r="BT15" s="110" cm="1">
        <f t="array" ref="BT15">SUM(--(ABS($F$3:$F$1315 - $J$3:$J$1315) = $BS15))</f>
        <v>0</v>
      </c>
      <c r="BU15" s="111">
        <f t="shared" si="7"/>
        <v>0</v>
      </c>
      <c r="BV15" s="112" cm="1">
        <f t="array" ref="BV15">SUM(--(ABS($G$3:$G$1315 - $K$3:$K$1315) = $BS15))</f>
        <v>0</v>
      </c>
      <c r="BW15" s="113">
        <f t="shared" si="8"/>
        <v>0</v>
      </c>
      <c r="BX15" s="109">
        <f t="shared" si="5"/>
        <v>0</v>
      </c>
      <c r="BY15" s="114">
        <f t="shared" si="6"/>
        <v>0</v>
      </c>
    </row>
    <row r="16" spans="1:83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" s="188">
        <f xml:space="preserve"> (UPPER(TRIM(Table2[[#This Row],[AwayTeam]]))=UPPER(TRIM(StatsRegularSeason20242025!$CV$30))) + (UPPER(TRIM(Table2[[#This Row],[HomeTeam]]))=UPPER(TRIM(StatsRegularSeason20242025!$CV$30)))</f>
        <v>0</v>
      </c>
      <c r="BS16" t="s">
        <v>467</v>
      </c>
      <c r="BT16" s="162">
        <f>((BS5*BU5)+(BU6*BS6)+(BU7*BS7)+(BU8*BS8)+(BU9*BS9)+(BU10*BS10)+(BU11*BS11)+(BU12*BS12)+(BU13*BS13)+(BU14*BS14)+(BU15*BS15))</f>
        <v>1.5424710424710424</v>
      </c>
      <c r="BU16" s="162"/>
      <c r="BV16" s="162">
        <f>((BS5*BW5)+(BW6*BS6)+(BW7*BS7)+(BW8*BS8)+(BW9*BS9)+(BW10*BS10)+(BW11*BS11)+(BW12*BS12)+(BW13*BS13)+(BW14*BS14)+(BW15*BS15))</f>
        <v>1.5888030888030888</v>
      </c>
      <c r="BW16" s="162"/>
      <c r="BY16">
        <f>((BS5*BY5)+(BY6*BS6)+(BY7*BS7)+(BY8*BS8)+(BY9*BS9)+(BY10*BS10)+(BY11*BS11)+(BY12*BS12)+(BY13*BS13)+(BY14*BS14)+(BY15*BS15))</f>
        <v>1.5656370656370655</v>
      </c>
    </row>
    <row r="17" spans="1:62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" s="188">
        <f xml:space="preserve"> (UPPER(TRIM(Table2[[#This Row],[AwayTeam]]))=UPPER(TRIM(StatsRegularSeason20242025!$CV$30))) + (UPPER(TRIM(Table2[[#This Row],[HomeTeam]]))=UPPER(TRIM(StatsRegularSeason20242025!$CV$30)))</f>
        <v>0</v>
      </c>
      <c r="BD17" t="s">
        <v>438</v>
      </c>
      <c r="BE17" s="23">
        <f>SUMIF($N$3:$N$1315,1, $AD$3:$AD$1315)</f>
        <v>259.900000000001</v>
      </c>
      <c r="BI17" t="s">
        <v>486</v>
      </c>
      <c r="BJ17">
        <f>COUNTIFS($N$3:$N$1315,1,$AC$3:$AC$1315,1)</f>
        <v>26</v>
      </c>
    </row>
    <row r="18" spans="1:62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" s="188">
        <f xml:space="preserve"> (UPPER(TRIM(Table2[[#This Row],[AwayTeam]]))=UPPER(TRIM(StatsRegularSeason20242025!$CV$30))) + (UPPER(TRIM(Table2[[#This Row],[HomeTeam]]))=UPPER(TRIM(StatsRegularSeason20242025!$CV$30)))</f>
        <v>0</v>
      </c>
      <c r="BD18" t="s">
        <v>439</v>
      </c>
      <c r="BE18" s="23">
        <f>BE17/$BE$4</f>
        <v>0.50173745173745365</v>
      </c>
      <c r="BI18" t="s">
        <v>759</v>
      </c>
      <c r="BJ18" s="10">
        <f>BJ17/BE4</f>
        <v>5.019305019305019E-2</v>
      </c>
    </row>
    <row r="19" spans="1:62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" s="188">
        <f xml:space="preserve"> (UPPER(TRIM(Table2[[#This Row],[AwayTeam]]))=UPPER(TRIM(StatsRegularSeason20242025!$CV$30))) + (UPPER(TRIM(Table2[[#This Row],[HomeTeam]]))=UPPER(TRIM(StatsRegularSeason20242025!$CV$30)))</f>
        <v>0</v>
      </c>
      <c r="BB19" t="s">
        <v>447</v>
      </c>
      <c r="BD19" t="s">
        <v>448</v>
      </c>
      <c r="BE19" s="23">
        <f>COUNTIFS($I$3:$I$1315,"OT",$M$3:$M$1315,"OT",$O$3:$O$1315,"N")</f>
        <v>11</v>
      </c>
    </row>
    <row r="20" spans="1:62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" s="188">
        <f xml:space="preserve"> (UPPER(TRIM(Table2[[#This Row],[AwayTeam]]))=UPPER(TRIM(StatsRegularSeason20242025!$CV$30))) + (UPPER(TRIM(Table2[[#This Row],[HomeTeam]]))=UPPER(TRIM(StatsRegularSeason20242025!$CV$30)))</f>
        <v>0</v>
      </c>
      <c r="BD20" t="s">
        <v>449</v>
      </c>
      <c r="BE20" s="23">
        <f>COUNTIFS($I$3:$I$1315,"SO",$M$3:$M$1315,"SO",$O$3:$O$1315,"N")</f>
        <v>4</v>
      </c>
      <c r="BJ20">
        <f>FIND("CGY", "FLA;EDM;COL;BOS;PIT;CGY")</f>
        <v>21</v>
      </c>
    </row>
    <row r="21" spans="1:62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" s="188">
        <f xml:space="preserve"> (UPPER(TRIM(Table2[[#This Row],[AwayTeam]]))=UPPER(TRIM(StatsRegularSeason20242025!$CV$30))) + (UPPER(TRIM(Table2[[#This Row],[HomeTeam]]))=UPPER(TRIM(StatsRegularSeason20242025!$CV$30)))</f>
        <v>1</v>
      </c>
      <c r="BD21" t="s">
        <v>450</v>
      </c>
      <c r="BE21" s="23">
        <f>COUNTIFS($I$3:$I$1315,"OT",$M$3:$M$1315,"SO",$O$3:$O$1315,"N")</f>
        <v>10</v>
      </c>
    </row>
    <row r="22" spans="1:62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" s="188">
        <f xml:space="preserve"> (UPPER(TRIM(Table2[[#This Row],[AwayTeam]]))=UPPER(TRIM(StatsRegularSeason20242025!$CV$30))) + (UPPER(TRIM(Table2[[#This Row],[HomeTeam]]))=UPPER(TRIM(StatsRegularSeason20242025!$CV$30)))</f>
        <v>0</v>
      </c>
      <c r="BD22" t="s">
        <v>451</v>
      </c>
      <c r="BE22">
        <f>COUNTIFS($I$3:$I$1315,"SO",$M$3:$M$1315,"OT",$O$3:$O$1315,"N")</f>
        <v>6</v>
      </c>
    </row>
    <row r="23" spans="1:62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" spans="1:62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" spans="1:62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" spans="1:62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" spans="1:62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" s="188">
        <f xml:space="preserve"> (UPPER(TRIM(Table2[[#This Row],[AwayTeam]]))=UPPER(TRIM(StatsRegularSeason20242025!$CV$30))) + (UPPER(TRIM(Table2[[#This Row],[HomeTeam]]))=UPPER(TRIM(StatsRegularSeason20242025!$CV$30)))</f>
        <v>0</v>
      </c>
      <c r="BD27" t="s">
        <v>502</v>
      </c>
      <c r="BE27">
        <v>1.8</v>
      </c>
    </row>
    <row r="28" spans="1:62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" s="188">
        <f xml:space="preserve"> (UPPER(TRIM(Table2[[#This Row],[AwayTeam]]))=UPPER(TRIM(StatsRegularSeason20242025!$CV$30))) + (UPPER(TRIM(Table2[[#This Row],[HomeTeam]]))=UPPER(TRIM(StatsRegularSeason20242025!$CV$30)))</f>
        <v>0</v>
      </c>
      <c r="BD28" t="s">
        <v>503</v>
      </c>
      <c r="BE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2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" s="188">
        <f xml:space="preserve"> (UPPER(TRIM(Table2[[#This Row],[AwayTeam]]))=UPPER(TRIM(StatsRegularSeason20242025!$CV$30))) + (UPPER(TRIM(Table2[[#This Row],[HomeTeam]]))=UPPER(TRIM(StatsRegularSeason20242025!$CV$30)))</f>
        <v>0</v>
      </c>
      <c r="BD29" t="s">
        <v>504</v>
      </c>
      <c r="BE29" s="24">
        <f ca="1">BE28*BE27</f>
        <v>0</v>
      </c>
    </row>
    <row r="30" spans="1:62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" spans="1:62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" s="188">
        <f xml:space="preserve"> (UPPER(TRIM(Table2[[#This Row],[AwayTeam]]))=UPPER(TRIM(StatsRegularSeason20242025!$CV$30))) + (UPPER(TRIM(Table2[[#This Row],[HomeTeam]]))=UPPER(TRIM(StatsRegularSeason20242025!$CV$30)))</f>
        <v>0</v>
      </c>
      <c r="BD31" t="s">
        <v>489</v>
      </c>
      <c r="BE31" s="66" t="s">
        <v>751</v>
      </c>
      <c r="BI31" t="str">
        <f>_xlfn.TEXTJOIN(";", 1, $BE31:$BE$40)</f>
        <v>col</v>
      </c>
    </row>
    <row r="32" spans="1:62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" s="188">
        <f xml:space="preserve"> (UPPER(TRIM(Table2[[#This Row],[AwayTeam]]))=UPPER(TRIM(StatsRegularSeason20242025!$CV$30))) + (UPPER(TRIM(Table2[[#This Row],[HomeTeam]]))=UPPER(TRIM(StatsRegularSeason20242025!$CV$30)))</f>
        <v>0</v>
      </c>
      <c r="BE32" s="67"/>
    </row>
    <row r="33" spans="1:61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" s="188">
        <f xml:space="preserve"> (UPPER(TRIM(Table2[[#This Row],[AwayTeam]]))=UPPER(TRIM(StatsRegularSeason20242025!$CV$30))) + (UPPER(TRIM(Table2[[#This Row],[HomeTeam]]))=UPPER(TRIM(StatsRegularSeason20242025!$CV$30)))</f>
        <v>0</v>
      </c>
      <c r="BE33" s="67"/>
      <c r="BI33">
        <f>FIND("Avery", "BriggsAveryBriggs")</f>
        <v>7</v>
      </c>
    </row>
    <row r="34" spans="1:61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" s="188">
        <f xml:space="preserve"> (UPPER(TRIM(Table2[[#This Row],[AwayTeam]]))=UPPER(TRIM(StatsRegularSeason20242025!$CV$30))) + (UPPER(TRIM(Table2[[#This Row],[HomeTeam]]))=UPPER(TRIM(StatsRegularSeason20242025!$CV$30)))</f>
        <v>0</v>
      </c>
      <c r="BE34" s="67"/>
      <c r="BI34">
        <f>IFERROR(FIND("Avery", "BriggsBriggs"), 0)</f>
        <v>0</v>
      </c>
    </row>
    <row r="35" spans="1:61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" s="188">
        <f xml:space="preserve"> (UPPER(TRIM(Table2[[#This Row],[AwayTeam]]))=UPPER(TRIM(StatsRegularSeason20242025!$CV$30))) + (UPPER(TRIM(Table2[[#This Row],[HomeTeam]]))=UPPER(TRIM(StatsRegularSeason20242025!$CV$30)))</f>
        <v>0</v>
      </c>
      <c r="BE35" s="67"/>
      <c r="BI35">
        <f>IFERROR(FIND("Avery", "AveryBriggsBriggs"), 0)</f>
        <v>1</v>
      </c>
    </row>
    <row r="36" spans="1:61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" s="188">
        <f xml:space="preserve"> (UPPER(TRIM(Table2[[#This Row],[AwayTeam]]))=UPPER(TRIM(StatsRegularSeason20242025!$CV$30))) + (UPPER(TRIM(Table2[[#This Row],[HomeTeam]]))=UPPER(TRIM(StatsRegularSeason20242025!$CV$30)))</f>
        <v>0</v>
      </c>
      <c r="BE36" s="67"/>
    </row>
    <row r="37" spans="1:61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" s="188">
        <f xml:space="preserve"> (UPPER(TRIM(Table2[[#This Row],[AwayTeam]]))=UPPER(TRIM(StatsRegularSeason20242025!$CV$30))) + (UPPER(TRIM(Table2[[#This Row],[HomeTeam]]))=UPPER(TRIM(StatsRegularSeason20242025!$CV$30)))</f>
        <v>0</v>
      </c>
      <c r="BE37" s="67"/>
    </row>
    <row r="38" spans="1:61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" s="188">
        <f xml:space="preserve"> (UPPER(TRIM(Table2[[#This Row],[AwayTeam]]))=UPPER(TRIM(StatsRegularSeason20242025!$CV$30))) + (UPPER(TRIM(Table2[[#This Row],[HomeTeam]]))=UPPER(TRIM(StatsRegularSeason20242025!$CV$30)))</f>
        <v>0</v>
      </c>
      <c r="BE38" s="67"/>
    </row>
    <row r="39" spans="1:61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" s="189">
        <f xml:space="preserve"> (UPPER(TRIM(Table2[[#This Row],[AwayTeam]]))=UPPER(TRIM(StatsRegularSeason20242025!$CV$30))) + (UPPER(TRIM(Table2[[#This Row],[HomeTeam]]))=UPPER(TRIM(StatsRegularSeason20242025!$CV$30)))</f>
        <v>0</v>
      </c>
      <c r="BE39" s="67"/>
    </row>
    <row r="40" spans="1:61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" s="189">
        <f xml:space="preserve"> (UPPER(TRIM(Table2[[#This Row],[AwayTeam]]))=UPPER(TRIM(StatsRegularSeason20242025!$CV$30))) + (UPPER(TRIM(Table2[[#This Row],[HomeTeam]]))=UPPER(TRIM(StatsRegularSeason20242025!$CV$30)))</f>
        <v>0</v>
      </c>
      <c r="BE40" s="68"/>
    </row>
    <row r="41" spans="1:61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" spans="1:61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" spans="1:61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" spans="1:61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" spans="1:61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" s="188">
        <f xml:space="preserve"> (UPPER(TRIM(Table2[[#This Row],[AwayTeam]]))=UPPER(TRIM(StatsRegularSeason20242025!$CV$30))) + (UPPER(TRIM(Table2[[#This Row],[HomeTeam]]))=UPPER(TRIM(StatsRegularSeason20242025!$CV$30)))</f>
        <v>0</v>
      </c>
      <c r="BG45" t="s">
        <v>752</v>
      </c>
      <c r="BH45" t="s">
        <v>754</v>
      </c>
      <c r="BI45" t="s">
        <v>756</v>
      </c>
    </row>
    <row r="46" spans="1:61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" s="188">
        <f xml:space="preserve"> (UPPER(TRIM(Table2[[#This Row],[AwayTeam]]))=UPPER(TRIM(StatsRegularSeason20242025!$CV$30))) + (UPPER(TRIM(Table2[[#This Row],[HomeTeam]]))=UPPER(TRIM(StatsRegularSeason20242025!$CV$30)))</f>
        <v>0</v>
      </c>
      <c r="BE46" s="2" t="s">
        <v>509</v>
      </c>
      <c r="BG46" t="s">
        <v>753</v>
      </c>
      <c r="BH46" t="s">
        <v>755</v>
      </c>
    </row>
    <row r="47" spans="1:61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" s="188">
        <f xml:space="preserve"> (UPPER(TRIM(Table2[[#This Row],[AwayTeam]]))=UPPER(TRIM(StatsRegularSeason20242025!$CV$30))) + (UPPER(TRIM(Table2[[#This Row],[HomeTeam]]))=UPPER(TRIM(StatsRegularSeason20242025!$CV$30)))</f>
        <v>0</v>
      </c>
      <c r="BE47" s="66" t="s">
        <v>29</v>
      </c>
      <c r="BG47" s="66" t="s">
        <v>13</v>
      </c>
      <c r="BH47" s="66" t="s">
        <v>17</v>
      </c>
      <c r="BI47" s="66" t="s">
        <v>24</v>
      </c>
    </row>
    <row r="48" spans="1:61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" s="188">
        <f xml:space="preserve"> (UPPER(TRIM(Table2[[#This Row],[AwayTeam]]))=UPPER(TRIM(StatsRegularSeason20242025!$CV$30))) + (UPPER(TRIM(Table2[[#This Row],[HomeTeam]]))=UPPER(TRIM(StatsRegularSeason20242025!$CV$30)))</f>
        <v>0</v>
      </c>
      <c r="BE48" s="67" t="s">
        <v>17</v>
      </c>
      <c r="BG48" s="67" t="s">
        <v>26</v>
      </c>
      <c r="BH48" s="67" t="s">
        <v>18</v>
      </c>
      <c r="BI48" s="67" t="s">
        <v>23</v>
      </c>
    </row>
    <row r="49" spans="1:61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" s="188">
        <f xml:space="preserve"> (UPPER(TRIM(Table2[[#This Row],[AwayTeam]]))=UPPER(TRIM(StatsRegularSeason20242025!$CV$30))) + (UPPER(TRIM(Table2[[#This Row],[HomeTeam]]))=UPPER(TRIM(StatsRegularSeason20242025!$CV$30)))</f>
        <v>0</v>
      </c>
      <c r="BE49" s="67" t="s">
        <v>18</v>
      </c>
      <c r="BG49" s="67" t="s">
        <v>25</v>
      </c>
      <c r="BH49" s="67" t="s">
        <v>15</v>
      </c>
      <c r="BI49" s="67" t="s">
        <v>22</v>
      </c>
    </row>
    <row r="50" spans="1:61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" s="188">
        <f xml:space="preserve"> (UPPER(TRIM(Table2[[#This Row],[AwayTeam]]))=UPPER(TRIM(StatsRegularSeason20242025!$CV$30))) + (UPPER(TRIM(Table2[[#This Row],[HomeTeam]]))=UPPER(TRIM(StatsRegularSeason20242025!$CV$30)))</f>
        <v>0</v>
      </c>
      <c r="BE50" s="67" t="s">
        <v>21</v>
      </c>
      <c r="BG50" s="67" t="s">
        <v>40</v>
      </c>
      <c r="BH50" s="67" t="s">
        <v>30</v>
      </c>
      <c r="BI50" s="67" t="s">
        <v>21</v>
      </c>
    </row>
    <row r="51" spans="1:61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" s="189">
        <f xml:space="preserve"> (UPPER(TRIM(Table2[[#This Row],[AwayTeam]]))=UPPER(TRIM(StatsRegularSeason20242025!$CV$30))) + (UPPER(TRIM(Table2[[#This Row],[HomeTeam]]))=UPPER(TRIM(StatsRegularSeason20242025!$CV$30)))</f>
        <v>0</v>
      </c>
      <c r="BE51" s="67" t="s">
        <v>22</v>
      </c>
      <c r="BG51" s="67" t="s">
        <v>12</v>
      </c>
      <c r="BH51" s="67" t="s">
        <v>16</v>
      </c>
      <c r="BI51" s="67" t="s">
        <v>17</v>
      </c>
    </row>
    <row r="52" spans="1:61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" s="188">
        <f xml:space="preserve"> (UPPER(TRIM(Table2[[#This Row],[AwayTeam]]))=UPPER(TRIM(StatsRegularSeason20242025!$CV$30))) + (UPPER(TRIM(Table2[[#This Row],[HomeTeam]]))=UPPER(TRIM(StatsRegularSeason20242025!$CV$30)))</f>
        <v>0</v>
      </c>
      <c r="BE52" s="67" t="s">
        <v>24</v>
      </c>
      <c r="BG52" s="67" t="s">
        <v>43</v>
      </c>
      <c r="BH52" s="67" t="s">
        <v>19</v>
      </c>
      <c r="BI52" s="67" t="s">
        <v>29</v>
      </c>
    </row>
    <row r="53" spans="1:61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" s="188">
        <f xml:space="preserve"> (UPPER(TRIM(Table2[[#This Row],[AwayTeam]]))=UPPER(TRIM(StatsRegularSeason20242025!$CV$30))) + (UPPER(TRIM(Table2[[#This Row],[HomeTeam]]))=UPPER(TRIM(StatsRegularSeason20242025!$CV$30)))</f>
        <v>0</v>
      </c>
      <c r="BE53" s="67" t="s">
        <v>23</v>
      </c>
      <c r="BG53" s="67" t="s">
        <v>20</v>
      </c>
      <c r="BH53" s="67"/>
      <c r="BI53" s="67" t="s">
        <v>18</v>
      </c>
    </row>
    <row r="54" spans="1:61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" s="188">
        <f xml:space="preserve"> (UPPER(TRIM(Table2[[#This Row],[AwayTeam]]))=UPPER(TRIM(StatsRegularSeason20242025!$CV$30))) + (UPPER(TRIM(Table2[[#This Row],[HomeTeam]]))=UPPER(TRIM(StatsRegularSeason20242025!$CV$30)))</f>
        <v>0</v>
      </c>
      <c r="BE54" s="67"/>
      <c r="BG54" s="67" t="s">
        <v>16</v>
      </c>
      <c r="BH54" s="67"/>
      <c r="BI54" s="67"/>
    </row>
    <row r="55" spans="1:61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" s="188">
        <f xml:space="preserve"> (UPPER(TRIM(Table2[[#This Row],[AwayTeam]]))=UPPER(TRIM(StatsRegularSeason20242025!$CV$30))) + (UPPER(TRIM(Table2[[#This Row],[HomeTeam]]))=UPPER(TRIM(StatsRegularSeason20242025!$CV$30)))</f>
        <v>1</v>
      </c>
      <c r="BE55" s="67"/>
      <c r="BG55" s="67"/>
      <c r="BH55" s="67"/>
      <c r="BI55" s="67"/>
    </row>
    <row r="56" spans="1:61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" s="188">
        <f xml:space="preserve"> (UPPER(TRIM(Table2[[#This Row],[AwayTeam]]))=UPPER(TRIM(StatsRegularSeason20242025!$CV$30))) + (UPPER(TRIM(Table2[[#This Row],[HomeTeam]]))=UPPER(TRIM(StatsRegularSeason20242025!$CV$30)))</f>
        <v>0</v>
      </c>
      <c r="BE56" s="68"/>
      <c r="BG56" s="68"/>
      <c r="BH56" s="68"/>
      <c r="BI56" s="68"/>
    </row>
    <row r="57" spans="1:61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" spans="1:61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" spans="1:61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" spans="1:61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" spans="1:61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" spans="1:61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" spans="1:61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" spans="1:61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" spans="1:49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" spans="1:49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" spans="1:49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" spans="1:49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" spans="1:49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" spans="1:49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" spans="1:49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" spans="1:49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" spans="1:49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" spans="1:49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" spans="1:49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" spans="1:49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" spans="1:49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" spans="1:49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" spans="1:49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" spans="1:49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" spans="1:49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" spans="1:49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" spans="1:49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" spans="1:49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" spans="1:49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" spans="1:49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" spans="1:49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" spans="1:49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" spans="1:49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" spans="1:49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" spans="1:49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" spans="1:49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" spans="1:49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" spans="1:49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" spans="1:49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" spans="1:49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" spans="1:49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" spans="1:49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9" spans="1:49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" spans="1:49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" spans="1:49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" spans="1:49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" spans="1:49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" spans="1:49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" spans="1:49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" spans="1:49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" spans="1:49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" spans="1:49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" spans="1:49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" spans="1:49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" spans="1:49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" spans="1:49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" spans="1:49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" spans="1:49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" spans="1:49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" spans="1:49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" spans="1:49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" spans="1:49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" spans="1:49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" spans="1:49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" spans="1:49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" s="2" t="str">
        <f>INDEX(Sheet5!$B$2:$AG$33, MATCH(Table2[[#This Row],[AwayTeam]],Sheet5!$A$2:$A$33, 0), MATCH(Table2[[#This Row],[HomeTeam]],Sheet5!$A$2:$A$33, 0))</f>
        <v>1-1-0</v>
      </c>
      <c r="AP121" s="2" t="str">
        <f>INDEX(Sheet5!$B$2:$AG$33, MATCH(Table2[[#This Row],[HomeTeam]],Sheet5!$A$2:$A$33, 0), MATCH(Table2[[#This Row],[AwayTeam]],Sheet5!$A$2:$A$33, 0))</f>
        <v>1-0-1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" spans="1:49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" spans="1:49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" spans="1:49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" spans="1:49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" spans="1:49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" spans="1:49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" spans="1:49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9" spans="1:49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" spans="1:49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" spans="1:49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2" spans="1:49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3" spans="1:49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4" spans="1:49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5" spans="1:49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6" spans="1:49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7" spans="1:49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8" spans="1:49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9" spans="1:49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0" spans="1:49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1" spans="1:49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2" spans="1:49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3" spans="1:49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4" spans="1:49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5" spans="1:49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6" spans="1:49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7" spans="1:49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8" spans="1:49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49" spans="1:49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0" spans="1:49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1" spans="1:49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2" spans="1:49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3" spans="1:49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54" spans="1:49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5" spans="1:49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6" spans="1:49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7" spans="1:49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8" spans="1:49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9" spans="1:49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0" spans="1:49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1" spans="1:49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2" spans="1:49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3" spans="1:49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4" spans="1:49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5" spans="1:49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6" spans="1:49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7" spans="1:49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8" spans="1:49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8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8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9" spans="1:49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0" spans="1:49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71" spans="1:49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2" spans="1:49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3" spans="1:49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4" spans="1:49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5" spans="1:49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6" spans="1:49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7" spans="1:49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8" spans="1:49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9" spans="1:49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0" spans="1:49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1" spans="1:49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2" spans="1:49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8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3" spans="1:49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4" spans="1:49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5" spans="1:49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86" spans="1:49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7" spans="1:49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8" spans="1:49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9" spans="1:49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0" spans="1:49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1" spans="1:49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2" spans="1:49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3" spans="1:49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4" spans="1:49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5" spans="1:49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6" spans="1:49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7" spans="1:49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8" spans="1:49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99" spans="1:49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0" spans="1:49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1" spans="1:49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2" spans="1:49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3" spans="1:49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4" spans="1:49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5" spans="1:49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6" spans="1:49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7" spans="1:49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8" spans="1:49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9" spans="1:49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0" spans="1:49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1" spans="1:49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2" spans="1:49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3" spans="1:49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4" spans="1:49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5" spans="1:49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6" spans="1:49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7" spans="1:49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18" spans="1:49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9" spans="1:49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0" spans="1:49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1" spans="1:49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2" spans="1:49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3" spans="1:49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4" spans="1:49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5" spans="1:49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6" spans="1:49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7" spans="1:49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8" spans="1:49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9" spans="1:49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0" spans="1:49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1" spans="1:49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32" spans="1:49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3" spans="1:49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4" spans="1:49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5" spans="1:49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6" spans="1:49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7" spans="1:49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8" spans="1:49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9" spans="1:49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0" spans="1:49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1" spans="1:49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2" spans="1:49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3" spans="1:49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4" spans="1:49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5" spans="1:49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6" spans="1:49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7" spans="1:49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8" spans="1:49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9" spans="1:49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0" spans="1:49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1" spans="1:49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52" spans="1:49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3" spans="1:49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4" spans="1:49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5" spans="1:49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6" spans="1:49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7" spans="1:49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5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8" spans="1:49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5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9" spans="1:49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0" spans="1:49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1" spans="1:49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2" spans="1:49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3" spans="1:49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4" spans="1:49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5" spans="1:49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6" spans="1:49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7" spans="1:49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8" spans="1:49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9" spans="1:49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0" spans="1:49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1" spans="1:49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2" spans="1:49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3" spans="1:49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4" spans="1:49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5" spans="1:49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6" spans="1:49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7" spans="1:49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8" spans="1:49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79" spans="1:49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0" spans="1:49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1" spans="1:49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2" spans="1:49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3" spans="1:49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4" spans="1:49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5" spans="1:49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5" s="2" t="str">
        <f>INDEX(Sheet5!$B$2:$AG$33, MATCH(Table2[[#This Row],[AwayTeam]],Sheet5!$A$2:$A$33, 0), MATCH(Table2[[#This Row],[HomeTeam]],Sheet5!$A$2:$A$33, 0))</f>
        <v>1-1-0</v>
      </c>
      <c r="AP285" s="2" t="str">
        <f>INDEX(Sheet5!$B$2:$AG$33, MATCH(Table2[[#This Row],[HomeTeam]],Sheet5!$A$2:$A$33, 0), MATCH(Table2[[#This Row],[AwayTeam]],Sheet5!$A$2:$A$33, 0))</f>
        <v>1-1-0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6" spans="1:49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7" spans="1:49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8" spans="1:49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9" spans="1:49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0" spans="1:49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1" spans="1:49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2" spans="1:49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3" spans="1:49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4" spans="1:49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5" spans="1:49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6" spans="1:49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6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97" spans="1:49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8" spans="1:49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9" spans="1:49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0" spans="1:49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1" spans="1:49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2" spans="1:49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3" spans="1:49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4" spans="1:49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5" spans="1:49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6" spans="1:49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7" spans="1:49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8" spans="1:49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9" spans="1:49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0" spans="1:49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1" spans="1:49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2" spans="1:49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3" spans="1:49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4" spans="1:49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4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5" spans="1:49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6" spans="1:49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7" spans="1:49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8" spans="1:49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9" spans="1:49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0" spans="1:49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1" spans="1:49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2" spans="1:49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3" spans="1:49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4" spans="1:49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5" spans="1:49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6" spans="1:49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7" spans="1:49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8" spans="1:49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9" spans="1:49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0" spans="1:49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1" spans="1:49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2" spans="1:49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3" spans="1:49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4" spans="1:49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5" spans="1:49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6" spans="1:49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7" spans="1:49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8" spans="1:49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9" spans="1:49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0" spans="1:49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1" spans="1:49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2" spans="1:49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3" spans="1:49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4" spans="1:49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5" spans="1:49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6" spans="1:49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7" spans="1:49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48" spans="1:49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9" spans="1:49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0" spans="1:49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1" spans="1:49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2" spans="1:49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3" spans="1:49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4" spans="1:49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54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55" spans="1:49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6" spans="1:49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7" spans="1:49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8" spans="1:49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9" spans="1:49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0" spans="1:49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1" spans="1:49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6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2" spans="1:49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2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2" s="15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3" spans="1:49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4" spans="1:49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4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65" spans="1:49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6" spans="1:49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7" spans="1:49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8" spans="1:49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9" spans="1:49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0" spans="1:49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1" spans="1:49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2" spans="1:49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3" spans="1:49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4" spans="1:49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5" spans="1:49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6" spans="1:49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7" spans="1:49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8" spans="1:49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9" spans="1:49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0" spans="1:49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1" spans="1:49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2" spans="1:49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83" spans="1:49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4" spans="1:49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5" spans="1:49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6" spans="1:49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7" spans="1:49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8" spans="1:49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9" spans="1:49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0" spans="1:49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1" spans="1:49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2" spans="1:49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3" spans="1:49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4" spans="1:49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9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3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5" spans="1:49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6" spans="1:49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7" spans="1:49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8" spans="1:49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9" spans="1:49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0" spans="1:49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1" spans="1:49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2" spans="1:49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3" spans="1:49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4" spans="1:49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5" spans="1:49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6" spans="1:49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6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07" spans="1:49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8" spans="1:49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9" spans="1:49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0" spans="1:49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1" spans="1:49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2" spans="1:49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3" spans="1:49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4" spans="1:49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5" spans="1:49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6" spans="1:49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7" spans="1:49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8" spans="1:49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19" spans="1:49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9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4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0" spans="1:49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1" spans="1:49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2" spans="1:49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3" spans="1:49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4" spans="1:49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5" spans="1:49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6" spans="1:49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7" spans="1:49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8" spans="1:49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9" spans="1:49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0" spans="1:49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1" spans="1:49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2" spans="1:49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3" spans="1:49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4" spans="1:49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5" spans="1:49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36" spans="1:49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7" spans="1:49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8" spans="1:49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9" spans="1:49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0" spans="1:49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1" spans="1:49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2" spans="1:49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3" spans="1:49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4" spans="1:49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5" spans="1:49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6" spans="1:49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7" spans="1:49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8" spans="1:49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9" spans="1:49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0" spans="1:49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51" spans="1:49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2" spans="1:49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3" spans="1:49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4" spans="1:49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5" spans="1:49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6" spans="1:49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7" spans="1:49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8" spans="1:49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9" spans="1:49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0" spans="1:49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1" spans="1:49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2" spans="1:49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3" spans="1:49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4" spans="1:49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5" spans="1:49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66" spans="1:49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7" spans="1:49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8" spans="1:49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9" spans="1:49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0" spans="1:49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1" spans="1:49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2" spans="1:49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3" spans="1:49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4" spans="1:49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5" spans="1:49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6" spans="1:49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7" spans="1:49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8" spans="1:49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9" spans="1:49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80" spans="1:49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1" spans="1:49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2" spans="1:49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3" spans="1:49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4" spans="1:49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5" spans="1:49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6" spans="1:49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7" spans="1:49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8" spans="1:49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9" spans="1:49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9" s="2" t="str">
        <f>INDEX(Sheet5!$B$2:$AG$33, MATCH(Table2[[#This Row],[AwayTeam]],Sheet5!$A$2:$A$33, 0), MATCH(Table2[[#This Row],[HomeTeam]],Sheet5!$A$2:$A$33, 0))</f>
        <v>0-2-0</v>
      </c>
      <c r="AP489" s="2" t="str">
        <f>INDEX(Sheet5!$B$2:$AG$33, MATCH(Table2[[#This Row],[HomeTeam]],Sheet5!$A$2:$A$33, 0), MATCH(Table2[[#This Row],[AwayTeam]],Sheet5!$A$2:$A$33, 0))</f>
        <v>2-0-0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0" spans="1:49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1" spans="1:49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2" spans="1:49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3" spans="1:49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4" spans="1:49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5" spans="1:49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6" spans="1:49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7" spans="1:49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8" spans="1:49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9" spans="1:49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0" spans="1:49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1" spans="1:49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2" spans="1:49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3" spans="1:49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4" spans="1:49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5" spans="1:49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6" spans="1:49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7" spans="1:49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8" spans="1:49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9" spans="1:49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9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10" spans="1:49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1" spans="1:49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2" spans="1:49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3" spans="1:49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4" spans="1:49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5" spans="1:49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6" spans="1:49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>
        <v>5</v>
      </c>
      <c r="K516" s="2">
        <v>2</v>
      </c>
      <c r="L516" s="2" t="str">
        <f t="shared" si="45"/>
        <v>FLA</v>
      </c>
      <c r="M516" s="2" t="s">
        <v>718</v>
      </c>
      <c r="N516" s="2">
        <f>IF(ISBLANK(Table2[[#This Row],[ActualResult]]), 0, 1)</f>
        <v>1</v>
      </c>
      <c r="O516" s="2" t="str">
        <f>IF(ISBLANK(Table2[[#This Row],[ActualResult]]), "_", IF(Table2[[#This Row],[ActualWinner]]=Table2[[#This Row],[PredictedWinner]], "Y", "N"))</f>
        <v>Y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6" s="2">
        <v>1</v>
      </c>
      <c r="S516" s="2" t="str">
        <f t="shared" si="46"/>
        <v>TBL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2</v>
      </c>
      <c r="AG516" s="2">
        <f>Table2[[#This Row],[ActualHomeScore]]-Table2[[#This Row],[PredictedHomeScore]]</f>
        <v>0</v>
      </c>
      <c r="AH516" s="2">
        <f t="shared" si="47"/>
        <v>5</v>
      </c>
      <c r="AI516" s="2">
        <f t="shared" si="48"/>
        <v>-3</v>
      </c>
      <c r="AJ516" s="2">
        <v>1</v>
      </c>
      <c r="AK516" s="3">
        <v>46006</v>
      </c>
      <c r="AL516" s="2">
        <f>IF(Table2[[#This Row],[GameIsOver]]=0,0,IF(Table2[[#This Row],[ActualWinner]]=Table2[[#This Row],[AwayTeam]], 1, 0))</f>
        <v>1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6" s="2" t="str">
        <f>INDEX(Sheet5!$B$2:$AG$33, MATCH(Table2[[#This Row],[AwayTeam]],Sheet5!$A$2:$A$33, 0), MATCH(Table2[[#This Row],[HomeTeam]],Sheet5!$A$2:$A$33, 0))</f>
        <v>1-1-0</v>
      </c>
      <c r="AP516" s="2" t="str">
        <f>INDEX(Sheet5!$B$2:$AG$33, MATCH(Table2[[#This Row],[HomeTeam]],Sheet5!$A$2:$A$33, 0), MATCH(Table2[[#This Row],[AwayTeam]],Sheet5!$A$2:$A$33, 0))</f>
        <v>1-1-0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0</v>
      </c>
      <c r="AU5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7" spans="1:49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>
        <v>4</v>
      </c>
      <c r="K517" s="2">
        <v>1</v>
      </c>
      <c r="L517" s="2" t="str">
        <f t="shared" si="45"/>
        <v>ANA</v>
      </c>
      <c r="M517" s="2" t="s">
        <v>718</v>
      </c>
      <c r="N517" s="2">
        <f>IF(ISBLANK(Table2[[#This Row],[ActualResult]]), 0, 1)</f>
        <v>1</v>
      </c>
      <c r="O517" s="2" t="str">
        <f>IF(ISBLANK(Table2[[#This Row],[ActualResult]]), "_", IF(Table2[[#This Row],[ActualWinner]]=Table2[[#This Row],[PredictedWinner]], "Y", "N"))</f>
        <v>N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7" s="2">
        <v>1</v>
      </c>
      <c r="S517" s="2" t="str">
        <f t="shared" si="46"/>
        <v>NYR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1</v>
      </c>
      <c r="AG517" s="2">
        <f>Table2[[#This Row],[ActualHomeScore]]-Table2[[#This Row],[PredictedHomeScore]]</f>
        <v>-3</v>
      </c>
      <c r="AH517" s="2">
        <f t="shared" si="47"/>
        <v>5</v>
      </c>
      <c r="AI517" s="2">
        <f t="shared" si="48"/>
        <v>-3</v>
      </c>
      <c r="AJ517" s="2">
        <v>2</v>
      </c>
      <c r="AK517" s="3">
        <v>46006</v>
      </c>
      <c r="AL517" s="2">
        <f>IF(Table2[[#This Row],[GameIsOver]]=0,0,IF(Table2[[#This Row],[ActualWinner]]=Table2[[#This Row],[AwayTeam]], 1, 0))</f>
        <v>1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7" s="2" t="str">
        <f>INDEX(Sheet5!$B$2:$AG$33, MATCH(Table2[[#This Row],[AwayTeam]],Sheet5!$A$2:$A$33, 0), MATCH(Table2[[#This Row],[HomeTeam]],Sheet5!$A$2:$A$33, 0))</f>
        <v>1-0-0</v>
      </c>
      <c r="AP517" s="2" t="str">
        <f>INDEX(Sheet5!$B$2:$AG$33, MATCH(Table2[[#This Row],[HomeTeam]],Sheet5!$A$2:$A$33, 0), MATCH(Table2[[#This Row],[AwayTeam]],Sheet5!$A$2:$A$33, 0))</f>
        <v>0-1-0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0</v>
      </c>
      <c r="AU5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8" spans="1:49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>
        <v>3</v>
      </c>
      <c r="K518" s="2">
        <v>2</v>
      </c>
      <c r="L518" s="2" t="str">
        <f t="shared" si="45"/>
        <v>OTT</v>
      </c>
      <c r="M518" s="2" t="s">
        <v>720</v>
      </c>
      <c r="N518" s="2">
        <f>IF(ISBLANK(Table2[[#This Row],[ActualResult]]), 0, 1)</f>
        <v>1</v>
      </c>
      <c r="O518" s="2" t="str">
        <f>IF(ISBLANK(Table2[[#This Row],[ActualResult]]), "_", IF(Table2[[#This Row],[ActualWinner]]=Table2[[#This Row],[PredictedWinner]], "Y", "N"))</f>
        <v>N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8" s="2">
        <v>1</v>
      </c>
      <c r="S518" s="2" t="str">
        <f t="shared" si="46"/>
        <v>WPG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2</v>
      </c>
      <c r="AG518" s="2">
        <f>Table2[[#This Row],[ActualHomeScore]]-Table2[[#This Row],[PredictedHomeScore]]</f>
        <v>0</v>
      </c>
      <c r="AH518" s="2">
        <f t="shared" si="47"/>
        <v>5</v>
      </c>
      <c r="AI518" s="2">
        <f t="shared" si="48"/>
        <v>-3</v>
      </c>
      <c r="AJ518" s="2">
        <v>5</v>
      </c>
      <c r="AK518" s="3">
        <v>46006</v>
      </c>
      <c r="AL518" s="2">
        <f>IF(Table2[[#This Row],[GameIsOver]]=0,0,IF(Table2[[#This Row],[ActualWinner]]=Table2[[#This Row],[AwayTeam]], 1, 0))</f>
        <v>1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8" s="2" t="str">
        <f>INDEX(Sheet5!$B$2:$AG$33, MATCH(Table2[[#This Row],[AwayTeam]],Sheet5!$A$2:$A$33, 0), MATCH(Table2[[#This Row],[HomeTeam]],Sheet5!$A$2:$A$33, 0))</f>
        <v>1-0-0</v>
      </c>
      <c r="AP518" s="2" t="str">
        <f>INDEX(Sheet5!$B$2:$AG$33, MATCH(Table2[[#This Row],[HomeTeam]],Sheet5!$A$2:$A$33, 0), MATCH(Table2[[#This Row],[AwayTeam]],Sheet5!$A$2:$A$33, 0))</f>
        <v>0-0-1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0</v>
      </c>
      <c r="AU5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9" spans="1:49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>
        <v>5</v>
      </c>
      <c r="K519" s="2">
        <v>2</v>
      </c>
      <c r="L519" s="2" t="str">
        <f t="shared" si="45"/>
        <v>NSH</v>
      </c>
      <c r="M519" s="2" t="s">
        <v>718</v>
      </c>
      <c r="N519" s="2">
        <f>IF(ISBLANK(Table2[[#This Row],[ActualResult]]), 0, 1)</f>
        <v>1</v>
      </c>
      <c r="O519" s="2" t="str">
        <f>IF(ISBLANK(Table2[[#This Row],[ActualResult]]), "_", IF(Table2[[#This Row],[ActualWinner]]=Table2[[#This Row],[PredictedWinner]], "Y", "N"))</f>
        <v>Y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9" s="2">
        <v>1</v>
      </c>
      <c r="S519" s="2" t="str">
        <f t="shared" si="46"/>
        <v>STL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1</v>
      </c>
      <c r="AG519" s="2">
        <f>Table2[[#This Row],[ActualHomeScore]]-Table2[[#This Row],[PredictedHomeScore]]</f>
        <v>-1</v>
      </c>
      <c r="AH519" s="2">
        <f t="shared" si="47"/>
        <v>5</v>
      </c>
      <c r="AI519" s="2">
        <f t="shared" si="48"/>
        <v>-3</v>
      </c>
      <c r="AJ519" s="2">
        <v>3</v>
      </c>
      <c r="AK519" s="3">
        <v>46006</v>
      </c>
      <c r="AL519" s="2">
        <f>IF(Table2[[#This Row],[GameIsOver]]=0,0,IF(Table2[[#This Row],[ActualWinner]]=Table2[[#This Row],[AwayTeam]], 1, 0))</f>
        <v>1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9" s="2" t="str">
        <f>INDEX(Sheet5!$B$2:$AG$33, MATCH(Table2[[#This Row],[AwayTeam]],Sheet5!$A$2:$A$33, 0), MATCH(Table2[[#This Row],[HomeTeam]],Sheet5!$A$2:$A$33, 0))</f>
        <v>2-0-0</v>
      </c>
      <c r="AP519" s="2" t="str">
        <f>INDEX(Sheet5!$B$2:$AG$33, MATCH(Table2[[#This Row],[HomeTeam]],Sheet5!$A$2:$A$33, 0), MATCH(Table2[[#This Row],[AwayTeam]],Sheet5!$A$2:$A$33, 0))</f>
        <v>0-2-0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0</v>
      </c>
      <c r="AU5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0" spans="1:49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>
        <v>1</v>
      </c>
      <c r="K520" s="143">
        <v>4</v>
      </c>
      <c r="L520" s="143" t="str">
        <f t="shared" si="45"/>
        <v>DAL</v>
      </c>
      <c r="M520" s="143" t="s">
        <v>718</v>
      </c>
      <c r="N520" s="143">
        <f>IF(ISBLANK(Table2[[#This Row],[ActualResult]]), 0, 1)</f>
        <v>1</v>
      </c>
      <c r="O520" s="143" t="str">
        <f>IF(ISBLANK(Table2[[#This Row],[ActualResult]]), "_", IF(Table2[[#This Row],[ActualWinner]]=Table2[[#This Row],[PredictedWinner]], "Y", "N"))</f>
        <v>Y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0" s="143">
        <v>1</v>
      </c>
      <c r="S520" s="143" t="str">
        <f t="shared" si="46"/>
        <v>LAK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2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-1</v>
      </c>
      <c r="AG520" s="143">
        <f>Table2[[#This Row],[ActualHomeScore]]-Table2[[#This Row],[PredictedHomeScore]]</f>
        <v>1</v>
      </c>
      <c r="AH520" s="143">
        <f t="shared" si="47"/>
        <v>5</v>
      </c>
      <c r="AI520" s="143">
        <f t="shared" si="48"/>
        <v>-3</v>
      </c>
      <c r="AJ520" s="143">
        <v>4</v>
      </c>
      <c r="AK520" s="141">
        <v>46006</v>
      </c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1</v>
      </c>
      <c r="AN5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0" s="143" t="str">
        <f>INDEX(Sheet5!$B$2:$AG$33, MATCH(Table2[[#This Row],[AwayTeam]],Sheet5!$A$2:$A$33, 0), MATCH(Table2[[#This Row],[HomeTeam]],Sheet5!$A$2:$A$33, 0))</f>
        <v>1-1-0</v>
      </c>
      <c r="AP520" s="143" t="str">
        <f>INDEX(Sheet5!$B$2:$AG$33, MATCH(Table2[[#This Row],[HomeTeam]],Sheet5!$A$2:$A$33, 0), MATCH(Table2[[#This Row],[AwayTeam]],Sheet5!$A$2:$A$33, 0))</f>
        <v>1-0-1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0</v>
      </c>
      <c r="AU5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1" spans="1:49" x14ac:dyDescent="0.25">
      <c r="A521" s="3">
        <v>46007</v>
      </c>
      <c r="B521" s="3">
        <v>46007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2" spans="1:49" x14ac:dyDescent="0.25">
      <c r="A522" s="3">
        <v>46007</v>
      </c>
      <c r="B522" s="3">
        <v>46007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3" spans="1:49" x14ac:dyDescent="0.25">
      <c r="A523" s="3">
        <v>46007</v>
      </c>
      <c r="B523" s="3">
        <v>46007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4" spans="1:49" x14ac:dyDescent="0.25">
      <c r="A524" s="3">
        <v>46007</v>
      </c>
      <c r="B524" s="3">
        <v>46007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5" spans="1:49" x14ac:dyDescent="0.25">
      <c r="A525" s="3">
        <v>46007</v>
      </c>
      <c r="B525" s="3">
        <v>46007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6" spans="1:49" x14ac:dyDescent="0.25">
      <c r="A526" s="3">
        <v>46007</v>
      </c>
      <c r="B526" s="3">
        <v>46007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7" spans="1:49" x14ac:dyDescent="0.25">
      <c r="A527" s="3">
        <v>46007</v>
      </c>
      <c r="B527" s="3">
        <v>46007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8" spans="1:49" x14ac:dyDescent="0.25">
      <c r="A528" s="3">
        <v>46007</v>
      </c>
      <c r="B528" s="3">
        <v>46007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9" spans="1:49" x14ac:dyDescent="0.25">
      <c r="A529" s="3">
        <v>46007</v>
      </c>
      <c r="B529" s="3">
        <v>46007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30" spans="1:49" x14ac:dyDescent="0.25">
      <c r="A530" s="141">
        <v>46007</v>
      </c>
      <c r="B530" s="141">
        <v>46007</v>
      </c>
      <c r="C530" s="142">
        <v>2025020528</v>
      </c>
      <c r="D530" s="143" t="s">
        <v>25</v>
      </c>
      <c r="E530" s="143" t="s">
        <v>11</v>
      </c>
      <c r="F530" s="143"/>
      <c r="G530" s="143"/>
      <c r="H530" s="143" t="str">
        <f t="shared" si="44"/>
        <v>_</v>
      </c>
      <c r="I530" s="143"/>
      <c r="J530" s="143"/>
      <c r="K530" s="143"/>
      <c r="L530" s="143" t="str">
        <f t="shared" si="45"/>
        <v>_</v>
      </c>
      <c r="M530" s="143"/>
      <c r="N530" s="143">
        <f>IF(ISBLANK(Table2[[#This Row],[ActualResult]]), 0, 1)</f>
        <v>0</v>
      </c>
      <c r="O530" s="143" t="str">
        <f>IF(ISBLANK(Table2[[#This Row],[ActualResult]]), "_", IF(Table2[[#This Row],[ActualWinner]]=Table2[[#This Row],[PredictedWinner]], "Y", "N"))</f>
        <v>_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143"/>
      <c r="S530" s="143" t="str">
        <f t="shared" si="46"/>
        <v>_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0</v>
      </c>
      <c r="AG530" s="143">
        <f>Table2[[#This Row],[ActualHomeScore]]-Table2[[#This Row],[PredictedHomeScore]]</f>
        <v>0</v>
      </c>
      <c r="AH530" s="143">
        <f t="shared" si="47"/>
        <v>0</v>
      </c>
      <c r="AI530" s="143">
        <f t="shared" si="48"/>
        <v>0</v>
      </c>
      <c r="AJ530" s="143"/>
      <c r="AK530" s="141"/>
      <c r="AL530" s="143">
        <f>IF(Table2[[#This Row],[GameIsOver]]=0,0,IF(Table2[[#This Row],[ActualWinner]]=Table2[[#This Row],[AwayTeam]], 1, 0))</f>
        <v>0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30" s="143" t="str">
        <f>INDEX(Sheet5!$B$2:$AG$33, MATCH(Table2[[#This Row],[AwayTeam]],Sheet5!$A$2:$A$33, 0), MATCH(Table2[[#This Row],[HomeTeam]],Sheet5!$A$2:$A$33, 0))</f>
        <v>0-0-0</v>
      </c>
      <c r="AP530" s="143" t="str">
        <f>INDEX(Sheet5!$B$2:$AG$33, MATCH(Table2[[#This Row],[HomeTeam]],Sheet5!$A$2:$A$33, 0), MATCH(Table2[[#This Row],[AwayTeam]],Sheet5!$A$2:$A$33, 0))</f>
        <v>0-0-0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1</v>
      </c>
      <c r="AU53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1" spans="1:49" x14ac:dyDescent="0.25">
      <c r="A531" s="3"/>
      <c r="B531" s="3">
        <v>46008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2" spans="1:49" x14ac:dyDescent="0.25">
      <c r="A532" s="3"/>
      <c r="B532" s="3">
        <v>46008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3" spans="1:49" x14ac:dyDescent="0.25">
      <c r="A533" s="3"/>
      <c r="B533" s="3">
        <v>46008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4" spans="1:49" x14ac:dyDescent="0.25">
      <c r="A534" s="3"/>
      <c r="B534" s="3">
        <v>46008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5" spans="1:49" x14ac:dyDescent="0.25">
      <c r="A535" s="141"/>
      <c r="B535" s="141">
        <v>46008</v>
      </c>
      <c r="C535" s="142">
        <v>2025020533</v>
      </c>
      <c r="D535" s="143" t="s">
        <v>31</v>
      </c>
      <c r="E535" s="143" t="s">
        <v>26</v>
      </c>
      <c r="F535" s="143"/>
      <c r="G535" s="143"/>
      <c r="H535" s="143" t="str">
        <f t="shared" si="44"/>
        <v>_</v>
      </c>
      <c r="I535" s="143"/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0</v>
      </c>
      <c r="AG535" s="143">
        <f>Table2[[#This Row],[ActualHomeScore]]-Table2[[#This Row],[PredictedHomeScore]]</f>
        <v>0</v>
      </c>
      <c r="AH535" s="143">
        <f t="shared" si="47"/>
        <v>0</v>
      </c>
      <c r="AI535" s="143">
        <f t="shared" si="48"/>
        <v>0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6" spans="1:49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7" spans="1:49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8" spans="1:49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9" spans="1:49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0" spans="1:49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1" spans="1:49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2" spans="1:49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3" spans="1:49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4" spans="1:49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4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45" spans="1:49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6" spans="1:49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7" spans="1:49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8" spans="1:49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5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9" spans="1:49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0" spans="1:49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1" spans="1:49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2" spans="1:49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3" spans="1:49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4" spans="1:49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5" spans="1:49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6" spans="1:49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7" spans="1:49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8" spans="1:49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9" spans="1:49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0" spans="1:49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1" spans="1:49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62" spans="1:49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3" spans="1:49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4" spans="1:49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5" spans="1:49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6" spans="1:49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7" spans="1:49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8" spans="1:49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9" spans="1:49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0" spans="1:49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1" spans="1:49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2" spans="1:49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3" spans="1:49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4" spans="1:49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5" spans="1:49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6" spans="1:49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7" spans="1:49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8" spans="1:49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9" spans="1:49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0" spans="1:49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1" spans="1:49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2" spans="1:49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3" spans="1:49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4" spans="1:49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5" spans="1:49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6" spans="1:49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7" spans="1:49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88" spans="1:49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9" spans="1:49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0" spans="1:49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1" spans="1:49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2" spans="1:49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3" spans="1:49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3" s="2" t="str">
        <f>INDEX(Sheet5!$B$2:$AG$33, MATCH(Table2[[#This Row],[AwayTeam]],Sheet5!$A$2:$A$33, 0), MATCH(Table2[[#This Row],[HomeTeam]],Sheet5!$A$2:$A$33, 0))</f>
        <v>1-1-0</v>
      </c>
      <c r="AP593" s="2" t="str">
        <f>INDEX(Sheet5!$B$2:$AG$33, MATCH(Table2[[#This Row],[HomeTeam]],Sheet5!$A$2:$A$33, 0), MATCH(Table2[[#This Row],[AwayTeam]],Sheet5!$A$2:$A$33, 0))</f>
        <v>1-1-0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4" spans="1:49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5" spans="1:49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6" spans="1:49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7" spans="1:49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7" s="2" t="str">
        <f>INDEX(Sheet5!$B$2:$AG$33, MATCH(Table2[[#This Row],[AwayTeam]],Sheet5!$A$2:$A$33, 0), MATCH(Table2[[#This Row],[HomeTeam]],Sheet5!$A$2:$A$33, 0))</f>
        <v>2-0-0</v>
      </c>
      <c r="AP597" s="2" t="str">
        <f>INDEX(Sheet5!$B$2:$AG$33, MATCH(Table2[[#This Row],[HomeTeam]],Sheet5!$A$2:$A$33, 0), MATCH(Table2[[#This Row],[AwayTeam]],Sheet5!$A$2:$A$33, 0))</f>
        <v>0-2-0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8" spans="1:49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9" spans="1:49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0" spans="1:49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01" spans="1:49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2" spans="1:49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3" spans="1:49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4" spans="1:49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5" spans="1:49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6" spans="1:49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7" spans="1:49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8" spans="1:49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9" spans="1:49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0" spans="1:49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1" spans="1:49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2" spans="1:49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3" spans="1:49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4" spans="1:49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5" spans="1:49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16" spans="1:49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7" spans="1:49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8" spans="1:49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9" spans="1:49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0" spans="1:49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1" spans="1:49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2" spans="1:49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3" spans="1:49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4" spans="1:49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5" spans="1:49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6" spans="1:49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7" spans="1:49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8" spans="1:49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9" spans="1:49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0" spans="1:49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1" spans="1:49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2" spans="1:49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3" spans="1:49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4" spans="1:49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5" spans="1:49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6" spans="1:49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7" spans="1:49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8" spans="1:49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9" spans="1:49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0" spans="1:49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1" spans="1:49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2" spans="1:49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3" spans="1:49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4" spans="1:49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5" spans="1:49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6" spans="1:49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7" spans="1:49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8" spans="1:49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9" spans="1:49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0" spans="1:49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1" spans="1:49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2" spans="1:49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2" s="2" t="str">
        <f>INDEX(Sheet5!$B$2:$AG$33, MATCH(Table2[[#This Row],[AwayTeam]],Sheet5!$A$2:$A$33, 0), MATCH(Table2[[#This Row],[HomeTeam]],Sheet5!$A$2:$A$33, 0))</f>
        <v>0-0-1</v>
      </c>
      <c r="AP652" s="2" t="str">
        <f>INDEX(Sheet5!$B$2:$AG$33, MATCH(Table2[[#This Row],[HomeTeam]],Sheet5!$A$2:$A$33, 0), MATCH(Table2[[#This Row],[AwayTeam]],Sheet5!$A$2:$A$33, 0))</f>
        <v>1-0-0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3" spans="1:49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4" spans="1:49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5" spans="1:49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6" spans="1:49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6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57" spans="1:49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8" spans="1:49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9" spans="1:49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0" spans="1:49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1" spans="1:49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2" spans="1:49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3" spans="1:49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4" spans="1:49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5" spans="1:49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6" spans="1:49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7" spans="1:49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68" spans="1:49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9" spans="1:49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0" spans="1:49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1" spans="1:49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2" spans="1:49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3" spans="1:49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4" spans="1:49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5" spans="1:49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6" spans="1:49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7" spans="1:49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8" spans="1:49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9" spans="1:49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0" spans="1:49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1" spans="1:49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2" spans="1:49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3" spans="1:49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4" spans="1:49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4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5" spans="1:49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6" spans="1:49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7" spans="1:49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8" spans="1:49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9" spans="1:49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0" spans="1:49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1" spans="1:49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2" spans="1:49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3" spans="1:49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3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6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4" spans="1:49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5" spans="1:49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6" spans="1:49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7" spans="1:49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8" spans="1:49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9" spans="1:49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0" spans="1:49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01" spans="1:49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2" spans="1:49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3" spans="1:49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4" spans="1:49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5" spans="1:49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6" spans="1:49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7" spans="1:49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8" spans="1:49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9" spans="1:49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0" spans="1:49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1" spans="1:49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2" spans="1:49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3" spans="1:49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4" spans="1:49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5" spans="1:49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6" spans="1:49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7" spans="1:49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8" spans="1:49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9" spans="1:49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0" spans="1:49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1" spans="1:49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2" spans="1:49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3" spans="1:49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4" spans="1:49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5" spans="1:49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7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7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6" spans="1:49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6" s="143" t="str">
        <f>INDEX(Sheet5!$B$2:$AG$33, MATCH(Table2[[#This Row],[AwayTeam]],Sheet5!$A$2:$A$33, 0), MATCH(Table2[[#This Row],[HomeTeam]],Sheet5!$A$2:$A$33, 0))</f>
        <v>1-0-1</v>
      </c>
      <c r="AP726" s="143" t="str">
        <f>INDEX(Sheet5!$B$2:$AG$33, MATCH(Table2[[#This Row],[HomeTeam]],Sheet5!$A$2:$A$33, 0), MATCH(Table2[[#This Row],[AwayTeam]],Sheet5!$A$2:$A$33, 0))</f>
        <v>1-1-0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7" spans="1:49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8" spans="1:49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9" spans="1:49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0" spans="1:49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31" spans="1:49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2" spans="1:49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3" spans="1:49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4" spans="1:49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5" spans="1:49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6" spans="1:49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7" spans="1:49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8" spans="1:49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9" spans="1:49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0" spans="1:49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1" spans="1:49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2" spans="1:49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4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3" spans="1:49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4" spans="1:49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5" spans="1:49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6" spans="1:49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7" spans="1:49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48" spans="1:49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9" spans="1:49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0" spans="1:49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1" spans="1:49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2" spans="1:49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3" spans="1:49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4" spans="1:49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5" spans="1:49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6" spans="1:49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7" spans="1:49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8" spans="1:49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59" spans="1:49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0" spans="1:49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1" spans="1:49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2" spans="1:49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3" spans="1:49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4" spans="1:49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5" spans="1:49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6" spans="1:49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7" spans="1:49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8" spans="1:49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9" spans="1:49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0" spans="1:49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1" spans="1:49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2" spans="1:49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3" spans="1:49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4" spans="1:49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5" spans="1:49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6" spans="1:49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7" spans="1:49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8" spans="1:49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9" spans="1:49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80" spans="1:49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1" spans="1:49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1" s="143" t="str">
        <f>INDEX(Sheet5!$B$2:$AG$33, MATCH(Table2[[#This Row],[AwayTeam]],Sheet5!$A$2:$A$33, 0), MATCH(Table2[[#This Row],[HomeTeam]],Sheet5!$A$2:$A$33, 0))</f>
        <v>0-1-0</v>
      </c>
      <c r="AP781" s="143" t="str">
        <f>INDEX(Sheet5!$B$2:$AG$33, MATCH(Table2[[#This Row],[HomeTeam]],Sheet5!$A$2:$A$33, 0), MATCH(Table2[[#This Row],[AwayTeam]],Sheet5!$A$2:$A$33, 0))</f>
        <v>1-0-0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2" spans="1:49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3" spans="1:49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4" spans="1:49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5" spans="1:49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6" spans="1:49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7" spans="1:49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8" spans="1:49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9" spans="1:49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0" spans="1:49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1" spans="1:49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2" spans="1:49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3" spans="1:49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94" spans="1:49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5" spans="1:49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6" spans="1:49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7" spans="1:49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8" spans="1:49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9" spans="1:49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0" spans="1:49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1" spans="1:49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2" spans="1:49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3" spans="1:49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4" spans="1:49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5" spans="1:49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6" spans="1:49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7" spans="1:49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8" spans="1:49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09" spans="1:49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0" spans="1:49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1" spans="1:49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2" spans="1:49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3" spans="1:49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4" spans="1:49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5" spans="1:49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6" spans="1:49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7" spans="1:49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8" spans="1:49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9" spans="1:49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0" spans="1:49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1" spans="1:49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2" spans="1:49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3" spans="1:49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4" spans="1:49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5" spans="1:49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6" spans="1:49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6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27" spans="1:49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8" spans="1:49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9" spans="1:49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0" spans="1:49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1" spans="1:49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2" spans="1:49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3" spans="1:49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4" spans="1:49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5" spans="1:49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6" spans="1:49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7" spans="1:49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8" spans="1:49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9" spans="1:49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0" spans="1:49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1" spans="1:49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2" spans="1:49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3" spans="1:49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4" spans="1:49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4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5" spans="1:49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6" spans="1:49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7" spans="1:49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8" spans="1:49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9" spans="1:49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0" spans="1:49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1" spans="1:49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2" spans="1:49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3" spans="1:49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4" spans="1:49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5" spans="1:49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56" spans="1:49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7" spans="1:49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8" spans="1:49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9" spans="1:49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0" spans="1:49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1" spans="1:49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2" spans="1:49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3" spans="1:49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4" spans="1:49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5" spans="1:49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66" spans="1:49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7" spans="1:49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8" spans="1:49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9" spans="1:49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0" spans="1:49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1" spans="1:49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2" spans="1:49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3" spans="1:49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4" spans="1:49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5" spans="1:49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6" spans="1:49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7" spans="1:49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8" spans="1:49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9" spans="1:49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0" spans="1:49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1" spans="1:49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2" spans="1:49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2" s="2" t="str">
        <f>INDEX(Sheet5!$B$2:$AG$33, MATCH(Table2[[#This Row],[AwayTeam]],Sheet5!$A$2:$A$33, 0), MATCH(Table2[[#This Row],[HomeTeam]],Sheet5!$A$2:$A$33, 0))</f>
        <v>0-2-0</v>
      </c>
      <c r="AP882" s="2" t="str">
        <f>INDEX(Sheet5!$B$2:$AG$33, MATCH(Table2[[#This Row],[HomeTeam]],Sheet5!$A$2:$A$33, 0), MATCH(Table2[[#This Row],[AwayTeam]],Sheet5!$A$2:$A$33, 0))</f>
        <v>2-0-0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3" spans="1:49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4" spans="1:49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5" spans="1:49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6" spans="1:49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7" spans="1:49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7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88" spans="1:49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9" spans="1:49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0" spans="1:49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1" spans="1:49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2" spans="1:49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3" spans="1:49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4" spans="1:49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5" spans="1:49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6" spans="1:49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7" spans="1:49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8" spans="1:49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9" spans="1:49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0" spans="1:49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1" spans="1:49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2" spans="1:49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3" spans="1:49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4" spans="1:49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5" spans="1:49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6" spans="1:49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6" s="2" t="str">
        <f>INDEX(Sheet5!$B$2:$AG$33, MATCH(Table2[[#This Row],[AwayTeam]],Sheet5!$A$2:$A$33, 0), MATCH(Table2[[#This Row],[HomeTeam]],Sheet5!$A$2:$A$33, 0))</f>
        <v>1-1-0</v>
      </c>
      <c r="AP906" s="2" t="str">
        <f>INDEX(Sheet5!$B$2:$AG$33, MATCH(Table2[[#This Row],[HomeTeam]],Sheet5!$A$2:$A$33, 0), MATCH(Table2[[#This Row],[AwayTeam]],Sheet5!$A$2:$A$33, 0))</f>
        <v>1-1-0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7" spans="1:49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8" spans="1:49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9" spans="1:49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0" spans="1:49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1" spans="1:49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1" s="161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1" s="159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2" spans="1:49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3" spans="1:49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4" spans="1:49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5" spans="1:49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6" spans="1:49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7" spans="1:49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8" spans="1:49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9" spans="1:49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0" spans="1:49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1" spans="1:49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2" spans="1:49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3" spans="1:49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4" spans="1:49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5" spans="1:49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6" spans="1:49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7" spans="1:49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8" spans="1:49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9" spans="1:49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0" spans="1:49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31" spans="1:49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2" spans="1:49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3" spans="1:49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4" spans="1:49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5" spans="1:49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5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6" spans="1:49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7" spans="1:49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8" spans="1:49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9" spans="1:49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0" spans="1:49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9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1" spans="1:49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2" spans="1:49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3" spans="1:49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4" spans="1:49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5" spans="1:49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6" spans="1:49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6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47" spans="1:49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8" spans="1:49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9" spans="1:49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0" spans="1:49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1" spans="1:49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2" spans="1:49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3" spans="1:49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4" spans="1:49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4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55" spans="1:49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6" spans="1:49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7" spans="1:49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8" spans="1:49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9" spans="1:49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0" spans="1:49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1" spans="1:49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2" spans="1:49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3" spans="1:49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4" spans="1:49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5" spans="1:49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6" spans="1:49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7" spans="1:49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68" spans="1:49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9" spans="1:49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0" spans="1:49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1" spans="1:49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2" spans="1:49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3" spans="1:49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4" spans="1:49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5" spans="1:49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6" spans="1:49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7" spans="1:49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8" spans="1:49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9" spans="1:49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0" spans="1:49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1" spans="1:49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2" spans="1:49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3" spans="1:49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84" spans="1:49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5" spans="1:49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6" spans="1:49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7" spans="1:49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8" spans="1:49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9" spans="1:49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0" spans="1:49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1" spans="1:49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2" spans="1:49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3" spans="1:49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4" spans="1:49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5" spans="1:49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6" spans="1:49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7" spans="1:49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8" spans="1:49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9" spans="1:49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0" spans="1:49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01" spans="1:49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2" spans="1:49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3" spans="1:49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4" spans="1:49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5" spans="1:49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6" spans="1:49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7" spans="1:49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8" spans="1:49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9" spans="1:49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0" spans="1:49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1" spans="1:49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12" spans="1:49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3" spans="1:49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4" spans="1:49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5" spans="1:49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6" spans="1:49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7" spans="1:49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8" spans="1:49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9" spans="1:49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20" spans="1:49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1" spans="1:49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2" spans="1:49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3" spans="1:49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4" spans="1:49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5" spans="1:49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0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6" spans="1:49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7" spans="1:49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8" spans="1:49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9" spans="1:49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0" spans="1:49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1" spans="1:49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2" spans="1:49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3" spans="1:49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4" spans="1:49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4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35" spans="1:49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6" spans="1:49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7" spans="1:49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8" spans="1:49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9" spans="1:49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0" spans="1:49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1" spans="1:49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2" spans="1:49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2" s="143" t="str">
        <f>INDEX(Sheet5!$B$2:$AG$33, MATCH(Table2[[#This Row],[AwayTeam]],Sheet5!$A$2:$A$33, 0), MATCH(Table2[[#This Row],[HomeTeam]],Sheet5!$A$2:$A$33, 0))</f>
        <v>0-0-0</v>
      </c>
      <c r="AP1042" s="143" t="str">
        <f>INDEX(Sheet5!$B$2:$AG$33, MATCH(Table2[[#This Row],[HomeTeam]],Sheet5!$A$2:$A$33, 0), MATCH(Table2[[#This Row],[AwayTeam]],Sheet5!$A$2:$A$33, 0))</f>
        <v>0-0-0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3" spans="1:49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4" spans="1:49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5" spans="1:49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6" spans="1:49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7" spans="1:49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8" spans="1:49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9" spans="1:49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0" spans="1:49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1" spans="1:49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2" spans="1:49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3" spans="1:49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5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54" spans="1:49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5" spans="1:49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6" spans="1:49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7" spans="1:49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8" spans="1:49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9" spans="1:49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0" spans="1:49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1" spans="1:49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2" spans="1:49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3" spans="1:49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4" spans="1:49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5" spans="1:49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66" spans="1:49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7" spans="1:49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8" spans="1:49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9" spans="1:49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0" spans="1:49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1" spans="1:49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2" spans="1:49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3" spans="1:49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4" spans="1:49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5" spans="1:49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6" spans="1:49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7" spans="1:49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8" spans="1:49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9" spans="1:49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0" spans="1:49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1" spans="1:49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2" spans="1:49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3" spans="1:49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84" spans="1:49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5" spans="1:49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6" spans="1:49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7" spans="1:49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8" spans="1:49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9" spans="1:49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0" spans="1:49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1" spans="1:49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2" spans="1:49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3" spans="1:49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4" spans="1:49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5" spans="1:49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6" spans="1:49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7" spans="1:49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8" spans="1:49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9" spans="1:49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00" spans="1:49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1" spans="1:49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2" spans="1:49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3" spans="1:49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4" spans="1:49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5" spans="1:49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6" spans="1:49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7" spans="1:49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8" spans="1:49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9" spans="1:49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0" spans="1:49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1" spans="1:49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2" spans="1:49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3" spans="1:49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4" spans="1:49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5" spans="1:49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6" spans="1:49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7" spans="1:49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8" spans="1:49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19" spans="1:49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0" spans="1:49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1" spans="1:49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1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1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2" spans="1:49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3" spans="1:49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4" spans="1:49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5" spans="1:49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6" spans="1:49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7" spans="1:49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8" spans="1:49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9" spans="1:49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0" spans="1:49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1" spans="1:49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2" spans="1:49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3" spans="1:49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4" spans="1:49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3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5" spans="1:49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6" spans="1:49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7" spans="1:49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8" spans="1:49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9" spans="1:49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0" spans="1:49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1" spans="1:49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2" spans="1:49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3" spans="1:49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4" spans="1:49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5" spans="1:49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6" spans="1:49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7" spans="1:49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8" spans="1:49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9" spans="1:49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9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50" spans="1:49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1" spans="1:49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1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2" spans="1:49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3" spans="1:49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4" spans="1:49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5" spans="1:49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6" spans="1:49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7" spans="1:49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8" spans="1:49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9" spans="1:49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0" spans="1:49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1" spans="1:49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2" spans="1:49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3" spans="1:49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4" spans="1:49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5" spans="1:49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6" spans="1:49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7" spans="1:49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7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68" spans="1:49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9" spans="1:49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0" spans="1:49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1" spans="1:49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2" spans="1:49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3" spans="1:49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4" spans="1:49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5" spans="1:49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6" spans="1:49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6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76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77" spans="1:49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8" spans="1:49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9" spans="1:49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0" spans="1:49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1" spans="1:49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2" spans="1:49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3" spans="1:49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4" spans="1:49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5" spans="1:49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6" spans="1:49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7" spans="1:49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8" spans="1:49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9" spans="1:49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9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0" spans="1:49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0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1" spans="1:49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2" spans="1:49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3" spans="1:49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4" spans="1:49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5" spans="1:49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6" spans="1:49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7" spans="1:49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8" spans="1:49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9" spans="1:49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0" spans="1:49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1" spans="1:49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2" spans="1:49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3" spans="1:49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3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04" spans="1:49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5" spans="1:49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6" spans="1:49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6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7" spans="1:49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8" spans="1:49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9" spans="1:49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0" spans="1:49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1" spans="1:49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2" spans="1:49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3" spans="1:49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4" spans="1:49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5" spans="1:49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6" spans="1:49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7" spans="1:49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8" spans="1:49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9" spans="1:49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0" spans="1:49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1" spans="1:49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2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22" spans="1:49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3" spans="1:49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4" spans="1:49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5" spans="1:49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6" spans="1:49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7" spans="1:49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8" spans="1:49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9" spans="1:49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0" spans="1:49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0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1" spans="1:49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2" spans="1:49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3" spans="1:49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4" spans="1:49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4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5" spans="1:49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6" spans="1:49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7" spans="1:49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8" spans="1:49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9" spans="1:49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0" spans="1:49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1" spans="1:49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1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42" spans="1:49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3" spans="1:49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4" spans="1:49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5" spans="1:49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5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6" spans="1:49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7" spans="1:49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8" spans="1:49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9" spans="1:49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0" spans="1:49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1" spans="1:49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2" spans="1:49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3" spans="1:49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4" spans="1:49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5" spans="1:49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6" spans="1:49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7" spans="1:49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8" spans="1:49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258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59" spans="1:49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0" spans="1:49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1" spans="1:49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2" spans="1:49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3" spans="1:49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4" spans="1:49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5" spans="1:49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6" spans="1:49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7" spans="1:49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8" spans="1:49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9" spans="1:49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0" spans="1:49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1" spans="1:49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2" spans="1:49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3" spans="1:49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4" spans="1:49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5" spans="1:49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5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76" spans="1:49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7" spans="1:49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7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8" spans="1:49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9" spans="1:49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0" spans="1:49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1" spans="1:49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2" spans="1:49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3" spans="1:49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3" s="189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84" spans="1:49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5" spans="1:49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6" spans="1:49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7" spans="1:49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8" spans="1:49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9" spans="1:49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0" spans="1:49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1" spans="1:49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2" spans="1:49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2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3" spans="1:49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3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4" spans="1:49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5" spans="1:49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6" spans="1:49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7" spans="1:49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8" spans="1:49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8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9" spans="1:49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0" spans="1:49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0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01" spans="1:49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2" spans="1:49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2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3" spans="1:49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4" spans="1:49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5" spans="1:49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5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6" spans="1:49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06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7" spans="1:49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7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8" spans="1:49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8" s="189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9" spans="1:49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9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0" spans="1:49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0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1" spans="1:49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1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2" spans="1:49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2" s="188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13" spans="1:49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3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4" spans="1:49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4" s="188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5" spans="1:49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9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T16:BU16"/>
    <mergeCell ref="BV16:BW16"/>
    <mergeCell ref="BM12:BN12"/>
    <mergeCell ref="BM3:BQ3"/>
    <mergeCell ref="E1:H1"/>
    <mergeCell ref="I1:L1"/>
    <mergeCell ref="BS3:BV3"/>
    <mergeCell ref="BM11:BN11"/>
    <mergeCell ref="BT4:BU4"/>
    <mergeCell ref="BV4:BW4"/>
  </mergeCells>
  <phoneticPr fontId="1" type="noConversion"/>
  <conditionalFormatting sqref="C1:AD1 C2:BJ2 C3:Y3 C4:T7 T4:T1314 C8:Y11 C12:AH22 C23:AM310 C311:AJ311 D663:AM663 C664:AM949 C950:X950 C951:AM1314 D1315:BI1048576 AF1:BH1 Z950:AM950 AO23:BJ1314 AE1:AE1314 BC3:BJ5 X4:Y7 BC6:BH11 BJ6:BJ11 BI6:BI12 BB12:BJ16 BB17:BH17 BB18:BJ22 BK45:BK46 AL311:AM311 C312:AM662 A1:B1048576">
    <cfRule type="cellIs" dxfId="51" priority="7" operator="equal">
      <formula>"WSH"</formula>
    </cfRule>
    <cfRule type="cellIs" dxfId="50" priority="8" operator="equal">
      <formula>"UTA"</formula>
    </cfRule>
    <cfRule type="cellIs" dxfId="49" priority="9" operator="equal">
      <formula>"TBL"</formula>
    </cfRule>
    <cfRule type="cellIs" dxfId="48" priority="10" operator="equal">
      <formula>"TOR"</formula>
    </cfRule>
    <cfRule type="cellIs" dxfId="47" priority="11" operator="equal">
      <formula>"WPG"</formula>
    </cfRule>
    <cfRule type="cellIs" dxfId="46" priority="12" operator="equal">
      <formula>"VAN"</formula>
    </cfRule>
    <cfRule type="cellIs" dxfId="45" priority="13" operator="equal">
      <formula>"VGK"</formula>
    </cfRule>
    <cfRule type="cellIs" dxfId="44" priority="14" operator="equal">
      <formula>"SEA"</formula>
    </cfRule>
    <cfRule type="cellIs" dxfId="43" priority="15" operator="equal">
      <formula>"STL"</formula>
    </cfRule>
    <cfRule type="cellIs" dxfId="42" priority="16" operator="equal">
      <formula>"SJS"</formula>
    </cfRule>
    <cfRule type="cellIs" dxfId="41" priority="17" operator="equal">
      <formula>"PHI"</formula>
    </cfRule>
    <cfRule type="cellIs" dxfId="40" priority="18" operator="equal">
      <formula>"LAK"</formula>
    </cfRule>
    <cfRule type="cellIs" dxfId="39" priority="19" operator="equal">
      <formula>"PIT"</formula>
    </cfRule>
    <cfRule type="cellIs" dxfId="38" priority="20" operator="equal">
      <formula>"OTT"</formula>
    </cfRule>
    <cfRule type="cellIs" dxfId="37" priority="21" operator="equal">
      <formula>"NSH"</formula>
    </cfRule>
    <cfRule type="cellIs" dxfId="36" priority="22" operator="equal">
      <formula>"MIN"</formula>
    </cfRule>
    <cfRule type="cellIs" dxfId="35" priority="23" operator="equal">
      <formula>"MTL"</formula>
    </cfRule>
    <cfRule type="cellIs" dxfId="34" priority="24" operator="equal">
      <formula>"NYR"</formula>
    </cfRule>
    <cfRule type="cellIs" dxfId="33" priority="25" operator="equal">
      <formula>"NJD"</formula>
    </cfRule>
    <cfRule type="cellIs" dxfId="32" priority="26" operator="equal">
      <formula>"NYI"</formula>
    </cfRule>
    <cfRule type="cellIs" dxfId="31" priority="27" operator="equal">
      <formula>"BOS"</formula>
    </cfRule>
    <cfRule type="cellIs" dxfId="30" priority="28" operator="equal">
      <formula>"FLA"</formula>
    </cfRule>
    <cfRule type="cellIs" dxfId="29" priority="29" operator="equal">
      <formula>"EDM"</formula>
    </cfRule>
    <cfRule type="cellIs" dxfId="28" priority="30" operator="equal">
      <formula>"DAL"</formula>
    </cfRule>
    <cfRule type="cellIs" dxfId="27" priority="31" operator="equal">
      <formula>"DET"</formula>
    </cfRule>
    <cfRule type="cellIs" dxfId="26" priority="32" operator="equal">
      <formula>"CBJ"</formula>
    </cfRule>
    <cfRule type="cellIs" dxfId="25" priority="33" operator="equal">
      <formula>"CGY"</formula>
    </cfRule>
    <cfRule type="cellIs" dxfId="24" priority="34" operator="equal">
      <formula>"COL"</formula>
    </cfRule>
    <cfRule type="cellIs" dxfId="23" priority="35" operator="equal">
      <formula>"CHI"</formula>
    </cfRule>
    <cfRule type="cellIs" dxfId="22" priority="36" operator="equal">
      <formula>"CAR"</formula>
    </cfRule>
    <cfRule type="cellIs" dxfId="21" priority="37" operator="equal">
      <formula>"BUF"</formula>
    </cfRule>
    <cfRule type="cellIs" dxfId="20" priority="38" operator="equal">
      <formula>"ANA"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41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49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36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30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34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32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41</v>
      </c>
      <c r="C76" s="145">
        <f>SUMIFS(Table2[NewPointsAway],Table2[GameDate], "&lt;=" &amp; $A76, Table2[AwayTeam], C$1)+SUMIFS(Table2[NewPointsHome],Table2[GameDate], "&lt;=" &amp; $A76, Table2[HomeTeam], C$1)</f>
        <v>38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53</v>
      </c>
      <c r="J76" s="145">
        <f>SUMIFS(Table2[NewPointsAway],Table2[GameDate], "&lt;=" &amp; $A76, Table2[AwayTeam], J$1)+SUMIFS(Table2[NewPointsHome],Table2[GameDate], "&lt;=" &amp; $A76, Table2[HomeTeam], J$1)</f>
        <v>49</v>
      </c>
      <c r="K76" s="145">
        <f>SUMIFS(Table2[NewPointsAway],Table2[GameDate], "&lt;=" &amp; $A76, Table2[AwayTeam], K$1)+SUMIFS(Table2[NewPointsHome],Table2[GameDate], "&lt;=" &amp; $A76, Table2[HomeTeam], K$1)</f>
        <v>39</v>
      </c>
      <c r="L76" s="145">
        <f>SUMIFS(Table2[NewPointsAway],Table2[GameDate], "&lt;=" &amp; $A76, Table2[AwayTeam], L$1)+SUMIFS(Table2[NewPointsHome],Table2[GameDate], "&lt;=" &amp; $A76, Table2[HomeTeam], L$1)</f>
        <v>36</v>
      </c>
      <c r="M76" s="145">
        <f>SUMIFS(Table2[NewPointsAway],Table2[GameDate], "&lt;=" &amp; $A76, Table2[AwayTeam], M$1)+SUMIFS(Table2[NewPointsHome],Table2[GameDate], "&lt;=" &amp; $A76, Table2[HomeTeam], M$1)</f>
        <v>36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43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30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34</v>
      </c>
      <c r="V76" s="145">
        <f>SUMIFS(Table2[NewPointsAway],Table2[GameDate], "&lt;=" &amp; $A76, Table2[AwayTeam], V$1)+SUMIFS(Table2[NewPointsHome],Table2[GameDate], "&lt;=" &amp; $A76, Table2[HomeTeam], V$1)</f>
        <v>37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35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33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27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32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41</v>
      </c>
      <c r="C77" s="145">
        <f>SUMIFS(Table2[NewPointsAway],Table2[GameDate], "&lt;=" &amp; $A77, Table2[AwayTeam], C$1)+SUMIFS(Table2[NewPointsHome],Table2[GameDate], "&lt;=" &amp; $A77, Table2[HomeTeam], C$1)</f>
        <v>38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53</v>
      </c>
      <c r="J77" s="145">
        <f>SUMIFS(Table2[NewPointsAway],Table2[GameDate], "&lt;=" &amp; $A77, Table2[AwayTeam], J$1)+SUMIFS(Table2[NewPointsHome],Table2[GameDate], "&lt;=" &amp; $A77, Table2[HomeTeam], J$1)</f>
        <v>49</v>
      </c>
      <c r="K77" s="145">
        <f>SUMIFS(Table2[NewPointsAway],Table2[GameDate], "&lt;=" &amp; $A77, Table2[AwayTeam], K$1)+SUMIFS(Table2[NewPointsHome],Table2[GameDate], "&lt;=" &amp; $A77, Table2[HomeTeam], K$1)</f>
        <v>39</v>
      </c>
      <c r="L77" s="145">
        <f>SUMIFS(Table2[NewPointsAway],Table2[GameDate], "&lt;=" &amp; $A77, Table2[AwayTeam], L$1)+SUMIFS(Table2[NewPointsHome],Table2[GameDate], "&lt;=" &amp; $A77, Table2[HomeTeam], L$1)</f>
        <v>36</v>
      </c>
      <c r="M77" s="145">
        <f>SUMIFS(Table2[NewPointsAway],Table2[GameDate], "&lt;=" &amp; $A77, Table2[AwayTeam], M$1)+SUMIFS(Table2[NewPointsHome],Table2[GameDate], "&lt;=" &amp; $A77, Table2[HomeTeam], M$1)</f>
        <v>36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43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30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34</v>
      </c>
      <c r="V77" s="145">
        <f>SUMIFS(Table2[NewPointsAway],Table2[GameDate], "&lt;=" &amp; $A77, Table2[AwayTeam], V$1)+SUMIFS(Table2[NewPointsHome],Table2[GameDate], "&lt;=" &amp; $A77, Table2[HomeTeam], V$1)</f>
        <v>37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35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33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27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32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41</v>
      </c>
      <c r="C78" s="145">
        <f>SUMIFS(Table2[NewPointsAway],Table2[GameDate], "&lt;=" &amp; $A78, Table2[AwayTeam], C$1)+SUMIFS(Table2[NewPointsHome],Table2[GameDate], "&lt;=" &amp; $A78, Table2[HomeTeam], C$1)</f>
        <v>38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53</v>
      </c>
      <c r="J78" s="145">
        <f>SUMIFS(Table2[NewPointsAway],Table2[GameDate], "&lt;=" &amp; $A78, Table2[AwayTeam], J$1)+SUMIFS(Table2[NewPointsHome],Table2[GameDate], "&lt;=" &amp; $A78, Table2[HomeTeam], J$1)</f>
        <v>49</v>
      </c>
      <c r="K78" s="145">
        <f>SUMIFS(Table2[NewPointsAway],Table2[GameDate], "&lt;=" &amp; $A78, Table2[AwayTeam], K$1)+SUMIFS(Table2[NewPointsHome],Table2[GameDate], "&lt;=" &amp; $A78, Table2[HomeTeam], K$1)</f>
        <v>39</v>
      </c>
      <c r="L78" s="145">
        <f>SUMIFS(Table2[NewPointsAway],Table2[GameDate], "&lt;=" &amp; $A78, Table2[AwayTeam], L$1)+SUMIFS(Table2[NewPointsHome],Table2[GameDate], "&lt;=" &amp; $A78, Table2[HomeTeam], L$1)</f>
        <v>36</v>
      </c>
      <c r="M78" s="145">
        <f>SUMIFS(Table2[NewPointsAway],Table2[GameDate], "&lt;=" &amp; $A78, Table2[AwayTeam], M$1)+SUMIFS(Table2[NewPointsHome],Table2[GameDate], "&lt;=" &amp; $A78, Table2[HomeTeam], M$1)</f>
        <v>36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43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30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34</v>
      </c>
      <c r="V78" s="145">
        <f>SUMIFS(Table2[NewPointsAway],Table2[GameDate], "&lt;=" &amp; $A78, Table2[AwayTeam], V$1)+SUMIFS(Table2[NewPointsHome],Table2[GameDate], "&lt;=" &amp; $A78, Table2[HomeTeam], V$1)</f>
        <v>37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35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33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27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32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41</v>
      </c>
      <c r="C79" s="145">
        <f>SUMIFS(Table2[NewPointsAway],Table2[GameDate], "&lt;=" &amp; $A79, Table2[AwayTeam], C$1)+SUMIFS(Table2[NewPointsHome],Table2[GameDate], "&lt;=" &amp; $A79, Table2[HomeTeam], C$1)</f>
        <v>38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53</v>
      </c>
      <c r="J79" s="145">
        <f>SUMIFS(Table2[NewPointsAway],Table2[GameDate], "&lt;=" &amp; $A79, Table2[AwayTeam], J$1)+SUMIFS(Table2[NewPointsHome],Table2[GameDate], "&lt;=" &amp; $A79, Table2[HomeTeam], J$1)</f>
        <v>49</v>
      </c>
      <c r="K79" s="145">
        <f>SUMIFS(Table2[NewPointsAway],Table2[GameDate], "&lt;=" &amp; $A79, Table2[AwayTeam], K$1)+SUMIFS(Table2[NewPointsHome],Table2[GameDate], "&lt;=" &amp; $A79, Table2[HomeTeam], K$1)</f>
        <v>39</v>
      </c>
      <c r="L79" s="145">
        <f>SUMIFS(Table2[NewPointsAway],Table2[GameDate], "&lt;=" &amp; $A79, Table2[AwayTeam], L$1)+SUMIFS(Table2[NewPointsHome],Table2[GameDate], "&lt;=" &amp; $A79, Table2[HomeTeam], L$1)</f>
        <v>36</v>
      </c>
      <c r="M79" s="145">
        <f>SUMIFS(Table2[NewPointsAway],Table2[GameDate], "&lt;=" &amp; $A79, Table2[AwayTeam], M$1)+SUMIFS(Table2[NewPointsHome],Table2[GameDate], "&lt;=" &amp; $A79, Table2[HomeTeam], M$1)</f>
        <v>36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43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30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34</v>
      </c>
      <c r="V79" s="145">
        <f>SUMIFS(Table2[NewPointsAway],Table2[GameDate], "&lt;=" &amp; $A79, Table2[AwayTeam], V$1)+SUMIFS(Table2[NewPointsHome],Table2[GameDate], "&lt;=" &amp; $A79, Table2[HomeTeam], V$1)</f>
        <v>37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35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33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27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32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41</v>
      </c>
      <c r="C80" s="145">
        <f>SUMIFS(Table2[NewPointsAway],Table2[GameDate], "&lt;=" &amp; $A80, Table2[AwayTeam], C$1)+SUMIFS(Table2[NewPointsHome],Table2[GameDate], "&lt;=" &amp; $A80, Table2[HomeTeam], C$1)</f>
        <v>38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53</v>
      </c>
      <c r="J80" s="145">
        <f>SUMIFS(Table2[NewPointsAway],Table2[GameDate], "&lt;=" &amp; $A80, Table2[AwayTeam], J$1)+SUMIFS(Table2[NewPointsHome],Table2[GameDate], "&lt;=" &amp; $A80, Table2[HomeTeam], J$1)</f>
        <v>49</v>
      </c>
      <c r="K80" s="145">
        <f>SUMIFS(Table2[NewPointsAway],Table2[GameDate], "&lt;=" &amp; $A80, Table2[AwayTeam], K$1)+SUMIFS(Table2[NewPointsHome],Table2[GameDate], "&lt;=" &amp; $A80, Table2[HomeTeam], K$1)</f>
        <v>39</v>
      </c>
      <c r="L80" s="145">
        <f>SUMIFS(Table2[NewPointsAway],Table2[GameDate], "&lt;=" &amp; $A80, Table2[AwayTeam], L$1)+SUMIFS(Table2[NewPointsHome],Table2[GameDate], "&lt;=" &amp; $A80, Table2[HomeTeam], L$1)</f>
        <v>36</v>
      </c>
      <c r="M80" s="145">
        <f>SUMIFS(Table2[NewPointsAway],Table2[GameDate], "&lt;=" &amp; $A80, Table2[AwayTeam], M$1)+SUMIFS(Table2[NewPointsHome],Table2[GameDate], "&lt;=" &amp; $A80, Table2[HomeTeam], M$1)</f>
        <v>36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43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30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34</v>
      </c>
      <c r="V80" s="145">
        <f>SUMIFS(Table2[NewPointsAway],Table2[GameDate], "&lt;=" &amp; $A80, Table2[AwayTeam], V$1)+SUMIFS(Table2[NewPointsHome],Table2[GameDate], "&lt;=" &amp; $A80, Table2[HomeTeam], V$1)</f>
        <v>37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35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33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27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32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41</v>
      </c>
      <c r="C81" s="145">
        <f>SUMIFS(Table2[NewPointsAway],Table2[GameDate], "&lt;=" &amp; $A81, Table2[AwayTeam], C$1)+SUMIFS(Table2[NewPointsHome],Table2[GameDate], "&lt;=" &amp; $A81, Table2[HomeTeam], C$1)</f>
        <v>38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53</v>
      </c>
      <c r="J81" s="145">
        <f>SUMIFS(Table2[NewPointsAway],Table2[GameDate], "&lt;=" &amp; $A81, Table2[AwayTeam], J$1)+SUMIFS(Table2[NewPointsHome],Table2[GameDate], "&lt;=" &amp; $A81, Table2[HomeTeam], J$1)</f>
        <v>49</v>
      </c>
      <c r="K81" s="145">
        <f>SUMIFS(Table2[NewPointsAway],Table2[GameDate], "&lt;=" &amp; $A81, Table2[AwayTeam], K$1)+SUMIFS(Table2[NewPointsHome],Table2[GameDate], "&lt;=" &amp; $A81, Table2[HomeTeam], K$1)</f>
        <v>39</v>
      </c>
      <c r="L81" s="145">
        <f>SUMIFS(Table2[NewPointsAway],Table2[GameDate], "&lt;=" &amp; $A81, Table2[AwayTeam], L$1)+SUMIFS(Table2[NewPointsHome],Table2[GameDate], "&lt;=" &amp; $A81, Table2[HomeTeam], L$1)</f>
        <v>36</v>
      </c>
      <c r="M81" s="145">
        <f>SUMIFS(Table2[NewPointsAway],Table2[GameDate], "&lt;=" &amp; $A81, Table2[AwayTeam], M$1)+SUMIFS(Table2[NewPointsHome],Table2[GameDate], "&lt;=" &amp; $A81, Table2[HomeTeam], M$1)</f>
        <v>36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43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30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34</v>
      </c>
      <c r="V81" s="145">
        <f>SUMIFS(Table2[NewPointsAway],Table2[GameDate], "&lt;=" &amp; $A81, Table2[AwayTeam], V$1)+SUMIFS(Table2[NewPointsHome],Table2[GameDate], "&lt;=" &amp; $A81, Table2[HomeTeam], V$1)</f>
        <v>37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35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33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27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32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41</v>
      </c>
      <c r="C82" s="145">
        <f>SUMIFS(Table2[NewPointsAway],Table2[GameDate], "&lt;=" &amp; $A82, Table2[AwayTeam], C$1)+SUMIFS(Table2[NewPointsHome],Table2[GameDate], "&lt;=" &amp; $A82, Table2[HomeTeam], C$1)</f>
        <v>38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53</v>
      </c>
      <c r="J82" s="145">
        <f>SUMIFS(Table2[NewPointsAway],Table2[GameDate], "&lt;=" &amp; $A82, Table2[AwayTeam], J$1)+SUMIFS(Table2[NewPointsHome],Table2[GameDate], "&lt;=" &amp; $A82, Table2[HomeTeam], J$1)</f>
        <v>49</v>
      </c>
      <c r="K82" s="145">
        <f>SUMIFS(Table2[NewPointsAway],Table2[GameDate], "&lt;=" &amp; $A82, Table2[AwayTeam], K$1)+SUMIFS(Table2[NewPointsHome],Table2[GameDate], "&lt;=" &amp; $A82, Table2[HomeTeam], K$1)</f>
        <v>39</v>
      </c>
      <c r="L82" s="145">
        <f>SUMIFS(Table2[NewPointsAway],Table2[GameDate], "&lt;=" &amp; $A82, Table2[AwayTeam], L$1)+SUMIFS(Table2[NewPointsHome],Table2[GameDate], "&lt;=" &amp; $A82, Table2[HomeTeam], L$1)</f>
        <v>36</v>
      </c>
      <c r="M82" s="145">
        <f>SUMIFS(Table2[NewPointsAway],Table2[GameDate], "&lt;=" &amp; $A82, Table2[AwayTeam], M$1)+SUMIFS(Table2[NewPointsHome],Table2[GameDate], "&lt;=" &amp; $A82, Table2[HomeTeam], M$1)</f>
        <v>36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43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30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34</v>
      </c>
      <c r="V82" s="145">
        <f>SUMIFS(Table2[NewPointsAway],Table2[GameDate], "&lt;=" &amp; $A82, Table2[AwayTeam], V$1)+SUMIFS(Table2[NewPointsHome],Table2[GameDate], "&lt;=" &amp; $A82, Table2[HomeTeam], V$1)</f>
        <v>37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35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33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27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32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41</v>
      </c>
      <c r="C83" s="145">
        <f>SUMIFS(Table2[NewPointsAway],Table2[GameDate], "&lt;=" &amp; $A83, Table2[AwayTeam], C$1)+SUMIFS(Table2[NewPointsHome],Table2[GameDate], "&lt;=" &amp; $A83, Table2[HomeTeam], C$1)</f>
        <v>38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53</v>
      </c>
      <c r="J83" s="145">
        <f>SUMIFS(Table2[NewPointsAway],Table2[GameDate], "&lt;=" &amp; $A83, Table2[AwayTeam], J$1)+SUMIFS(Table2[NewPointsHome],Table2[GameDate], "&lt;=" &amp; $A83, Table2[HomeTeam], J$1)</f>
        <v>49</v>
      </c>
      <c r="K83" s="145">
        <f>SUMIFS(Table2[NewPointsAway],Table2[GameDate], "&lt;=" &amp; $A83, Table2[AwayTeam], K$1)+SUMIFS(Table2[NewPointsHome],Table2[GameDate], "&lt;=" &amp; $A83, Table2[HomeTeam], K$1)</f>
        <v>39</v>
      </c>
      <c r="L83" s="145">
        <f>SUMIFS(Table2[NewPointsAway],Table2[GameDate], "&lt;=" &amp; $A83, Table2[AwayTeam], L$1)+SUMIFS(Table2[NewPointsHome],Table2[GameDate], "&lt;=" &amp; $A83, Table2[HomeTeam], L$1)</f>
        <v>36</v>
      </c>
      <c r="M83" s="145">
        <f>SUMIFS(Table2[NewPointsAway],Table2[GameDate], "&lt;=" &amp; $A83, Table2[AwayTeam], M$1)+SUMIFS(Table2[NewPointsHome],Table2[GameDate], "&lt;=" &amp; $A83, Table2[HomeTeam], M$1)</f>
        <v>36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43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30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34</v>
      </c>
      <c r="V83" s="145">
        <f>SUMIFS(Table2[NewPointsAway],Table2[GameDate], "&lt;=" &amp; $A83, Table2[AwayTeam], V$1)+SUMIFS(Table2[NewPointsHome],Table2[GameDate], "&lt;=" &amp; $A83, Table2[HomeTeam], V$1)</f>
        <v>37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35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33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27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32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41</v>
      </c>
      <c r="C84" s="145">
        <f>SUMIFS(Table2[NewPointsAway],Table2[GameDate], "&lt;=" &amp; $A84, Table2[AwayTeam], C$1)+SUMIFS(Table2[NewPointsHome],Table2[GameDate], "&lt;=" &amp; $A84, Table2[HomeTeam], C$1)</f>
        <v>38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53</v>
      </c>
      <c r="J84" s="145">
        <f>SUMIFS(Table2[NewPointsAway],Table2[GameDate], "&lt;=" &amp; $A84, Table2[AwayTeam], J$1)+SUMIFS(Table2[NewPointsHome],Table2[GameDate], "&lt;=" &amp; $A84, Table2[HomeTeam], J$1)</f>
        <v>49</v>
      </c>
      <c r="K84" s="145">
        <f>SUMIFS(Table2[NewPointsAway],Table2[GameDate], "&lt;=" &amp; $A84, Table2[AwayTeam], K$1)+SUMIFS(Table2[NewPointsHome],Table2[GameDate], "&lt;=" &amp; $A84, Table2[HomeTeam], K$1)</f>
        <v>39</v>
      </c>
      <c r="L84" s="145">
        <f>SUMIFS(Table2[NewPointsAway],Table2[GameDate], "&lt;=" &amp; $A84, Table2[AwayTeam], L$1)+SUMIFS(Table2[NewPointsHome],Table2[GameDate], "&lt;=" &amp; $A84, Table2[HomeTeam], L$1)</f>
        <v>36</v>
      </c>
      <c r="M84" s="145">
        <f>SUMIFS(Table2[NewPointsAway],Table2[GameDate], "&lt;=" &amp; $A84, Table2[AwayTeam], M$1)+SUMIFS(Table2[NewPointsHome],Table2[GameDate], "&lt;=" &amp; $A84, Table2[HomeTeam], M$1)</f>
        <v>36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43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30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34</v>
      </c>
      <c r="V84" s="145">
        <f>SUMIFS(Table2[NewPointsAway],Table2[GameDate], "&lt;=" &amp; $A84, Table2[AwayTeam], V$1)+SUMIFS(Table2[NewPointsHome],Table2[GameDate], "&lt;=" &amp; $A84, Table2[HomeTeam], V$1)</f>
        <v>37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35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33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27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32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41</v>
      </c>
      <c r="C85" s="145">
        <f>SUMIFS(Table2[NewPointsAway],Table2[GameDate], "&lt;=" &amp; $A85, Table2[AwayTeam], C$1)+SUMIFS(Table2[NewPointsHome],Table2[GameDate], "&lt;=" &amp; $A85, Table2[HomeTeam], C$1)</f>
        <v>38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53</v>
      </c>
      <c r="J85" s="145">
        <f>SUMIFS(Table2[NewPointsAway],Table2[GameDate], "&lt;=" &amp; $A85, Table2[AwayTeam], J$1)+SUMIFS(Table2[NewPointsHome],Table2[GameDate], "&lt;=" &amp; $A85, Table2[HomeTeam], J$1)</f>
        <v>49</v>
      </c>
      <c r="K85" s="145">
        <f>SUMIFS(Table2[NewPointsAway],Table2[GameDate], "&lt;=" &amp; $A85, Table2[AwayTeam], K$1)+SUMIFS(Table2[NewPointsHome],Table2[GameDate], "&lt;=" &amp; $A85, Table2[HomeTeam], K$1)</f>
        <v>39</v>
      </c>
      <c r="L85" s="145">
        <f>SUMIFS(Table2[NewPointsAway],Table2[GameDate], "&lt;=" &amp; $A85, Table2[AwayTeam], L$1)+SUMIFS(Table2[NewPointsHome],Table2[GameDate], "&lt;=" &amp; $A85, Table2[HomeTeam], L$1)</f>
        <v>36</v>
      </c>
      <c r="M85" s="145">
        <f>SUMIFS(Table2[NewPointsAway],Table2[GameDate], "&lt;=" &amp; $A85, Table2[AwayTeam], M$1)+SUMIFS(Table2[NewPointsHome],Table2[GameDate], "&lt;=" &amp; $A85, Table2[HomeTeam], M$1)</f>
        <v>36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43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30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34</v>
      </c>
      <c r="V85" s="145">
        <f>SUMIFS(Table2[NewPointsAway],Table2[GameDate], "&lt;=" &amp; $A85, Table2[AwayTeam], V$1)+SUMIFS(Table2[NewPointsHome],Table2[GameDate], "&lt;=" &amp; $A85, Table2[HomeTeam], V$1)</f>
        <v>37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35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33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27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32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41</v>
      </c>
      <c r="C86" s="145">
        <f>SUMIFS(Table2[NewPointsAway],Table2[GameDate], "&lt;=" &amp; $A86, Table2[AwayTeam], C$1)+SUMIFS(Table2[NewPointsHome],Table2[GameDate], "&lt;=" &amp; $A86, Table2[HomeTeam], C$1)</f>
        <v>38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53</v>
      </c>
      <c r="J86" s="145">
        <f>SUMIFS(Table2[NewPointsAway],Table2[GameDate], "&lt;=" &amp; $A86, Table2[AwayTeam], J$1)+SUMIFS(Table2[NewPointsHome],Table2[GameDate], "&lt;=" &amp; $A86, Table2[HomeTeam], J$1)</f>
        <v>49</v>
      </c>
      <c r="K86" s="145">
        <f>SUMIFS(Table2[NewPointsAway],Table2[GameDate], "&lt;=" &amp; $A86, Table2[AwayTeam], K$1)+SUMIFS(Table2[NewPointsHome],Table2[GameDate], "&lt;=" &amp; $A86, Table2[HomeTeam], K$1)</f>
        <v>39</v>
      </c>
      <c r="L86" s="145">
        <f>SUMIFS(Table2[NewPointsAway],Table2[GameDate], "&lt;=" &amp; $A86, Table2[AwayTeam], L$1)+SUMIFS(Table2[NewPointsHome],Table2[GameDate], "&lt;=" &amp; $A86, Table2[HomeTeam], L$1)</f>
        <v>36</v>
      </c>
      <c r="M86" s="145">
        <f>SUMIFS(Table2[NewPointsAway],Table2[GameDate], "&lt;=" &amp; $A86, Table2[AwayTeam], M$1)+SUMIFS(Table2[NewPointsHome],Table2[GameDate], "&lt;=" &amp; $A86, Table2[HomeTeam], M$1)</f>
        <v>36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43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30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34</v>
      </c>
      <c r="V86" s="145">
        <f>SUMIFS(Table2[NewPointsAway],Table2[GameDate], "&lt;=" &amp; $A86, Table2[AwayTeam], V$1)+SUMIFS(Table2[NewPointsHome],Table2[GameDate], "&lt;=" &amp; $A86, Table2[HomeTeam], V$1)</f>
        <v>37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35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33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27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32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41</v>
      </c>
      <c r="C87" s="145">
        <f>SUMIFS(Table2[NewPointsAway],Table2[GameDate], "&lt;=" &amp; $A87, Table2[AwayTeam], C$1)+SUMIFS(Table2[NewPointsHome],Table2[GameDate], "&lt;=" &amp; $A87, Table2[HomeTeam], C$1)</f>
        <v>38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53</v>
      </c>
      <c r="J87" s="145">
        <f>SUMIFS(Table2[NewPointsAway],Table2[GameDate], "&lt;=" &amp; $A87, Table2[AwayTeam], J$1)+SUMIFS(Table2[NewPointsHome],Table2[GameDate], "&lt;=" &amp; $A87, Table2[HomeTeam], J$1)</f>
        <v>49</v>
      </c>
      <c r="K87" s="145">
        <f>SUMIFS(Table2[NewPointsAway],Table2[GameDate], "&lt;=" &amp; $A87, Table2[AwayTeam], K$1)+SUMIFS(Table2[NewPointsHome],Table2[GameDate], "&lt;=" &amp; $A87, Table2[HomeTeam], K$1)</f>
        <v>39</v>
      </c>
      <c r="L87" s="145">
        <f>SUMIFS(Table2[NewPointsAway],Table2[GameDate], "&lt;=" &amp; $A87, Table2[AwayTeam], L$1)+SUMIFS(Table2[NewPointsHome],Table2[GameDate], "&lt;=" &amp; $A87, Table2[HomeTeam], L$1)</f>
        <v>36</v>
      </c>
      <c r="M87" s="145">
        <f>SUMIFS(Table2[NewPointsAway],Table2[GameDate], "&lt;=" &amp; $A87, Table2[AwayTeam], M$1)+SUMIFS(Table2[NewPointsHome],Table2[GameDate], "&lt;=" &amp; $A87, Table2[HomeTeam], M$1)</f>
        <v>36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43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30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34</v>
      </c>
      <c r="V87" s="145">
        <f>SUMIFS(Table2[NewPointsAway],Table2[GameDate], "&lt;=" &amp; $A87, Table2[AwayTeam], V$1)+SUMIFS(Table2[NewPointsHome],Table2[GameDate], "&lt;=" &amp; $A87, Table2[HomeTeam], V$1)</f>
        <v>37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35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33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27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32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41</v>
      </c>
      <c r="C88" s="145">
        <f>SUMIFS(Table2[NewPointsAway],Table2[GameDate], "&lt;=" &amp; $A88, Table2[AwayTeam], C$1)+SUMIFS(Table2[NewPointsHome],Table2[GameDate], "&lt;=" &amp; $A88, Table2[HomeTeam], C$1)</f>
        <v>38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53</v>
      </c>
      <c r="J88" s="145">
        <f>SUMIFS(Table2[NewPointsAway],Table2[GameDate], "&lt;=" &amp; $A88, Table2[AwayTeam], J$1)+SUMIFS(Table2[NewPointsHome],Table2[GameDate], "&lt;=" &amp; $A88, Table2[HomeTeam], J$1)</f>
        <v>49</v>
      </c>
      <c r="K88" s="145">
        <f>SUMIFS(Table2[NewPointsAway],Table2[GameDate], "&lt;=" &amp; $A88, Table2[AwayTeam], K$1)+SUMIFS(Table2[NewPointsHome],Table2[GameDate], "&lt;=" &amp; $A88, Table2[HomeTeam], K$1)</f>
        <v>39</v>
      </c>
      <c r="L88" s="145">
        <f>SUMIFS(Table2[NewPointsAway],Table2[GameDate], "&lt;=" &amp; $A88, Table2[AwayTeam], L$1)+SUMIFS(Table2[NewPointsHome],Table2[GameDate], "&lt;=" &amp; $A88, Table2[HomeTeam], L$1)</f>
        <v>36</v>
      </c>
      <c r="M88" s="145">
        <f>SUMIFS(Table2[NewPointsAway],Table2[GameDate], "&lt;=" &amp; $A88, Table2[AwayTeam], M$1)+SUMIFS(Table2[NewPointsHome],Table2[GameDate], "&lt;=" &amp; $A88, Table2[HomeTeam], M$1)</f>
        <v>36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43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30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34</v>
      </c>
      <c r="V88" s="145">
        <f>SUMIFS(Table2[NewPointsAway],Table2[GameDate], "&lt;=" &amp; $A88, Table2[AwayTeam], V$1)+SUMIFS(Table2[NewPointsHome],Table2[GameDate], "&lt;=" &amp; $A88, Table2[HomeTeam], V$1)</f>
        <v>37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35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33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27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32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41</v>
      </c>
      <c r="C89" s="145">
        <f>SUMIFS(Table2[NewPointsAway],Table2[GameDate], "&lt;=" &amp; $A89, Table2[AwayTeam], C$1)+SUMIFS(Table2[NewPointsHome],Table2[GameDate], "&lt;=" &amp; $A89, Table2[HomeTeam], C$1)</f>
        <v>38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53</v>
      </c>
      <c r="J89" s="145">
        <f>SUMIFS(Table2[NewPointsAway],Table2[GameDate], "&lt;=" &amp; $A89, Table2[AwayTeam], J$1)+SUMIFS(Table2[NewPointsHome],Table2[GameDate], "&lt;=" &amp; $A89, Table2[HomeTeam], J$1)</f>
        <v>49</v>
      </c>
      <c r="K89" s="145">
        <f>SUMIFS(Table2[NewPointsAway],Table2[GameDate], "&lt;=" &amp; $A89, Table2[AwayTeam], K$1)+SUMIFS(Table2[NewPointsHome],Table2[GameDate], "&lt;=" &amp; $A89, Table2[HomeTeam], K$1)</f>
        <v>39</v>
      </c>
      <c r="L89" s="145">
        <f>SUMIFS(Table2[NewPointsAway],Table2[GameDate], "&lt;=" &amp; $A89, Table2[AwayTeam], L$1)+SUMIFS(Table2[NewPointsHome],Table2[GameDate], "&lt;=" &amp; $A89, Table2[HomeTeam], L$1)</f>
        <v>36</v>
      </c>
      <c r="M89" s="145">
        <f>SUMIFS(Table2[NewPointsAway],Table2[GameDate], "&lt;=" &amp; $A89, Table2[AwayTeam], M$1)+SUMIFS(Table2[NewPointsHome],Table2[GameDate], "&lt;=" &amp; $A89, Table2[HomeTeam], M$1)</f>
        <v>36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43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30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34</v>
      </c>
      <c r="V89" s="145">
        <f>SUMIFS(Table2[NewPointsAway],Table2[GameDate], "&lt;=" &amp; $A89, Table2[AwayTeam], V$1)+SUMIFS(Table2[NewPointsHome],Table2[GameDate], "&lt;=" &amp; $A89, Table2[HomeTeam], V$1)</f>
        <v>37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35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33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27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32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41</v>
      </c>
      <c r="C90" s="145">
        <f>SUMIFS(Table2[NewPointsAway],Table2[GameDate], "&lt;=" &amp; $A90, Table2[AwayTeam], C$1)+SUMIFS(Table2[NewPointsHome],Table2[GameDate], "&lt;=" &amp; $A90, Table2[HomeTeam], C$1)</f>
        <v>38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53</v>
      </c>
      <c r="J90" s="145">
        <f>SUMIFS(Table2[NewPointsAway],Table2[GameDate], "&lt;=" &amp; $A90, Table2[AwayTeam], J$1)+SUMIFS(Table2[NewPointsHome],Table2[GameDate], "&lt;=" &amp; $A90, Table2[HomeTeam], J$1)</f>
        <v>49</v>
      </c>
      <c r="K90" s="145">
        <f>SUMIFS(Table2[NewPointsAway],Table2[GameDate], "&lt;=" &amp; $A90, Table2[AwayTeam], K$1)+SUMIFS(Table2[NewPointsHome],Table2[GameDate], "&lt;=" &amp; $A90, Table2[HomeTeam], K$1)</f>
        <v>39</v>
      </c>
      <c r="L90" s="145">
        <f>SUMIFS(Table2[NewPointsAway],Table2[GameDate], "&lt;=" &amp; $A90, Table2[AwayTeam], L$1)+SUMIFS(Table2[NewPointsHome],Table2[GameDate], "&lt;=" &amp; $A90, Table2[HomeTeam], L$1)</f>
        <v>36</v>
      </c>
      <c r="M90" s="145">
        <f>SUMIFS(Table2[NewPointsAway],Table2[GameDate], "&lt;=" &amp; $A90, Table2[AwayTeam], M$1)+SUMIFS(Table2[NewPointsHome],Table2[GameDate], "&lt;=" &amp; $A90, Table2[HomeTeam], M$1)</f>
        <v>36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43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30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34</v>
      </c>
      <c r="V90" s="145">
        <f>SUMIFS(Table2[NewPointsAway],Table2[GameDate], "&lt;=" &amp; $A90, Table2[AwayTeam], V$1)+SUMIFS(Table2[NewPointsHome],Table2[GameDate], "&lt;=" &amp; $A90, Table2[HomeTeam], V$1)</f>
        <v>37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35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33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27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32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41</v>
      </c>
      <c r="C91" s="145">
        <f>SUMIFS(Table2[NewPointsAway],Table2[GameDate], "&lt;=" &amp; $A91, Table2[AwayTeam], C$1)+SUMIFS(Table2[NewPointsHome],Table2[GameDate], "&lt;=" &amp; $A91, Table2[HomeTeam], C$1)</f>
        <v>38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53</v>
      </c>
      <c r="J91" s="145">
        <f>SUMIFS(Table2[NewPointsAway],Table2[GameDate], "&lt;=" &amp; $A91, Table2[AwayTeam], J$1)+SUMIFS(Table2[NewPointsHome],Table2[GameDate], "&lt;=" &amp; $A91, Table2[HomeTeam], J$1)</f>
        <v>49</v>
      </c>
      <c r="K91" s="145">
        <f>SUMIFS(Table2[NewPointsAway],Table2[GameDate], "&lt;=" &amp; $A91, Table2[AwayTeam], K$1)+SUMIFS(Table2[NewPointsHome],Table2[GameDate], "&lt;=" &amp; $A91, Table2[HomeTeam], K$1)</f>
        <v>39</v>
      </c>
      <c r="L91" s="145">
        <f>SUMIFS(Table2[NewPointsAway],Table2[GameDate], "&lt;=" &amp; $A91, Table2[AwayTeam], L$1)+SUMIFS(Table2[NewPointsHome],Table2[GameDate], "&lt;=" &amp; $A91, Table2[HomeTeam], L$1)</f>
        <v>36</v>
      </c>
      <c r="M91" s="145">
        <f>SUMIFS(Table2[NewPointsAway],Table2[GameDate], "&lt;=" &amp; $A91, Table2[AwayTeam], M$1)+SUMIFS(Table2[NewPointsHome],Table2[GameDate], "&lt;=" &amp; $A91, Table2[HomeTeam], M$1)</f>
        <v>36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43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30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34</v>
      </c>
      <c r="V91" s="145">
        <f>SUMIFS(Table2[NewPointsAway],Table2[GameDate], "&lt;=" &amp; $A91, Table2[AwayTeam], V$1)+SUMIFS(Table2[NewPointsHome],Table2[GameDate], "&lt;=" &amp; $A91, Table2[HomeTeam], V$1)</f>
        <v>37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35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33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27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32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41</v>
      </c>
      <c r="C92" s="145">
        <f>SUMIFS(Table2[NewPointsAway],Table2[GameDate], "&lt;=" &amp; $A92, Table2[AwayTeam], C$1)+SUMIFS(Table2[NewPointsHome],Table2[GameDate], "&lt;=" &amp; $A92, Table2[HomeTeam], C$1)</f>
        <v>38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53</v>
      </c>
      <c r="J92" s="145">
        <f>SUMIFS(Table2[NewPointsAway],Table2[GameDate], "&lt;=" &amp; $A92, Table2[AwayTeam], J$1)+SUMIFS(Table2[NewPointsHome],Table2[GameDate], "&lt;=" &amp; $A92, Table2[HomeTeam], J$1)</f>
        <v>49</v>
      </c>
      <c r="K92" s="145">
        <f>SUMIFS(Table2[NewPointsAway],Table2[GameDate], "&lt;=" &amp; $A92, Table2[AwayTeam], K$1)+SUMIFS(Table2[NewPointsHome],Table2[GameDate], "&lt;=" &amp; $A92, Table2[HomeTeam], K$1)</f>
        <v>39</v>
      </c>
      <c r="L92" s="145">
        <f>SUMIFS(Table2[NewPointsAway],Table2[GameDate], "&lt;=" &amp; $A92, Table2[AwayTeam], L$1)+SUMIFS(Table2[NewPointsHome],Table2[GameDate], "&lt;=" &amp; $A92, Table2[HomeTeam], L$1)</f>
        <v>36</v>
      </c>
      <c r="M92" s="145">
        <f>SUMIFS(Table2[NewPointsAway],Table2[GameDate], "&lt;=" &amp; $A92, Table2[AwayTeam], M$1)+SUMIFS(Table2[NewPointsHome],Table2[GameDate], "&lt;=" &amp; $A92, Table2[HomeTeam], M$1)</f>
        <v>36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43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30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34</v>
      </c>
      <c r="V92" s="145">
        <f>SUMIFS(Table2[NewPointsAway],Table2[GameDate], "&lt;=" &amp; $A92, Table2[AwayTeam], V$1)+SUMIFS(Table2[NewPointsHome],Table2[GameDate], "&lt;=" &amp; $A92, Table2[HomeTeam], V$1)</f>
        <v>37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35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33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27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32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41</v>
      </c>
      <c r="C93" s="145">
        <f>SUMIFS(Table2[NewPointsAway],Table2[GameDate], "&lt;=" &amp; $A93, Table2[AwayTeam], C$1)+SUMIFS(Table2[NewPointsHome],Table2[GameDate], "&lt;=" &amp; $A93, Table2[HomeTeam], C$1)</f>
        <v>38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53</v>
      </c>
      <c r="J93" s="145">
        <f>SUMIFS(Table2[NewPointsAway],Table2[GameDate], "&lt;=" &amp; $A93, Table2[AwayTeam], J$1)+SUMIFS(Table2[NewPointsHome],Table2[GameDate], "&lt;=" &amp; $A93, Table2[HomeTeam], J$1)</f>
        <v>49</v>
      </c>
      <c r="K93" s="145">
        <f>SUMIFS(Table2[NewPointsAway],Table2[GameDate], "&lt;=" &amp; $A93, Table2[AwayTeam], K$1)+SUMIFS(Table2[NewPointsHome],Table2[GameDate], "&lt;=" &amp; $A93, Table2[HomeTeam], K$1)</f>
        <v>39</v>
      </c>
      <c r="L93" s="145">
        <f>SUMIFS(Table2[NewPointsAway],Table2[GameDate], "&lt;=" &amp; $A93, Table2[AwayTeam], L$1)+SUMIFS(Table2[NewPointsHome],Table2[GameDate], "&lt;=" &amp; $A93, Table2[HomeTeam], L$1)</f>
        <v>36</v>
      </c>
      <c r="M93" s="145">
        <f>SUMIFS(Table2[NewPointsAway],Table2[GameDate], "&lt;=" &amp; $A93, Table2[AwayTeam], M$1)+SUMIFS(Table2[NewPointsHome],Table2[GameDate], "&lt;=" &amp; $A93, Table2[HomeTeam], M$1)</f>
        <v>36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43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30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34</v>
      </c>
      <c r="V93" s="145">
        <f>SUMIFS(Table2[NewPointsAway],Table2[GameDate], "&lt;=" &amp; $A93, Table2[AwayTeam], V$1)+SUMIFS(Table2[NewPointsHome],Table2[GameDate], "&lt;=" &amp; $A93, Table2[HomeTeam], V$1)</f>
        <v>37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35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33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27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32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41</v>
      </c>
      <c r="C94" s="145">
        <f>SUMIFS(Table2[NewPointsAway],Table2[GameDate], "&lt;=" &amp; $A94, Table2[AwayTeam], C$1)+SUMIFS(Table2[NewPointsHome],Table2[GameDate], "&lt;=" &amp; $A94, Table2[HomeTeam], C$1)</f>
        <v>38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53</v>
      </c>
      <c r="J94" s="145">
        <f>SUMIFS(Table2[NewPointsAway],Table2[GameDate], "&lt;=" &amp; $A94, Table2[AwayTeam], J$1)+SUMIFS(Table2[NewPointsHome],Table2[GameDate], "&lt;=" &amp; $A94, Table2[HomeTeam], J$1)</f>
        <v>49</v>
      </c>
      <c r="K94" s="145">
        <f>SUMIFS(Table2[NewPointsAway],Table2[GameDate], "&lt;=" &amp; $A94, Table2[AwayTeam], K$1)+SUMIFS(Table2[NewPointsHome],Table2[GameDate], "&lt;=" &amp; $A94, Table2[HomeTeam], K$1)</f>
        <v>39</v>
      </c>
      <c r="L94" s="145">
        <f>SUMIFS(Table2[NewPointsAway],Table2[GameDate], "&lt;=" &amp; $A94, Table2[AwayTeam], L$1)+SUMIFS(Table2[NewPointsHome],Table2[GameDate], "&lt;=" &amp; $A94, Table2[HomeTeam], L$1)</f>
        <v>36</v>
      </c>
      <c r="M94" s="145">
        <f>SUMIFS(Table2[NewPointsAway],Table2[GameDate], "&lt;=" &amp; $A94, Table2[AwayTeam], M$1)+SUMIFS(Table2[NewPointsHome],Table2[GameDate], "&lt;=" &amp; $A94, Table2[HomeTeam], M$1)</f>
        <v>36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43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30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34</v>
      </c>
      <c r="V94" s="145">
        <f>SUMIFS(Table2[NewPointsAway],Table2[GameDate], "&lt;=" &amp; $A94, Table2[AwayTeam], V$1)+SUMIFS(Table2[NewPointsHome],Table2[GameDate], "&lt;=" &amp; $A94, Table2[HomeTeam], V$1)</f>
        <v>37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35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33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27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32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41</v>
      </c>
      <c r="C95" s="145">
        <f>SUMIFS(Table2[NewPointsAway],Table2[GameDate], "&lt;=" &amp; $A95, Table2[AwayTeam], C$1)+SUMIFS(Table2[NewPointsHome],Table2[GameDate], "&lt;=" &amp; $A95, Table2[HomeTeam], C$1)</f>
        <v>38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53</v>
      </c>
      <c r="J95" s="145">
        <f>SUMIFS(Table2[NewPointsAway],Table2[GameDate], "&lt;=" &amp; $A95, Table2[AwayTeam], J$1)+SUMIFS(Table2[NewPointsHome],Table2[GameDate], "&lt;=" &amp; $A95, Table2[HomeTeam], J$1)</f>
        <v>49</v>
      </c>
      <c r="K95" s="145">
        <f>SUMIFS(Table2[NewPointsAway],Table2[GameDate], "&lt;=" &amp; $A95, Table2[AwayTeam], K$1)+SUMIFS(Table2[NewPointsHome],Table2[GameDate], "&lt;=" &amp; $A95, Table2[HomeTeam], K$1)</f>
        <v>39</v>
      </c>
      <c r="L95" s="145">
        <f>SUMIFS(Table2[NewPointsAway],Table2[GameDate], "&lt;=" &amp; $A95, Table2[AwayTeam], L$1)+SUMIFS(Table2[NewPointsHome],Table2[GameDate], "&lt;=" &amp; $A95, Table2[HomeTeam], L$1)</f>
        <v>36</v>
      </c>
      <c r="M95" s="145">
        <f>SUMIFS(Table2[NewPointsAway],Table2[GameDate], "&lt;=" &amp; $A95, Table2[AwayTeam], M$1)+SUMIFS(Table2[NewPointsHome],Table2[GameDate], "&lt;=" &amp; $A95, Table2[HomeTeam], M$1)</f>
        <v>36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43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30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34</v>
      </c>
      <c r="V95" s="145">
        <f>SUMIFS(Table2[NewPointsAway],Table2[GameDate], "&lt;=" &amp; $A95, Table2[AwayTeam], V$1)+SUMIFS(Table2[NewPointsHome],Table2[GameDate], "&lt;=" &amp; $A95, Table2[HomeTeam], V$1)</f>
        <v>37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35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33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27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32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41</v>
      </c>
      <c r="C96" s="145">
        <f>SUMIFS(Table2[NewPointsAway],Table2[GameDate], "&lt;=" &amp; $A96, Table2[AwayTeam], C$1)+SUMIFS(Table2[NewPointsHome],Table2[GameDate], "&lt;=" &amp; $A96, Table2[HomeTeam], C$1)</f>
        <v>38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53</v>
      </c>
      <c r="J96" s="145">
        <f>SUMIFS(Table2[NewPointsAway],Table2[GameDate], "&lt;=" &amp; $A96, Table2[AwayTeam], J$1)+SUMIFS(Table2[NewPointsHome],Table2[GameDate], "&lt;=" &amp; $A96, Table2[HomeTeam], J$1)</f>
        <v>49</v>
      </c>
      <c r="K96" s="145">
        <f>SUMIFS(Table2[NewPointsAway],Table2[GameDate], "&lt;=" &amp; $A96, Table2[AwayTeam], K$1)+SUMIFS(Table2[NewPointsHome],Table2[GameDate], "&lt;=" &amp; $A96, Table2[HomeTeam], K$1)</f>
        <v>39</v>
      </c>
      <c r="L96" s="145">
        <f>SUMIFS(Table2[NewPointsAway],Table2[GameDate], "&lt;=" &amp; $A96, Table2[AwayTeam], L$1)+SUMIFS(Table2[NewPointsHome],Table2[GameDate], "&lt;=" &amp; $A96, Table2[HomeTeam], L$1)</f>
        <v>36</v>
      </c>
      <c r="M96" s="145">
        <f>SUMIFS(Table2[NewPointsAway],Table2[GameDate], "&lt;=" &amp; $A96, Table2[AwayTeam], M$1)+SUMIFS(Table2[NewPointsHome],Table2[GameDate], "&lt;=" &amp; $A96, Table2[HomeTeam], M$1)</f>
        <v>36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43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30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34</v>
      </c>
      <c r="V96" s="145">
        <f>SUMIFS(Table2[NewPointsAway],Table2[GameDate], "&lt;=" &amp; $A96, Table2[AwayTeam], V$1)+SUMIFS(Table2[NewPointsHome],Table2[GameDate], "&lt;=" &amp; $A96, Table2[HomeTeam], V$1)</f>
        <v>37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35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33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27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32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41</v>
      </c>
      <c r="C97" s="145">
        <f>SUMIFS(Table2[NewPointsAway],Table2[GameDate], "&lt;=" &amp; $A97, Table2[AwayTeam], C$1)+SUMIFS(Table2[NewPointsHome],Table2[GameDate], "&lt;=" &amp; $A97, Table2[HomeTeam], C$1)</f>
        <v>38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53</v>
      </c>
      <c r="J97" s="145">
        <f>SUMIFS(Table2[NewPointsAway],Table2[GameDate], "&lt;=" &amp; $A97, Table2[AwayTeam], J$1)+SUMIFS(Table2[NewPointsHome],Table2[GameDate], "&lt;=" &amp; $A97, Table2[HomeTeam], J$1)</f>
        <v>49</v>
      </c>
      <c r="K97" s="145">
        <f>SUMIFS(Table2[NewPointsAway],Table2[GameDate], "&lt;=" &amp; $A97, Table2[AwayTeam], K$1)+SUMIFS(Table2[NewPointsHome],Table2[GameDate], "&lt;=" &amp; $A97, Table2[HomeTeam], K$1)</f>
        <v>39</v>
      </c>
      <c r="L97" s="145">
        <f>SUMIFS(Table2[NewPointsAway],Table2[GameDate], "&lt;=" &amp; $A97, Table2[AwayTeam], L$1)+SUMIFS(Table2[NewPointsHome],Table2[GameDate], "&lt;=" &amp; $A97, Table2[HomeTeam], L$1)</f>
        <v>36</v>
      </c>
      <c r="M97" s="145">
        <f>SUMIFS(Table2[NewPointsAway],Table2[GameDate], "&lt;=" &amp; $A97, Table2[AwayTeam], M$1)+SUMIFS(Table2[NewPointsHome],Table2[GameDate], "&lt;=" &amp; $A97, Table2[HomeTeam], M$1)</f>
        <v>36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43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30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34</v>
      </c>
      <c r="V97" s="145">
        <f>SUMIFS(Table2[NewPointsAway],Table2[GameDate], "&lt;=" &amp; $A97, Table2[AwayTeam], V$1)+SUMIFS(Table2[NewPointsHome],Table2[GameDate], "&lt;=" &amp; $A97, Table2[HomeTeam], V$1)</f>
        <v>37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35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33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27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32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41</v>
      </c>
      <c r="C98" s="145">
        <f>SUMIFS(Table2[NewPointsAway],Table2[GameDate], "&lt;=" &amp; $A98, Table2[AwayTeam], C$1)+SUMIFS(Table2[NewPointsHome],Table2[GameDate], "&lt;=" &amp; $A98, Table2[HomeTeam], C$1)</f>
        <v>38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53</v>
      </c>
      <c r="J98" s="145">
        <f>SUMIFS(Table2[NewPointsAway],Table2[GameDate], "&lt;=" &amp; $A98, Table2[AwayTeam], J$1)+SUMIFS(Table2[NewPointsHome],Table2[GameDate], "&lt;=" &amp; $A98, Table2[HomeTeam], J$1)</f>
        <v>49</v>
      </c>
      <c r="K98" s="145">
        <f>SUMIFS(Table2[NewPointsAway],Table2[GameDate], "&lt;=" &amp; $A98, Table2[AwayTeam], K$1)+SUMIFS(Table2[NewPointsHome],Table2[GameDate], "&lt;=" &amp; $A98, Table2[HomeTeam], K$1)</f>
        <v>39</v>
      </c>
      <c r="L98" s="145">
        <f>SUMIFS(Table2[NewPointsAway],Table2[GameDate], "&lt;=" &amp; $A98, Table2[AwayTeam], L$1)+SUMIFS(Table2[NewPointsHome],Table2[GameDate], "&lt;=" &amp; $A98, Table2[HomeTeam], L$1)</f>
        <v>36</v>
      </c>
      <c r="M98" s="145">
        <f>SUMIFS(Table2[NewPointsAway],Table2[GameDate], "&lt;=" &amp; $A98, Table2[AwayTeam], M$1)+SUMIFS(Table2[NewPointsHome],Table2[GameDate], "&lt;=" &amp; $A98, Table2[HomeTeam], M$1)</f>
        <v>36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43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30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34</v>
      </c>
      <c r="V98" s="145">
        <f>SUMIFS(Table2[NewPointsAway],Table2[GameDate], "&lt;=" &amp; $A98, Table2[AwayTeam], V$1)+SUMIFS(Table2[NewPointsHome],Table2[GameDate], "&lt;=" &amp; $A98, Table2[HomeTeam], V$1)</f>
        <v>37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35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33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27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32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41</v>
      </c>
      <c r="C99" s="145">
        <f>SUMIFS(Table2[NewPointsAway],Table2[GameDate], "&lt;=" &amp; $A99, Table2[AwayTeam], C$1)+SUMIFS(Table2[NewPointsHome],Table2[GameDate], "&lt;=" &amp; $A99, Table2[HomeTeam], C$1)</f>
        <v>38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53</v>
      </c>
      <c r="J99" s="145">
        <f>SUMIFS(Table2[NewPointsAway],Table2[GameDate], "&lt;=" &amp; $A99, Table2[AwayTeam], J$1)+SUMIFS(Table2[NewPointsHome],Table2[GameDate], "&lt;=" &amp; $A99, Table2[HomeTeam], J$1)</f>
        <v>49</v>
      </c>
      <c r="K99" s="145">
        <f>SUMIFS(Table2[NewPointsAway],Table2[GameDate], "&lt;=" &amp; $A99, Table2[AwayTeam], K$1)+SUMIFS(Table2[NewPointsHome],Table2[GameDate], "&lt;=" &amp; $A99, Table2[HomeTeam], K$1)</f>
        <v>39</v>
      </c>
      <c r="L99" s="145">
        <f>SUMIFS(Table2[NewPointsAway],Table2[GameDate], "&lt;=" &amp; $A99, Table2[AwayTeam], L$1)+SUMIFS(Table2[NewPointsHome],Table2[GameDate], "&lt;=" &amp; $A99, Table2[HomeTeam], L$1)</f>
        <v>36</v>
      </c>
      <c r="M99" s="145">
        <f>SUMIFS(Table2[NewPointsAway],Table2[GameDate], "&lt;=" &amp; $A99, Table2[AwayTeam], M$1)+SUMIFS(Table2[NewPointsHome],Table2[GameDate], "&lt;=" &amp; $A99, Table2[HomeTeam], M$1)</f>
        <v>36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43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30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34</v>
      </c>
      <c r="V99" s="145">
        <f>SUMIFS(Table2[NewPointsAway],Table2[GameDate], "&lt;=" &amp; $A99, Table2[AwayTeam], V$1)+SUMIFS(Table2[NewPointsHome],Table2[GameDate], "&lt;=" &amp; $A99, Table2[HomeTeam], V$1)</f>
        <v>37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35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33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27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32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41</v>
      </c>
      <c r="C100" s="145">
        <f>SUMIFS(Table2[NewPointsAway],Table2[GameDate], "&lt;=" &amp; $A100, Table2[AwayTeam], C$1)+SUMIFS(Table2[NewPointsHome],Table2[GameDate], "&lt;=" &amp; $A100, Table2[HomeTeam], C$1)</f>
        <v>38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53</v>
      </c>
      <c r="J100" s="145">
        <f>SUMIFS(Table2[NewPointsAway],Table2[GameDate], "&lt;=" &amp; $A100, Table2[AwayTeam], J$1)+SUMIFS(Table2[NewPointsHome],Table2[GameDate], "&lt;=" &amp; $A100, Table2[HomeTeam], J$1)</f>
        <v>49</v>
      </c>
      <c r="K100" s="145">
        <f>SUMIFS(Table2[NewPointsAway],Table2[GameDate], "&lt;=" &amp; $A100, Table2[AwayTeam], K$1)+SUMIFS(Table2[NewPointsHome],Table2[GameDate], "&lt;=" &amp; $A100, Table2[HomeTeam], K$1)</f>
        <v>39</v>
      </c>
      <c r="L100" s="145">
        <f>SUMIFS(Table2[NewPointsAway],Table2[GameDate], "&lt;=" &amp; $A100, Table2[AwayTeam], L$1)+SUMIFS(Table2[NewPointsHome],Table2[GameDate], "&lt;=" &amp; $A100, Table2[HomeTeam], L$1)</f>
        <v>36</v>
      </c>
      <c r="M100" s="145">
        <f>SUMIFS(Table2[NewPointsAway],Table2[GameDate], "&lt;=" &amp; $A100, Table2[AwayTeam], M$1)+SUMIFS(Table2[NewPointsHome],Table2[GameDate], "&lt;=" &amp; $A100, Table2[HomeTeam], M$1)</f>
        <v>36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43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30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34</v>
      </c>
      <c r="V100" s="145">
        <f>SUMIFS(Table2[NewPointsAway],Table2[GameDate], "&lt;=" &amp; $A100, Table2[AwayTeam], V$1)+SUMIFS(Table2[NewPointsHome],Table2[GameDate], "&lt;=" &amp; $A100, Table2[HomeTeam], V$1)</f>
        <v>37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35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33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27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32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41</v>
      </c>
      <c r="C101" s="145">
        <f>SUMIFS(Table2[NewPointsAway],Table2[GameDate], "&lt;=" &amp; $A101, Table2[AwayTeam], C$1)+SUMIFS(Table2[NewPointsHome],Table2[GameDate], "&lt;=" &amp; $A101, Table2[HomeTeam], C$1)</f>
        <v>38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53</v>
      </c>
      <c r="J101" s="145">
        <f>SUMIFS(Table2[NewPointsAway],Table2[GameDate], "&lt;=" &amp; $A101, Table2[AwayTeam], J$1)+SUMIFS(Table2[NewPointsHome],Table2[GameDate], "&lt;=" &amp; $A101, Table2[HomeTeam], J$1)</f>
        <v>49</v>
      </c>
      <c r="K101" s="145">
        <f>SUMIFS(Table2[NewPointsAway],Table2[GameDate], "&lt;=" &amp; $A101, Table2[AwayTeam], K$1)+SUMIFS(Table2[NewPointsHome],Table2[GameDate], "&lt;=" &amp; $A101, Table2[HomeTeam], K$1)</f>
        <v>39</v>
      </c>
      <c r="L101" s="145">
        <f>SUMIFS(Table2[NewPointsAway],Table2[GameDate], "&lt;=" &amp; $A101, Table2[AwayTeam], L$1)+SUMIFS(Table2[NewPointsHome],Table2[GameDate], "&lt;=" &amp; $A101, Table2[HomeTeam], L$1)</f>
        <v>36</v>
      </c>
      <c r="M101" s="145">
        <f>SUMIFS(Table2[NewPointsAway],Table2[GameDate], "&lt;=" &amp; $A101, Table2[AwayTeam], M$1)+SUMIFS(Table2[NewPointsHome],Table2[GameDate], "&lt;=" &amp; $A101, Table2[HomeTeam], M$1)</f>
        <v>36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43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30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34</v>
      </c>
      <c r="V101" s="145">
        <f>SUMIFS(Table2[NewPointsAway],Table2[GameDate], "&lt;=" &amp; $A101, Table2[AwayTeam], V$1)+SUMIFS(Table2[NewPointsHome],Table2[GameDate], "&lt;=" &amp; $A101, Table2[HomeTeam], V$1)</f>
        <v>37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35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33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27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32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41</v>
      </c>
      <c r="C102" s="145">
        <f>SUMIFS(Table2[NewPointsAway],Table2[GameDate], "&lt;=" &amp; $A102, Table2[AwayTeam], C$1)+SUMIFS(Table2[NewPointsHome],Table2[GameDate], "&lt;=" &amp; $A102, Table2[HomeTeam], C$1)</f>
        <v>38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53</v>
      </c>
      <c r="J102" s="145">
        <f>SUMIFS(Table2[NewPointsAway],Table2[GameDate], "&lt;=" &amp; $A102, Table2[AwayTeam], J$1)+SUMIFS(Table2[NewPointsHome],Table2[GameDate], "&lt;=" &amp; $A102, Table2[HomeTeam], J$1)</f>
        <v>49</v>
      </c>
      <c r="K102" s="145">
        <f>SUMIFS(Table2[NewPointsAway],Table2[GameDate], "&lt;=" &amp; $A102, Table2[AwayTeam], K$1)+SUMIFS(Table2[NewPointsHome],Table2[GameDate], "&lt;=" &amp; $A102, Table2[HomeTeam], K$1)</f>
        <v>39</v>
      </c>
      <c r="L102" s="145">
        <f>SUMIFS(Table2[NewPointsAway],Table2[GameDate], "&lt;=" &amp; $A102, Table2[AwayTeam], L$1)+SUMIFS(Table2[NewPointsHome],Table2[GameDate], "&lt;=" &amp; $A102, Table2[HomeTeam], L$1)</f>
        <v>36</v>
      </c>
      <c r="M102" s="145">
        <f>SUMIFS(Table2[NewPointsAway],Table2[GameDate], "&lt;=" &amp; $A102, Table2[AwayTeam], M$1)+SUMIFS(Table2[NewPointsHome],Table2[GameDate], "&lt;=" &amp; $A102, Table2[HomeTeam], M$1)</f>
        <v>36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43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30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34</v>
      </c>
      <c r="V102" s="145">
        <f>SUMIFS(Table2[NewPointsAway],Table2[GameDate], "&lt;=" &amp; $A102, Table2[AwayTeam], V$1)+SUMIFS(Table2[NewPointsHome],Table2[GameDate], "&lt;=" &amp; $A102, Table2[HomeTeam], V$1)</f>
        <v>37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35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33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27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32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41</v>
      </c>
      <c r="C103" s="145">
        <f>SUMIFS(Table2[NewPointsAway],Table2[GameDate], "&lt;=" &amp; $A103, Table2[AwayTeam], C$1)+SUMIFS(Table2[NewPointsHome],Table2[GameDate], "&lt;=" &amp; $A103, Table2[HomeTeam], C$1)</f>
        <v>38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53</v>
      </c>
      <c r="J103" s="145">
        <f>SUMIFS(Table2[NewPointsAway],Table2[GameDate], "&lt;=" &amp; $A103, Table2[AwayTeam], J$1)+SUMIFS(Table2[NewPointsHome],Table2[GameDate], "&lt;=" &amp; $A103, Table2[HomeTeam], J$1)</f>
        <v>49</v>
      </c>
      <c r="K103" s="145">
        <f>SUMIFS(Table2[NewPointsAway],Table2[GameDate], "&lt;=" &amp; $A103, Table2[AwayTeam], K$1)+SUMIFS(Table2[NewPointsHome],Table2[GameDate], "&lt;=" &amp; $A103, Table2[HomeTeam], K$1)</f>
        <v>39</v>
      </c>
      <c r="L103" s="145">
        <f>SUMIFS(Table2[NewPointsAway],Table2[GameDate], "&lt;=" &amp; $A103, Table2[AwayTeam], L$1)+SUMIFS(Table2[NewPointsHome],Table2[GameDate], "&lt;=" &amp; $A103, Table2[HomeTeam], L$1)</f>
        <v>36</v>
      </c>
      <c r="M103" s="145">
        <f>SUMIFS(Table2[NewPointsAway],Table2[GameDate], "&lt;=" &amp; $A103, Table2[AwayTeam], M$1)+SUMIFS(Table2[NewPointsHome],Table2[GameDate], "&lt;=" &amp; $A103, Table2[HomeTeam], M$1)</f>
        <v>36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43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30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34</v>
      </c>
      <c r="V103" s="145">
        <f>SUMIFS(Table2[NewPointsAway],Table2[GameDate], "&lt;=" &amp; $A103, Table2[AwayTeam], V$1)+SUMIFS(Table2[NewPointsHome],Table2[GameDate], "&lt;=" &amp; $A103, Table2[HomeTeam], V$1)</f>
        <v>37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35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33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27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32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41</v>
      </c>
      <c r="C104" s="145">
        <f>SUMIFS(Table2[NewPointsAway],Table2[GameDate], "&lt;=" &amp; $A104, Table2[AwayTeam], C$1)+SUMIFS(Table2[NewPointsHome],Table2[GameDate], "&lt;=" &amp; $A104, Table2[HomeTeam], C$1)</f>
        <v>38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53</v>
      </c>
      <c r="J104" s="145">
        <f>SUMIFS(Table2[NewPointsAway],Table2[GameDate], "&lt;=" &amp; $A104, Table2[AwayTeam], J$1)+SUMIFS(Table2[NewPointsHome],Table2[GameDate], "&lt;=" &amp; $A104, Table2[HomeTeam], J$1)</f>
        <v>49</v>
      </c>
      <c r="K104" s="145">
        <f>SUMIFS(Table2[NewPointsAway],Table2[GameDate], "&lt;=" &amp; $A104, Table2[AwayTeam], K$1)+SUMIFS(Table2[NewPointsHome],Table2[GameDate], "&lt;=" &amp; $A104, Table2[HomeTeam], K$1)</f>
        <v>39</v>
      </c>
      <c r="L104" s="145">
        <f>SUMIFS(Table2[NewPointsAway],Table2[GameDate], "&lt;=" &amp; $A104, Table2[AwayTeam], L$1)+SUMIFS(Table2[NewPointsHome],Table2[GameDate], "&lt;=" &amp; $A104, Table2[HomeTeam], L$1)</f>
        <v>36</v>
      </c>
      <c r="M104" s="145">
        <f>SUMIFS(Table2[NewPointsAway],Table2[GameDate], "&lt;=" &amp; $A104, Table2[AwayTeam], M$1)+SUMIFS(Table2[NewPointsHome],Table2[GameDate], "&lt;=" &amp; $A104, Table2[HomeTeam], M$1)</f>
        <v>36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43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30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34</v>
      </c>
      <c r="V104" s="145">
        <f>SUMIFS(Table2[NewPointsAway],Table2[GameDate], "&lt;=" &amp; $A104, Table2[AwayTeam], V$1)+SUMIFS(Table2[NewPointsHome],Table2[GameDate], "&lt;=" &amp; $A104, Table2[HomeTeam], V$1)</f>
        <v>37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35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33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27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32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41</v>
      </c>
      <c r="C105" s="145">
        <f>SUMIFS(Table2[NewPointsAway],Table2[GameDate], "&lt;=" &amp; $A105, Table2[AwayTeam], C$1)+SUMIFS(Table2[NewPointsHome],Table2[GameDate], "&lt;=" &amp; $A105, Table2[HomeTeam], C$1)</f>
        <v>38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53</v>
      </c>
      <c r="J105" s="145">
        <f>SUMIFS(Table2[NewPointsAway],Table2[GameDate], "&lt;=" &amp; $A105, Table2[AwayTeam], J$1)+SUMIFS(Table2[NewPointsHome],Table2[GameDate], "&lt;=" &amp; $A105, Table2[HomeTeam], J$1)</f>
        <v>49</v>
      </c>
      <c r="K105" s="145">
        <f>SUMIFS(Table2[NewPointsAway],Table2[GameDate], "&lt;=" &amp; $A105, Table2[AwayTeam], K$1)+SUMIFS(Table2[NewPointsHome],Table2[GameDate], "&lt;=" &amp; $A105, Table2[HomeTeam], K$1)</f>
        <v>39</v>
      </c>
      <c r="L105" s="145">
        <f>SUMIFS(Table2[NewPointsAway],Table2[GameDate], "&lt;=" &amp; $A105, Table2[AwayTeam], L$1)+SUMIFS(Table2[NewPointsHome],Table2[GameDate], "&lt;=" &amp; $A105, Table2[HomeTeam], L$1)</f>
        <v>36</v>
      </c>
      <c r="M105" s="145">
        <f>SUMIFS(Table2[NewPointsAway],Table2[GameDate], "&lt;=" &amp; $A105, Table2[AwayTeam], M$1)+SUMIFS(Table2[NewPointsHome],Table2[GameDate], "&lt;=" &amp; $A105, Table2[HomeTeam], M$1)</f>
        <v>36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43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30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34</v>
      </c>
      <c r="V105" s="145">
        <f>SUMIFS(Table2[NewPointsAway],Table2[GameDate], "&lt;=" &amp; $A105, Table2[AwayTeam], V$1)+SUMIFS(Table2[NewPointsHome],Table2[GameDate], "&lt;=" &amp; $A105, Table2[HomeTeam], V$1)</f>
        <v>37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35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33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27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32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41</v>
      </c>
      <c r="C106" s="145">
        <f>SUMIFS(Table2[NewPointsAway],Table2[GameDate], "&lt;=" &amp; $A106, Table2[AwayTeam], C$1)+SUMIFS(Table2[NewPointsHome],Table2[GameDate], "&lt;=" &amp; $A106, Table2[HomeTeam], C$1)</f>
        <v>38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53</v>
      </c>
      <c r="J106" s="145">
        <f>SUMIFS(Table2[NewPointsAway],Table2[GameDate], "&lt;=" &amp; $A106, Table2[AwayTeam], J$1)+SUMIFS(Table2[NewPointsHome],Table2[GameDate], "&lt;=" &amp; $A106, Table2[HomeTeam], J$1)</f>
        <v>49</v>
      </c>
      <c r="K106" s="145">
        <f>SUMIFS(Table2[NewPointsAway],Table2[GameDate], "&lt;=" &amp; $A106, Table2[AwayTeam], K$1)+SUMIFS(Table2[NewPointsHome],Table2[GameDate], "&lt;=" &amp; $A106, Table2[HomeTeam], K$1)</f>
        <v>39</v>
      </c>
      <c r="L106" s="145">
        <f>SUMIFS(Table2[NewPointsAway],Table2[GameDate], "&lt;=" &amp; $A106, Table2[AwayTeam], L$1)+SUMIFS(Table2[NewPointsHome],Table2[GameDate], "&lt;=" &amp; $A106, Table2[HomeTeam], L$1)</f>
        <v>36</v>
      </c>
      <c r="M106" s="145">
        <f>SUMIFS(Table2[NewPointsAway],Table2[GameDate], "&lt;=" &amp; $A106, Table2[AwayTeam], M$1)+SUMIFS(Table2[NewPointsHome],Table2[GameDate], "&lt;=" &amp; $A106, Table2[HomeTeam], M$1)</f>
        <v>36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43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30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34</v>
      </c>
      <c r="V106" s="145">
        <f>SUMIFS(Table2[NewPointsAway],Table2[GameDate], "&lt;=" &amp; $A106, Table2[AwayTeam], V$1)+SUMIFS(Table2[NewPointsHome],Table2[GameDate], "&lt;=" &amp; $A106, Table2[HomeTeam], V$1)</f>
        <v>37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35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33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27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32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41</v>
      </c>
      <c r="C107" s="145">
        <f>SUMIFS(Table2[NewPointsAway],Table2[GameDate], "&lt;=" &amp; $A107, Table2[AwayTeam], C$1)+SUMIFS(Table2[NewPointsHome],Table2[GameDate], "&lt;=" &amp; $A107, Table2[HomeTeam], C$1)</f>
        <v>38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53</v>
      </c>
      <c r="J107" s="145">
        <f>SUMIFS(Table2[NewPointsAway],Table2[GameDate], "&lt;=" &amp; $A107, Table2[AwayTeam], J$1)+SUMIFS(Table2[NewPointsHome],Table2[GameDate], "&lt;=" &amp; $A107, Table2[HomeTeam], J$1)</f>
        <v>49</v>
      </c>
      <c r="K107" s="145">
        <f>SUMIFS(Table2[NewPointsAway],Table2[GameDate], "&lt;=" &amp; $A107, Table2[AwayTeam], K$1)+SUMIFS(Table2[NewPointsHome],Table2[GameDate], "&lt;=" &amp; $A107, Table2[HomeTeam], K$1)</f>
        <v>39</v>
      </c>
      <c r="L107" s="145">
        <f>SUMIFS(Table2[NewPointsAway],Table2[GameDate], "&lt;=" &amp; $A107, Table2[AwayTeam], L$1)+SUMIFS(Table2[NewPointsHome],Table2[GameDate], "&lt;=" &amp; $A107, Table2[HomeTeam], L$1)</f>
        <v>36</v>
      </c>
      <c r="M107" s="145">
        <f>SUMIFS(Table2[NewPointsAway],Table2[GameDate], "&lt;=" &amp; $A107, Table2[AwayTeam], M$1)+SUMIFS(Table2[NewPointsHome],Table2[GameDate], "&lt;=" &amp; $A107, Table2[HomeTeam], M$1)</f>
        <v>36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43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30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34</v>
      </c>
      <c r="V107" s="145">
        <f>SUMIFS(Table2[NewPointsAway],Table2[GameDate], "&lt;=" &amp; $A107, Table2[AwayTeam], V$1)+SUMIFS(Table2[NewPointsHome],Table2[GameDate], "&lt;=" &amp; $A107, Table2[HomeTeam], V$1)</f>
        <v>37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35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33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27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32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41</v>
      </c>
      <c r="C108" s="145">
        <f>SUMIFS(Table2[NewPointsAway],Table2[GameDate], "&lt;=" &amp; $A108, Table2[AwayTeam], C$1)+SUMIFS(Table2[NewPointsHome],Table2[GameDate], "&lt;=" &amp; $A108, Table2[HomeTeam], C$1)</f>
        <v>38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53</v>
      </c>
      <c r="J108" s="145">
        <f>SUMIFS(Table2[NewPointsAway],Table2[GameDate], "&lt;=" &amp; $A108, Table2[AwayTeam], J$1)+SUMIFS(Table2[NewPointsHome],Table2[GameDate], "&lt;=" &amp; $A108, Table2[HomeTeam], J$1)</f>
        <v>49</v>
      </c>
      <c r="K108" s="145">
        <f>SUMIFS(Table2[NewPointsAway],Table2[GameDate], "&lt;=" &amp; $A108, Table2[AwayTeam], K$1)+SUMIFS(Table2[NewPointsHome],Table2[GameDate], "&lt;=" &amp; $A108, Table2[HomeTeam], K$1)</f>
        <v>39</v>
      </c>
      <c r="L108" s="145">
        <f>SUMIFS(Table2[NewPointsAway],Table2[GameDate], "&lt;=" &amp; $A108, Table2[AwayTeam], L$1)+SUMIFS(Table2[NewPointsHome],Table2[GameDate], "&lt;=" &amp; $A108, Table2[HomeTeam], L$1)</f>
        <v>36</v>
      </c>
      <c r="M108" s="145">
        <f>SUMIFS(Table2[NewPointsAway],Table2[GameDate], "&lt;=" &amp; $A108, Table2[AwayTeam], M$1)+SUMIFS(Table2[NewPointsHome],Table2[GameDate], "&lt;=" &amp; $A108, Table2[HomeTeam], M$1)</f>
        <v>36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43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30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34</v>
      </c>
      <c r="V108" s="145">
        <f>SUMIFS(Table2[NewPointsAway],Table2[GameDate], "&lt;=" &amp; $A108, Table2[AwayTeam], V$1)+SUMIFS(Table2[NewPointsHome],Table2[GameDate], "&lt;=" &amp; $A108, Table2[HomeTeam], V$1)</f>
        <v>37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35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33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27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32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41</v>
      </c>
      <c r="C109" s="145">
        <f>SUMIFS(Table2[NewPointsAway],Table2[GameDate], "&lt;=" &amp; $A109, Table2[AwayTeam], C$1)+SUMIFS(Table2[NewPointsHome],Table2[GameDate], "&lt;=" &amp; $A109, Table2[HomeTeam], C$1)</f>
        <v>38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53</v>
      </c>
      <c r="J109" s="145">
        <f>SUMIFS(Table2[NewPointsAway],Table2[GameDate], "&lt;=" &amp; $A109, Table2[AwayTeam], J$1)+SUMIFS(Table2[NewPointsHome],Table2[GameDate], "&lt;=" &amp; $A109, Table2[HomeTeam], J$1)</f>
        <v>49</v>
      </c>
      <c r="K109" s="145">
        <f>SUMIFS(Table2[NewPointsAway],Table2[GameDate], "&lt;=" &amp; $A109, Table2[AwayTeam], K$1)+SUMIFS(Table2[NewPointsHome],Table2[GameDate], "&lt;=" &amp; $A109, Table2[HomeTeam], K$1)</f>
        <v>39</v>
      </c>
      <c r="L109" s="145">
        <f>SUMIFS(Table2[NewPointsAway],Table2[GameDate], "&lt;=" &amp; $A109, Table2[AwayTeam], L$1)+SUMIFS(Table2[NewPointsHome],Table2[GameDate], "&lt;=" &amp; $A109, Table2[HomeTeam], L$1)</f>
        <v>36</v>
      </c>
      <c r="M109" s="145">
        <f>SUMIFS(Table2[NewPointsAway],Table2[GameDate], "&lt;=" &amp; $A109, Table2[AwayTeam], M$1)+SUMIFS(Table2[NewPointsHome],Table2[GameDate], "&lt;=" &amp; $A109, Table2[HomeTeam], M$1)</f>
        <v>36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43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30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34</v>
      </c>
      <c r="V109" s="145">
        <f>SUMIFS(Table2[NewPointsAway],Table2[GameDate], "&lt;=" &amp; $A109, Table2[AwayTeam], V$1)+SUMIFS(Table2[NewPointsHome],Table2[GameDate], "&lt;=" &amp; $A109, Table2[HomeTeam], V$1)</f>
        <v>37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35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33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27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32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41</v>
      </c>
      <c r="C110" s="145">
        <f>SUMIFS(Table2[NewPointsAway],Table2[GameDate], "&lt;=" &amp; $A110, Table2[AwayTeam], C$1)+SUMIFS(Table2[NewPointsHome],Table2[GameDate], "&lt;=" &amp; $A110, Table2[HomeTeam], C$1)</f>
        <v>38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53</v>
      </c>
      <c r="J110" s="145">
        <f>SUMIFS(Table2[NewPointsAway],Table2[GameDate], "&lt;=" &amp; $A110, Table2[AwayTeam], J$1)+SUMIFS(Table2[NewPointsHome],Table2[GameDate], "&lt;=" &amp; $A110, Table2[HomeTeam], J$1)</f>
        <v>49</v>
      </c>
      <c r="K110" s="145">
        <f>SUMIFS(Table2[NewPointsAway],Table2[GameDate], "&lt;=" &amp; $A110, Table2[AwayTeam], K$1)+SUMIFS(Table2[NewPointsHome],Table2[GameDate], "&lt;=" &amp; $A110, Table2[HomeTeam], K$1)</f>
        <v>39</v>
      </c>
      <c r="L110" s="145">
        <f>SUMIFS(Table2[NewPointsAway],Table2[GameDate], "&lt;=" &amp; $A110, Table2[AwayTeam], L$1)+SUMIFS(Table2[NewPointsHome],Table2[GameDate], "&lt;=" &amp; $A110, Table2[HomeTeam], L$1)</f>
        <v>36</v>
      </c>
      <c r="M110" s="145">
        <f>SUMIFS(Table2[NewPointsAway],Table2[GameDate], "&lt;=" &amp; $A110, Table2[AwayTeam], M$1)+SUMIFS(Table2[NewPointsHome],Table2[GameDate], "&lt;=" &amp; $A110, Table2[HomeTeam], M$1)</f>
        <v>36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43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30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34</v>
      </c>
      <c r="V110" s="145">
        <f>SUMIFS(Table2[NewPointsAway],Table2[GameDate], "&lt;=" &amp; $A110, Table2[AwayTeam], V$1)+SUMIFS(Table2[NewPointsHome],Table2[GameDate], "&lt;=" &amp; $A110, Table2[HomeTeam], V$1)</f>
        <v>37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35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33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27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32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41</v>
      </c>
      <c r="C111" s="145">
        <f>SUMIFS(Table2[NewPointsAway],Table2[GameDate], "&lt;=" &amp; $A111, Table2[AwayTeam], C$1)+SUMIFS(Table2[NewPointsHome],Table2[GameDate], "&lt;=" &amp; $A111, Table2[HomeTeam], C$1)</f>
        <v>38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53</v>
      </c>
      <c r="J111" s="145">
        <f>SUMIFS(Table2[NewPointsAway],Table2[GameDate], "&lt;=" &amp; $A111, Table2[AwayTeam], J$1)+SUMIFS(Table2[NewPointsHome],Table2[GameDate], "&lt;=" &amp; $A111, Table2[HomeTeam], J$1)</f>
        <v>49</v>
      </c>
      <c r="K111" s="145">
        <f>SUMIFS(Table2[NewPointsAway],Table2[GameDate], "&lt;=" &amp; $A111, Table2[AwayTeam], K$1)+SUMIFS(Table2[NewPointsHome],Table2[GameDate], "&lt;=" &amp; $A111, Table2[HomeTeam], K$1)</f>
        <v>39</v>
      </c>
      <c r="L111" s="145">
        <f>SUMIFS(Table2[NewPointsAway],Table2[GameDate], "&lt;=" &amp; $A111, Table2[AwayTeam], L$1)+SUMIFS(Table2[NewPointsHome],Table2[GameDate], "&lt;=" &amp; $A111, Table2[HomeTeam], L$1)</f>
        <v>36</v>
      </c>
      <c r="M111" s="145">
        <f>SUMIFS(Table2[NewPointsAway],Table2[GameDate], "&lt;=" &amp; $A111, Table2[AwayTeam], M$1)+SUMIFS(Table2[NewPointsHome],Table2[GameDate], "&lt;=" &amp; $A111, Table2[HomeTeam], M$1)</f>
        <v>36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43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30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34</v>
      </c>
      <c r="V111" s="145">
        <f>SUMIFS(Table2[NewPointsAway],Table2[GameDate], "&lt;=" &amp; $A111, Table2[AwayTeam], V$1)+SUMIFS(Table2[NewPointsHome],Table2[GameDate], "&lt;=" &amp; $A111, Table2[HomeTeam], V$1)</f>
        <v>37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35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33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27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32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41</v>
      </c>
      <c r="C112" s="145">
        <f>SUMIFS(Table2[NewPointsAway],Table2[GameDate], "&lt;=" &amp; $A112, Table2[AwayTeam], C$1)+SUMIFS(Table2[NewPointsHome],Table2[GameDate], "&lt;=" &amp; $A112, Table2[HomeTeam], C$1)</f>
        <v>38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53</v>
      </c>
      <c r="J112" s="145">
        <f>SUMIFS(Table2[NewPointsAway],Table2[GameDate], "&lt;=" &amp; $A112, Table2[AwayTeam], J$1)+SUMIFS(Table2[NewPointsHome],Table2[GameDate], "&lt;=" &amp; $A112, Table2[HomeTeam], J$1)</f>
        <v>49</v>
      </c>
      <c r="K112" s="145">
        <f>SUMIFS(Table2[NewPointsAway],Table2[GameDate], "&lt;=" &amp; $A112, Table2[AwayTeam], K$1)+SUMIFS(Table2[NewPointsHome],Table2[GameDate], "&lt;=" &amp; $A112, Table2[HomeTeam], K$1)</f>
        <v>39</v>
      </c>
      <c r="L112" s="145">
        <f>SUMIFS(Table2[NewPointsAway],Table2[GameDate], "&lt;=" &amp; $A112, Table2[AwayTeam], L$1)+SUMIFS(Table2[NewPointsHome],Table2[GameDate], "&lt;=" &amp; $A112, Table2[HomeTeam], L$1)</f>
        <v>36</v>
      </c>
      <c r="M112" s="145">
        <f>SUMIFS(Table2[NewPointsAway],Table2[GameDate], "&lt;=" &amp; $A112, Table2[AwayTeam], M$1)+SUMIFS(Table2[NewPointsHome],Table2[GameDate], "&lt;=" &amp; $A112, Table2[HomeTeam], M$1)</f>
        <v>36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43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30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34</v>
      </c>
      <c r="V112" s="145">
        <f>SUMIFS(Table2[NewPointsAway],Table2[GameDate], "&lt;=" &amp; $A112, Table2[AwayTeam], V$1)+SUMIFS(Table2[NewPointsHome],Table2[GameDate], "&lt;=" &amp; $A112, Table2[HomeTeam], V$1)</f>
        <v>37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35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33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27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32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41</v>
      </c>
      <c r="C113" s="145">
        <f>SUMIFS(Table2[NewPointsAway],Table2[GameDate], "&lt;=" &amp; $A113, Table2[AwayTeam], C$1)+SUMIFS(Table2[NewPointsHome],Table2[GameDate], "&lt;=" &amp; $A113, Table2[HomeTeam], C$1)</f>
        <v>38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53</v>
      </c>
      <c r="J113" s="145">
        <f>SUMIFS(Table2[NewPointsAway],Table2[GameDate], "&lt;=" &amp; $A113, Table2[AwayTeam], J$1)+SUMIFS(Table2[NewPointsHome],Table2[GameDate], "&lt;=" &amp; $A113, Table2[HomeTeam], J$1)</f>
        <v>49</v>
      </c>
      <c r="K113" s="145">
        <f>SUMIFS(Table2[NewPointsAway],Table2[GameDate], "&lt;=" &amp; $A113, Table2[AwayTeam], K$1)+SUMIFS(Table2[NewPointsHome],Table2[GameDate], "&lt;=" &amp; $A113, Table2[HomeTeam], K$1)</f>
        <v>39</v>
      </c>
      <c r="L113" s="145">
        <f>SUMIFS(Table2[NewPointsAway],Table2[GameDate], "&lt;=" &amp; $A113, Table2[AwayTeam], L$1)+SUMIFS(Table2[NewPointsHome],Table2[GameDate], "&lt;=" &amp; $A113, Table2[HomeTeam], L$1)</f>
        <v>36</v>
      </c>
      <c r="M113" s="145">
        <f>SUMIFS(Table2[NewPointsAway],Table2[GameDate], "&lt;=" &amp; $A113, Table2[AwayTeam], M$1)+SUMIFS(Table2[NewPointsHome],Table2[GameDate], "&lt;=" &amp; $A113, Table2[HomeTeam], M$1)</f>
        <v>36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43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30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34</v>
      </c>
      <c r="V113" s="145">
        <f>SUMIFS(Table2[NewPointsAway],Table2[GameDate], "&lt;=" &amp; $A113, Table2[AwayTeam], V$1)+SUMIFS(Table2[NewPointsHome],Table2[GameDate], "&lt;=" &amp; $A113, Table2[HomeTeam], V$1)</f>
        <v>37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35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33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27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32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41</v>
      </c>
      <c r="C114" s="145">
        <f>SUMIFS(Table2[NewPointsAway],Table2[GameDate], "&lt;=" &amp; $A114, Table2[AwayTeam], C$1)+SUMIFS(Table2[NewPointsHome],Table2[GameDate], "&lt;=" &amp; $A114, Table2[HomeTeam], C$1)</f>
        <v>38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53</v>
      </c>
      <c r="J114" s="145">
        <f>SUMIFS(Table2[NewPointsAway],Table2[GameDate], "&lt;=" &amp; $A114, Table2[AwayTeam], J$1)+SUMIFS(Table2[NewPointsHome],Table2[GameDate], "&lt;=" &amp; $A114, Table2[HomeTeam], J$1)</f>
        <v>49</v>
      </c>
      <c r="K114" s="145">
        <f>SUMIFS(Table2[NewPointsAway],Table2[GameDate], "&lt;=" &amp; $A114, Table2[AwayTeam], K$1)+SUMIFS(Table2[NewPointsHome],Table2[GameDate], "&lt;=" &amp; $A114, Table2[HomeTeam], K$1)</f>
        <v>39</v>
      </c>
      <c r="L114" s="145">
        <f>SUMIFS(Table2[NewPointsAway],Table2[GameDate], "&lt;=" &amp; $A114, Table2[AwayTeam], L$1)+SUMIFS(Table2[NewPointsHome],Table2[GameDate], "&lt;=" &amp; $A114, Table2[HomeTeam], L$1)</f>
        <v>36</v>
      </c>
      <c r="M114" s="145">
        <f>SUMIFS(Table2[NewPointsAway],Table2[GameDate], "&lt;=" &amp; $A114, Table2[AwayTeam], M$1)+SUMIFS(Table2[NewPointsHome],Table2[GameDate], "&lt;=" &amp; $A114, Table2[HomeTeam], M$1)</f>
        <v>36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43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30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34</v>
      </c>
      <c r="V114" s="145">
        <f>SUMIFS(Table2[NewPointsAway],Table2[GameDate], "&lt;=" &amp; $A114, Table2[AwayTeam], V$1)+SUMIFS(Table2[NewPointsHome],Table2[GameDate], "&lt;=" &amp; $A114, Table2[HomeTeam], V$1)</f>
        <v>37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35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33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27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32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41</v>
      </c>
      <c r="C115" s="145">
        <f>SUMIFS(Table2[NewPointsAway],Table2[GameDate], "&lt;=" &amp; $A115, Table2[AwayTeam], C$1)+SUMIFS(Table2[NewPointsHome],Table2[GameDate], "&lt;=" &amp; $A115, Table2[HomeTeam], C$1)</f>
        <v>38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53</v>
      </c>
      <c r="J115" s="145">
        <f>SUMIFS(Table2[NewPointsAway],Table2[GameDate], "&lt;=" &amp; $A115, Table2[AwayTeam], J$1)+SUMIFS(Table2[NewPointsHome],Table2[GameDate], "&lt;=" &amp; $A115, Table2[HomeTeam], J$1)</f>
        <v>49</v>
      </c>
      <c r="K115" s="145">
        <f>SUMIFS(Table2[NewPointsAway],Table2[GameDate], "&lt;=" &amp; $A115, Table2[AwayTeam], K$1)+SUMIFS(Table2[NewPointsHome],Table2[GameDate], "&lt;=" &amp; $A115, Table2[HomeTeam], K$1)</f>
        <v>39</v>
      </c>
      <c r="L115" s="145">
        <f>SUMIFS(Table2[NewPointsAway],Table2[GameDate], "&lt;=" &amp; $A115, Table2[AwayTeam], L$1)+SUMIFS(Table2[NewPointsHome],Table2[GameDate], "&lt;=" &amp; $A115, Table2[HomeTeam], L$1)</f>
        <v>36</v>
      </c>
      <c r="M115" s="145">
        <f>SUMIFS(Table2[NewPointsAway],Table2[GameDate], "&lt;=" &amp; $A115, Table2[AwayTeam], M$1)+SUMIFS(Table2[NewPointsHome],Table2[GameDate], "&lt;=" &amp; $A115, Table2[HomeTeam], M$1)</f>
        <v>36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43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30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34</v>
      </c>
      <c r="V115" s="145">
        <f>SUMIFS(Table2[NewPointsAway],Table2[GameDate], "&lt;=" &amp; $A115, Table2[AwayTeam], V$1)+SUMIFS(Table2[NewPointsHome],Table2[GameDate], "&lt;=" &amp; $A115, Table2[HomeTeam], V$1)</f>
        <v>37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35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33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27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32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41</v>
      </c>
      <c r="C116" s="145">
        <f>SUMIFS(Table2[NewPointsAway],Table2[GameDate], "&lt;=" &amp; $A116, Table2[AwayTeam], C$1)+SUMIFS(Table2[NewPointsHome],Table2[GameDate], "&lt;=" &amp; $A116, Table2[HomeTeam], C$1)</f>
        <v>38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53</v>
      </c>
      <c r="J116" s="145">
        <f>SUMIFS(Table2[NewPointsAway],Table2[GameDate], "&lt;=" &amp; $A116, Table2[AwayTeam], J$1)+SUMIFS(Table2[NewPointsHome],Table2[GameDate], "&lt;=" &amp; $A116, Table2[HomeTeam], J$1)</f>
        <v>49</v>
      </c>
      <c r="K116" s="145">
        <f>SUMIFS(Table2[NewPointsAway],Table2[GameDate], "&lt;=" &amp; $A116, Table2[AwayTeam], K$1)+SUMIFS(Table2[NewPointsHome],Table2[GameDate], "&lt;=" &amp; $A116, Table2[HomeTeam], K$1)</f>
        <v>39</v>
      </c>
      <c r="L116" s="145">
        <f>SUMIFS(Table2[NewPointsAway],Table2[GameDate], "&lt;=" &amp; $A116, Table2[AwayTeam], L$1)+SUMIFS(Table2[NewPointsHome],Table2[GameDate], "&lt;=" &amp; $A116, Table2[HomeTeam], L$1)</f>
        <v>36</v>
      </c>
      <c r="M116" s="145">
        <f>SUMIFS(Table2[NewPointsAway],Table2[GameDate], "&lt;=" &amp; $A116, Table2[AwayTeam], M$1)+SUMIFS(Table2[NewPointsHome],Table2[GameDate], "&lt;=" &amp; $A116, Table2[HomeTeam], M$1)</f>
        <v>36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43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30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34</v>
      </c>
      <c r="V116" s="145">
        <f>SUMIFS(Table2[NewPointsAway],Table2[GameDate], "&lt;=" &amp; $A116, Table2[AwayTeam], V$1)+SUMIFS(Table2[NewPointsHome],Table2[GameDate], "&lt;=" &amp; $A116, Table2[HomeTeam], V$1)</f>
        <v>37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35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33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27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32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41</v>
      </c>
      <c r="C117" s="145">
        <f>SUMIFS(Table2[NewPointsAway],Table2[GameDate], "&lt;=" &amp; $A117, Table2[AwayTeam], C$1)+SUMIFS(Table2[NewPointsHome],Table2[GameDate], "&lt;=" &amp; $A117, Table2[HomeTeam], C$1)</f>
        <v>38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53</v>
      </c>
      <c r="J117" s="145">
        <f>SUMIFS(Table2[NewPointsAway],Table2[GameDate], "&lt;=" &amp; $A117, Table2[AwayTeam], J$1)+SUMIFS(Table2[NewPointsHome],Table2[GameDate], "&lt;=" &amp; $A117, Table2[HomeTeam], J$1)</f>
        <v>49</v>
      </c>
      <c r="K117" s="145">
        <f>SUMIFS(Table2[NewPointsAway],Table2[GameDate], "&lt;=" &amp; $A117, Table2[AwayTeam], K$1)+SUMIFS(Table2[NewPointsHome],Table2[GameDate], "&lt;=" &amp; $A117, Table2[HomeTeam], K$1)</f>
        <v>39</v>
      </c>
      <c r="L117" s="145">
        <f>SUMIFS(Table2[NewPointsAway],Table2[GameDate], "&lt;=" &amp; $A117, Table2[AwayTeam], L$1)+SUMIFS(Table2[NewPointsHome],Table2[GameDate], "&lt;=" &amp; $A117, Table2[HomeTeam], L$1)</f>
        <v>36</v>
      </c>
      <c r="M117" s="145">
        <f>SUMIFS(Table2[NewPointsAway],Table2[GameDate], "&lt;=" &amp; $A117, Table2[AwayTeam], M$1)+SUMIFS(Table2[NewPointsHome],Table2[GameDate], "&lt;=" &amp; $A117, Table2[HomeTeam], M$1)</f>
        <v>36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43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30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34</v>
      </c>
      <c r="V117" s="145">
        <f>SUMIFS(Table2[NewPointsAway],Table2[GameDate], "&lt;=" &amp; $A117, Table2[AwayTeam], V$1)+SUMIFS(Table2[NewPointsHome],Table2[GameDate], "&lt;=" &amp; $A117, Table2[HomeTeam], V$1)</f>
        <v>37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35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33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27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32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41</v>
      </c>
      <c r="C118" s="145">
        <f>SUMIFS(Table2[NewPointsAway],Table2[GameDate], "&lt;=" &amp; $A118, Table2[AwayTeam], C$1)+SUMIFS(Table2[NewPointsHome],Table2[GameDate], "&lt;=" &amp; $A118, Table2[HomeTeam], C$1)</f>
        <v>38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53</v>
      </c>
      <c r="J118" s="145">
        <f>SUMIFS(Table2[NewPointsAway],Table2[GameDate], "&lt;=" &amp; $A118, Table2[AwayTeam], J$1)+SUMIFS(Table2[NewPointsHome],Table2[GameDate], "&lt;=" &amp; $A118, Table2[HomeTeam], J$1)</f>
        <v>49</v>
      </c>
      <c r="K118" s="145">
        <f>SUMIFS(Table2[NewPointsAway],Table2[GameDate], "&lt;=" &amp; $A118, Table2[AwayTeam], K$1)+SUMIFS(Table2[NewPointsHome],Table2[GameDate], "&lt;=" &amp; $A118, Table2[HomeTeam], K$1)</f>
        <v>39</v>
      </c>
      <c r="L118" s="145">
        <f>SUMIFS(Table2[NewPointsAway],Table2[GameDate], "&lt;=" &amp; $A118, Table2[AwayTeam], L$1)+SUMIFS(Table2[NewPointsHome],Table2[GameDate], "&lt;=" &amp; $A118, Table2[HomeTeam], L$1)</f>
        <v>36</v>
      </c>
      <c r="M118" s="145">
        <f>SUMIFS(Table2[NewPointsAway],Table2[GameDate], "&lt;=" &amp; $A118, Table2[AwayTeam], M$1)+SUMIFS(Table2[NewPointsHome],Table2[GameDate], "&lt;=" &amp; $A118, Table2[HomeTeam], M$1)</f>
        <v>36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43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30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34</v>
      </c>
      <c r="V118" s="145">
        <f>SUMIFS(Table2[NewPointsAway],Table2[GameDate], "&lt;=" &amp; $A118, Table2[AwayTeam], V$1)+SUMIFS(Table2[NewPointsHome],Table2[GameDate], "&lt;=" &amp; $A118, Table2[HomeTeam], V$1)</f>
        <v>37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35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33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27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32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41</v>
      </c>
      <c r="C119" s="145">
        <f>SUMIFS(Table2[NewPointsAway],Table2[GameDate], "&lt;=" &amp; $A119, Table2[AwayTeam], C$1)+SUMIFS(Table2[NewPointsHome],Table2[GameDate], "&lt;=" &amp; $A119, Table2[HomeTeam], C$1)</f>
        <v>38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53</v>
      </c>
      <c r="J119" s="145">
        <f>SUMIFS(Table2[NewPointsAway],Table2[GameDate], "&lt;=" &amp; $A119, Table2[AwayTeam], J$1)+SUMIFS(Table2[NewPointsHome],Table2[GameDate], "&lt;=" &amp; $A119, Table2[HomeTeam], J$1)</f>
        <v>49</v>
      </c>
      <c r="K119" s="145">
        <f>SUMIFS(Table2[NewPointsAway],Table2[GameDate], "&lt;=" &amp; $A119, Table2[AwayTeam], K$1)+SUMIFS(Table2[NewPointsHome],Table2[GameDate], "&lt;=" &amp; $A119, Table2[HomeTeam], K$1)</f>
        <v>39</v>
      </c>
      <c r="L119" s="145">
        <f>SUMIFS(Table2[NewPointsAway],Table2[GameDate], "&lt;=" &amp; $A119, Table2[AwayTeam], L$1)+SUMIFS(Table2[NewPointsHome],Table2[GameDate], "&lt;=" &amp; $A119, Table2[HomeTeam], L$1)</f>
        <v>36</v>
      </c>
      <c r="M119" s="145">
        <f>SUMIFS(Table2[NewPointsAway],Table2[GameDate], "&lt;=" &amp; $A119, Table2[AwayTeam], M$1)+SUMIFS(Table2[NewPointsHome],Table2[GameDate], "&lt;=" &amp; $A119, Table2[HomeTeam], M$1)</f>
        <v>36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43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30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34</v>
      </c>
      <c r="V119" s="145">
        <f>SUMIFS(Table2[NewPointsAway],Table2[GameDate], "&lt;=" &amp; $A119, Table2[AwayTeam], V$1)+SUMIFS(Table2[NewPointsHome],Table2[GameDate], "&lt;=" &amp; $A119, Table2[HomeTeam], V$1)</f>
        <v>37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35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33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27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32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41</v>
      </c>
      <c r="C120" s="145">
        <f>SUMIFS(Table2[NewPointsAway],Table2[GameDate], "&lt;=" &amp; $A120, Table2[AwayTeam], C$1)+SUMIFS(Table2[NewPointsHome],Table2[GameDate], "&lt;=" &amp; $A120, Table2[HomeTeam], C$1)</f>
        <v>38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53</v>
      </c>
      <c r="J120" s="145">
        <f>SUMIFS(Table2[NewPointsAway],Table2[GameDate], "&lt;=" &amp; $A120, Table2[AwayTeam], J$1)+SUMIFS(Table2[NewPointsHome],Table2[GameDate], "&lt;=" &amp; $A120, Table2[HomeTeam], J$1)</f>
        <v>49</v>
      </c>
      <c r="K120" s="145">
        <f>SUMIFS(Table2[NewPointsAway],Table2[GameDate], "&lt;=" &amp; $A120, Table2[AwayTeam], K$1)+SUMIFS(Table2[NewPointsHome],Table2[GameDate], "&lt;=" &amp; $A120, Table2[HomeTeam], K$1)</f>
        <v>39</v>
      </c>
      <c r="L120" s="145">
        <f>SUMIFS(Table2[NewPointsAway],Table2[GameDate], "&lt;=" &amp; $A120, Table2[AwayTeam], L$1)+SUMIFS(Table2[NewPointsHome],Table2[GameDate], "&lt;=" &amp; $A120, Table2[HomeTeam], L$1)</f>
        <v>36</v>
      </c>
      <c r="M120" s="145">
        <f>SUMIFS(Table2[NewPointsAway],Table2[GameDate], "&lt;=" &amp; $A120, Table2[AwayTeam], M$1)+SUMIFS(Table2[NewPointsHome],Table2[GameDate], "&lt;=" &amp; $A120, Table2[HomeTeam], M$1)</f>
        <v>36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43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30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34</v>
      </c>
      <c r="V120" s="145">
        <f>SUMIFS(Table2[NewPointsAway],Table2[GameDate], "&lt;=" &amp; $A120, Table2[AwayTeam], V$1)+SUMIFS(Table2[NewPointsHome],Table2[GameDate], "&lt;=" &amp; $A120, Table2[HomeTeam], V$1)</f>
        <v>37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35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33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27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32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41</v>
      </c>
      <c r="C121" s="145">
        <f>SUMIFS(Table2[NewPointsAway],Table2[GameDate], "&lt;=" &amp; $A121, Table2[AwayTeam], C$1)+SUMIFS(Table2[NewPointsHome],Table2[GameDate], "&lt;=" &amp; $A121, Table2[HomeTeam], C$1)</f>
        <v>38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53</v>
      </c>
      <c r="J121" s="145">
        <f>SUMIFS(Table2[NewPointsAway],Table2[GameDate], "&lt;=" &amp; $A121, Table2[AwayTeam], J$1)+SUMIFS(Table2[NewPointsHome],Table2[GameDate], "&lt;=" &amp; $A121, Table2[HomeTeam], J$1)</f>
        <v>49</v>
      </c>
      <c r="K121" s="145">
        <f>SUMIFS(Table2[NewPointsAway],Table2[GameDate], "&lt;=" &amp; $A121, Table2[AwayTeam], K$1)+SUMIFS(Table2[NewPointsHome],Table2[GameDate], "&lt;=" &amp; $A121, Table2[HomeTeam], K$1)</f>
        <v>39</v>
      </c>
      <c r="L121" s="145">
        <f>SUMIFS(Table2[NewPointsAway],Table2[GameDate], "&lt;=" &amp; $A121, Table2[AwayTeam], L$1)+SUMIFS(Table2[NewPointsHome],Table2[GameDate], "&lt;=" &amp; $A121, Table2[HomeTeam], L$1)</f>
        <v>36</v>
      </c>
      <c r="M121" s="145">
        <f>SUMIFS(Table2[NewPointsAway],Table2[GameDate], "&lt;=" &amp; $A121, Table2[AwayTeam], M$1)+SUMIFS(Table2[NewPointsHome],Table2[GameDate], "&lt;=" &amp; $A121, Table2[HomeTeam], M$1)</f>
        <v>36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43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30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34</v>
      </c>
      <c r="V121" s="145">
        <f>SUMIFS(Table2[NewPointsAway],Table2[GameDate], "&lt;=" &amp; $A121, Table2[AwayTeam], V$1)+SUMIFS(Table2[NewPointsHome],Table2[GameDate], "&lt;=" &amp; $A121, Table2[HomeTeam], V$1)</f>
        <v>37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35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33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27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32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41</v>
      </c>
      <c r="C122" s="145">
        <f>SUMIFS(Table2[NewPointsAway],Table2[GameDate], "&lt;=" &amp; $A122, Table2[AwayTeam], C$1)+SUMIFS(Table2[NewPointsHome],Table2[GameDate], "&lt;=" &amp; $A122, Table2[HomeTeam], C$1)</f>
        <v>38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53</v>
      </c>
      <c r="J122" s="145">
        <f>SUMIFS(Table2[NewPointsAway],Table2[GameDate], "&lt;=" &amp; $A122, Table2[AwayTeam], J$1)+SUMIFS(Table2[NewPointsHome],Table2[GameDate], "&lt;=" &amp; $A122, Table2[HomeTeam], J$1)</f>
        <v>49</v>
      </c>
      <c r="K122" s="145">
        <f>SUMIFS(Table2[NewPointsAway],Table2[GameDate], "&lt;=" &amp; $A122, Table2[AwayTeam], K$1)+SUMIFS(Table2[NewPointsHome],Table2[GameDate], "&lt;=" &amp; $A122, Table2[HomeTeam], K$1)</f>
        <v>39</v>
      </c>
      <c r="L122" s="145">
        <f>SUMIFS(Table2[NewPointsAway],Table2[GameDate], "&lt;=" &amp; $A122, Table2[AwayTeam], L$1)+SUMIFS(Table2[NewPointsHome],Table2[GameDate], "&lt;=" &amp; $A122, Table2[HomeTeam], L$1)</f>
        <v>36</v>
      </c>
      <c r="M122" s="145">
        <f>SUMIFS(Table2[NewPointsAway],Table2[GameDate], "&lt;=" &amp; $A122, Table2[AwayTeam], M$1)+SUMIFS(Table2[NewPointsHome],Table2[GameDate], "&lt;=" &amp; $A122, Table2[HomeTeam], M$1)</f>
        <v>36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43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30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34</v>
      </c>
      <c r="V122" s="145">
        <f>SUMIFS(Table2[NewPointsAway],Table2[GameDate], "&lt;=" &amp; $A122, Table2[AwayTeam], V$1)+SUMIFS(Table2[NewPointsHome],Table2[GameDate], "&lt;=" &amp; $A122, Table2[HomeTeam], V$1)</f>
        <v>37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35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33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27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32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41</v>
      </c>
      <c r="C123" s="145">
        <f>SUMIFS(Table2[NewPointsAway],Table2[GameDate], "&lt;=" &amp; $A123, Table2[AwayTeam], C$1)+SUMIFS(Table2[NewPointsHome],Table2[GameDate], "&lt;=" &amp; $A123, Table2[HomeTeam], C$1)</f>
        <v>38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53</v>
      </c>
      <c r="J123" s="145">
        <f>SUMIFS(Table2[NewPointsAway],Table2[GameDate], "&lt;=" &amp; $A123, Table2[AwayTeam], J$1)+SUMIFS(Table2[NewPointsHome],Table2[GameDate], "&lt;=" &amp; $A123, Table2[HomeTeam], J$1)</f>
        <v>49</v>
      </c>
      <c r="K123" s="145">
        <f>SUMIFS(Table2[NewPointsAway],Table2[GameDate], "&lt;=" &amp; $A123, Table2[AwayTeam], K$1)+SUMIFS(Table2[NewPointsHome],Table2[GameDate], "&lt;=" &amp; $A123, Table2[HomeTeam], K$1)</f>
        <v>39</v>
      </c>
      <c r="L123" s="145">
        <f>SUMIFS(Table2[NewPointsAway],Table2[GameDate], "&lt;=" &amp; $A123, Table2[AwayTeam], L$1)+SUMIFS(Table2[NewPointsHome],Table2[GameDate], "&lt;=" &amp; $A123, Table2[HomeTeam], L$1)</f>
        <v>36</v>
      </c>
      <c r="M123" s="145">
        <f>SUMIFS(Table2[NewPointsAway],Table2[GameDate], "&lt;=" &amp; $A123, Table2[AwayTeam], M$1)+SUMIFS(Table2[NewPointsHome],Table2[GameDate], "&lt;=" &amp; $A123, Table2[HomeTeam], M$1)</f>
        <v>36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43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30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34</v>
      </c>
      <c r="V123" s="145">
        <f>SUMIFS(Table2[NewPointsAway],Table2[GameDate], "&lt;=" &amp; $A123, Table2[AwayTeam], V$1)+SUMIFS(Table2[NewPointsHome],Table2[GameDate], "&lt;=" &amp; $A123, Table2[HomeTeam], V$1)</f>
        <v>37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35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33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27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32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41</v>
      </c>
      <c r="C124" s="145">
        <f>SUMIFS(Table2[NewPointsAway],Table2[GameDate], "&lt;=" &amp; $A124, Table2[AwayTeam], C$1)+SUMIFS(Table2[NewPointsHome],Table2[GameDate], "&lt;=" &amp; $A124, Table2[HomeTeam], C$1)</f>
        <v>38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53</v>
      </c>
      <c r="J124" s="145">
        <f>SUMIFS(Table2[NewPointsAway],Table2[GameDate], "&lt;=" &amp; $A124, Table2[AwayTeam], J$1)+SUMIFS(Table2[NewPointsHome],Table2[GameDate], "&lt;=" &amp; $A124, Table2[HomeTeam], J$1)</f>
        <v>49</v>
      </c>
      <c r="K124" s="145">
        <f>SUMIFS(Table2[NewPointsAway],Table2[GameDate], "&lt;=" &amp; $A124, Table2[AwayTeam], K$1)+SUMIFS(Table2[NewPointsHome],Table2[GameDate], "&lt;=" &amp; $A124, Table2[HomeTeam], K$1)</f>
        <v>39</v>
      </c>
      <c r="L124" s="145">
        <f>SUMIFS(Table2[NewPointsAway],Table2[GameDate], "&lt;=" &amp; $A124, Table2[AwayTeam], L$1)+SUMIFS(Table2[NewPointsHome],Table2[GameDate], "&lt;=" &amp; $A124, Table2[HomeTeam], L$1)</f>
        <v>36</v>
      </c>
      <c r="M124" s="145">
        <f>SUMIFS(Table2[NewPointsAway],Table2[GameDate], "&lt;=" &amp; $A124, Table2[AwayTeam], M$1)+SUMIFS(Table2[NewPointsHome],Table2[GameDate], "&lt;=" &amp; $A124, Table2[HomeTeam], M$1)</f>
        <v>36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43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30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34</v>
      </c>
      <c r="V124" s="145">
        <f>SUMIFS(Table2[NewPointsAway],Table2[GameDate], "&lt;=" &amp; $A124, Table2[AwayTeam], V$1)+SUMIFS(Table2[NewPointsHome],Table2[GameDate], "&lt;=" &amp; $A124, Table2[HomeTeam], V$1)</f>
        <v>37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35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33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27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32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41</v>
      </c>
      <c r="C125" s="145">
        <f>SUMIFS(Table2[NewPointsAway],Table2[GameDate], "&lt;=" &amp; $A125, Table2[AwayTeam], C$1)+SUMIFS(Table2[NewPointsHome],Table2[GameDate], "&lt;=" &amp; $A125, Table2[HomeTeam], C$1)</f>
        <v>38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53</v>
      </c>
      <c r="J125" s="145">
        <f>SUMIFS(Table2[NewPointsAway],Table2[GameDate], "&lt;=" &amp; $A125, Table2[AwayTeam], J$1)+SUMIFS(Table2[NewPointsHome],Table2[GameDate], "&lt;=" &amp; $A125, Table2[HomeTeam], J$1)</f>
        <v>49</v>
      </c>
      <c r="K125" s="145">
        <f>SUMIFS(Table2[NewPointsAway],Table2[GameDate], "&lt;=" &amp; $A125, Table2[AwayTeam], K$1)+SUMIFS(Table2[NewPointsHome],Table2[GameDate], "&lt;=" &amp; $A125, Table2[HomeTeam], K$1)</f>
        <v>39</v>
      </c>
      <c r="L125" s="145">
        <f>SUMIFS(Table2[NewPointsAway],Table2[GameDate], "&lt;=" &amp; $A125, Table2[AwayTeam], L$1)+SUMIFS(Table2[NewPointsHome],Table2[GameDate], "&lt;=" &amp; $A125, Table2[HomeTeam], L$1)</f>
        <v>36</v>
      </c>
      <c r="M125" s="145">
        <f>SUMIFS(Table2[NewPointsAway],Table2[GameDate], "&lt;=" &amp; $A125, Table2[AwayTeam], M$1)+SUMIFS(Table2[NewPointsHome],Table2[GameDate], "&lt;=" &amp; $A125, Table2[HomeTeam], M$1)</f>
        <v>36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43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30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34</v>
      </c>
      <c r="V125" s="145">
        <f>SUMIFS(Table2[NewPointsAway],Table2[GameDate], "&lt;=" &amp; $A125, Table2[AwayTeam], V$1)+SUMIFS(Table2[NewPointsHome],Table2[GameDate], "&lt;=" &amp; $A125, Table2[HomeTeam], V$1)</f>
        <v>37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35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33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27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32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41</v>
      </c>
      <c r="C126" s="145">
        <f>SUMIFS(Table2[NewPointsAway],Table2[GameDate], "&lt;=" &amp; $A126, Table2[AwayTeam], C$1)+SUMIFS(Table2[NewPointsHome],Table2[GameDate], "&lt;=" &amp; $A126, Table2[HomeTeam], C$1)</f>
        <v>38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53</v>
      </c>
      <c r="J126" s="145">
        <f>SUMIFS(Table2[NewPointsAway],Table2[GameDate], "&lt;=" &amp; $A126, Table2[AwayTeam], J$1)+SUMIFS(Table2[NewPointsHome],Table2[GameDate], "&lt;=" &amp; $A126, Table2[HomeTeam], J$1)</f>
        <v>49</v>
      </c>
      <c r="K126" s="145">
        <f>SUMIFS(Table2[NewPointsAway],Table2[GameDate], "&lt;=" &amp; $A126, Table2[AwayTeam], K$1)+SUMIFS(Table2[NewPointsHome],Table2[GameDate], "&lt;=" &amp; $A126, Table2[HomeTeam], K$1)</f>
        <v>39</v>
      </c>
      <c r="L126" s="145">
        <f>SUMIFS(Table2[NewPointsAway],Table2[GameDate], "&lt;=" &amp; $A126, Table2[AwayTeam], L$1)+SUMIFS(Table2[NewPointsHome],Table2[GameDate], "&lt;=" &amp; $A126, Table2[HomeTeam], L$1)</f>
        <v>36</v>
      </c>
      <c r="M126" s="145">
        <f>SUMIFS(Table2[NewPointsAway],Table2[GameDate], "&lt;=" &amp; $A126, Table2[AwayTeam], M$1)+SUMIFS(Table2[NewPointsHome],Table2[GameDate], "&lt;=" &amp; $A126, Table2[HomeTeam], M$1)</f>
        <v>36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43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30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34</v>
      </c>
      <c r="V126" s="145">
        <f>SUMIFS(Table2[NewPointsAway],Table2[GameDate], "&lt;=" &amp; $A126, Table2[AwayTeam], V$1)+SUMIFS(Table2[NewPointsHome],Table2[GameDate], "&lt;=" &amp; $A126, Table2[HomeTeam], V$1)</f>
        <v>37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35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33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27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32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41</v>
      </c>
      <c r="C127" s="145">
        <f>SUMIFS(Table2[NewPointsAway],Table2[GameDate], "&lt;=" &amp; $A127, Table2[AwayTeam], C$1)+SUMIFS(Table2[NewPointsHome],Table2[GameDate], "&lt;=" &amp; $A127, Table2[HomeTeam], C$1)</f>
        <v>38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53</v>
      </c>
      <c r="J127" s="145">
        <f>SUMIFS(Table2[NewPointsAway],Table2[GameDate], "&lt;=" &amp; $A127, Table2[AwayTeam], J$1)+SUMIFS(Table2[NewPointsHome],Table2[GameDate], "&lt;=" &amp; $A127, Table2[HomeTeam], J$1)</f>
        <v>49</v>
      </c>
      <c r="K127" s="145">
        <f>SUMIFS(Table2[NewPointsAway],Table2[GameDate], "&lt;=" &amp; $A127, Table2[AwayTeam], K$1)+SUMIFS(Table2[NewPointsHome],Table2[GameDate], "&lt;=" &amp; $A127, Table2[HomeTeam], K$1)</f>
        <v>39</v>
      </c>
      <c r="L127" s="145">
        <f>SUMIFS(Table2[NewPointsAway],Table2[GameDate], "&lt;=" &amp; $A127, Table2[AwayTeam], L$1)+SUMIFS(Table2[NewPointsHome],Table2[GameDate], "&lt;=" &amp; $A127, Table2[HomeTeam], L$1)</f>
        <v>36</v>
      </c>
      <c r="M127" s="145">
        <f>SUMIFS(Table2[NewPointsAway],Table2[GameDate], "&lt;=" &amp; $A127, Table2[AwayTeam], M$1)+SUMIFS(Table2[NewPointsHome],Table2[GameDate], "&lt;=" &amp; $A127, Table2[HomeTeam], M$1)</f>
        <v>36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43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30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34</v>
      </c>
      <c r="V127" s="145">
        <f>SUMIFS(Table2[NewPointsAway],Table2[GameDate], "&lt;=" &amp; $A127, Table2[AwayTeam], V$1)+SUMIFS(Table2[NewPointsHome],Table2[GameDate], "&lt;=" &amp; $A127, Table2[HomeTeam], V$1)</f>
        <v>37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35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33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27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32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41</v>
      </c>
      <c r="C128" s="145">
        <f>SUMIFS(Table2[NewPointsAway],Table2[GameDate], "&lt;=" &amp; $A128, Table2[AwayTeam], C$1)+SUMIFS(Table2[NewPointsHome],Table2[GameDate], "&lt;=" &amp; $A128, Table2[HomeTeam], C$1)</f>
        <v>38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53</v>
      </c>
      <c r="J128" s="145">
        <f>SUMIFS(Table2[NewPointsAway],Table2[GameDate], "&lt;=" &amp; $A128, Table2[AwayTeam], J$1)+SUMIFS(Table2[NewPointsHome],Table2[GameDate], "&lt;=" &amp; $A128, Table2[HomeTeam], J$1)</f>
        <v>49</v>
      </c>
      <c r="K128" s="145">
        <f>SUMIFS(Table2[NewPointsAway],Table2[GameDate], "&lt;=" &amp; $A128, Table2[AwayTeam], K$1)+SUMIFS(Table2[NewPointsHome],Table2[GameDate], "&lt;=" &amp; $A128, Table2[HomeTeam], K$1)</f>
        <v>39</v>
      </c>
      <c r="L128" s="145">
        <f>SUMIFS(Table2[NewPointsAway],Table2[GameDate], "&lt;=" &amp; $A128, Table2[AwayTeam], L$1)+SUMIFS(Table2[NewPointsHome],Table2[GameDate], "&lt;=" &amp; $A128, Table2[HomeTeam], L$1)</f>
        <v>36</v>
      </c>
      <c r="M128" s="145">
        <f>SUMIFS(Table2[NewPointsAway],Table2[GameDate], "&lt;=" &amp; $A128, Table2[AwayTeam], M$1)+SUMIFS(Table2[NewPointsHome],Table2[GameDate], "&lt;=" &amp; $A128, Table2[HomeTeam], M$1)</f>
        <v>36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43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30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34</v>
      </c>
      <c r="V128" s="145">
        <f>SUMIFS(Table2[NewPointsAway],Table2[GameDate], "&lt;=" &amp; $A128, Table2[AwayTeam], V$1)+SUMIFS(Table2[NewPointsHome],Table2[GameDate], "&lt;=" &amp; $A128, Table2[HomeTeam], V$1)</f>
        <v>37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35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33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27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32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41</v>
      </c>
      <c r="C129" s="145">
        <f>SUMIFS(Table2[NewPointsAway],Table2[GameDate], "&lt;=" &amp; $A129, Table2[AwayTeam], C$1)+SUMIFS(Table2[NewPointsHome],Table2[GameDate], "&lt;=" &amp; $A129, Table2[HomeTeam], C$1)</f>
        <v>38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53</v>
      </c>
      <c r="J129" s="145">
        <f>SUMIFS(Table2[NewPointsAway],Table2[GameDate], "&lt;=" &amp; $A129, Table2[AwayTeam], J$1)+SUMIFS(Table2[NewPointsHome],Table2[GameDate], "&lt;=" &amp; $A129, Table2[HomeTeam], J$1)</f>
        <v>49</v>
      </c>
      <c r="K129" s="145">
        <f>SUMIFS(Table2[NewPointsAway],Table2[GameDate], "&lt;=" &amp; $A129, Table2[AwayTeam], K$1)+SUMIFS(Table2[NewPointsHome],Table2[GameDate], "&lt;=" &amp; $A129, Table2[HomeTeam], K$1)</f>
        <v>39</v>
      </c>
      <c r="L129" s="145">
        <f>SUMIFS(Table2[NewPointsAway],Table2[GameDate], "&lt;=" &amp; $A129, Table2[AwayTeam], L$1)+SUMIFS(Table2[NewPointsHome],Table2[GameDate], "&lt;=" &amp; $A129, Table2[HomeTeam], L$1)</f>
        <v>36</v>
      </c>
      <c r="M129" s="145">
        <f>SUMIFS(Table2[NewPointsAway],Table2[GameDate], "&lt;=" &amp; $A129, Table2[AwayTeam], M$1)+SUMIFS(Table2[NewPointsHome],Table2[GameDate], "&lt;=" &amp; $A129, Table2[HomeTeam], M$1)</f>
        <v>36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43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30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34</v>
      </c>
      <c r="V129" s="145">
        <f>SUMIFS(Table2[NewPointsAway],Table2[GameDate], "&lt;=" &amp; $A129, Table2[AwayTeam], V$1)+SUMIFS(Table2[NewPointsHome],Table2[GameDate], "&lt;=" &amp; $A129, Table2[HomeTeam], V$1)</f>
        <v>37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35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33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27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32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41</v>
      </c>
      <c r="C130" s="145">
        <f>SUMIFS(Table2[NewPointsAway],Table2[GameDate], "&lt;=" &amp; $A130, Table2[AwayTeam], C$1)+SUMIFS(Table2[NewPointsHome],Table2[GameDate], "&lt;=" &amp; $A130, Table2[HomeTeam], C$1)</f>
        <v>38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53</v>
      </c>
      <c r="J130" s="145">
        <f>SUMIFS(Table2[NewPointsAway],Table2[GameDate], "&lt;=" &amp; $A130, Table2[AwayTeam], J$1)+SUMIFS(Table2[NewPointsHome],Table2[GameDate], "&lt;=" &amp; $A130, Table2[HomeTeam], J$1)</f>
        <v>49</v>
      </c>
      <c r="K130" s="145">
        <f>SUMIFS(Table2[NewPointsAway],Table2[GameDate], "&lt;=" &amp; $A130, Table2[AwayTeam], K$1)+SUMIFS(Table2[NewPointsHome],Table2[GameDate], "&lt;=" &amp; $A130, Table2[HomeTeam], K$1)</f>
        <v>39</v>
      </c>
      <c r="L130" s="145">
        <f>SUMIFS(Table2[NewPointsAway],Table2[GameDate], "&lt;=" &amp; $A130, Table2[AwayTeam], L$1)+SUMIFS(Table2[NewPointsHome],Table2[GameDate], "&lt;=" &amp; $A130, Table2[HomeTeam], L$1)</f>
        <v>36</v>
      </c>
      <c r="M130" s="145">
        <f>SUMIFS(Table2[NewPointsAway],Table2[GameDate], "&lt;=" &amp; $A130, Table2[AwayTeam], M$1)+SUMIFS(Table2[NewPointsHome],Table2[GameDate], "&lt;=" &amp; $A130, Table2[HomeTeam], M$1)</f>
        <v>36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43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30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34</v>
      </c>
      <c r="V130" s="145">
        <f>SUMIFS(Table2[NewPointsAway],Table2[GameDate], "&lt;=" &amp; $A130, Table2[AwayTeam], V$1)+SUMIFS(Table2[NewPointsHome],Table2[GameDate], "&lt;=" &amp; $A130, Table2[HomeTeam], V$1)</f>
        <v>37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35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33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27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32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41</v>
      </c>
      <c r="C131" s="145">
        <f>SUMIFS(Table2[NewPointsAway],Table2[GameDate], "&lt;=" &amp; $A131, Table2[AwayTeam], C$1)+SUMIFS(Table2[NewPointsHome],Table2[GameDate], "&lt;=" &amp; $A131, Table2[HomeTeam], C$1)</f>
        <v>38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53</v>
      </c>
      <c r="J131" s="145">
        <f>SUMIFS(Table2[NewPointsAway],Table2[GameDate], "&lt;=" &amp; $A131, Table2[AwayTeam], J$1)+SUMIFS(Table2[NewPointsHome],Table2[GameDate], "&lt;=" &amp; $A131, Table2[HomeTeam], J$1)</f>
        <v>49</v>
      </c>
      <c r="K131" s="145">
        <f>SUMIFS(Table2[NewPointsAway],Table2[GameDate], "&lt;=" &amp; $A131, Table2[AwayTeam], K$1)+SUMIFS(Table2[NewPointsHome],Table2[GameDate], "&lt;=" &amp; $A131, Table2[HomeTeam], K$1)</f>
        <v>39</v>
      </c>
      <c r="L131" s="145">
        <f>SUMIFS(Table2[NewPointsAway],Table2[GameDate], "&lt;=" &amp; $A131, Table2[AwayTeam], L$1)+SUMIFS(Table2[NewPointsHome],Table2[GameDate], "&lt;=" &amp; $A131, Table2[HomeTeam], L$1)</f>
        <v>36</v>
      </c>
      <c r="M131" s="145">
        <f>SUMIFS(Table2[NewPointsAway],Table2[GameDate], "&lt;=" &amp; $A131, Table2[AwayTeam], M$1)+SUMIFS(Table2[NewPointsHome],Table2[GameDate], "&lt;=" &amp; $A131, Table2[HomeTeam], M$1)</f>
        <v>36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43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30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34</v>
      </c>
      <c r="V131" s="145">
        <f>SUMIFS(Table2[NewPointsAway],Table2[GameDate], "&lt;=" &amp; $A131, Table2[AwayTeam], V$1)+SUMIFS(Table2[NewPointsHome],Table2[GameDate], "&lt;=" &amp; $A131, Table2[HomeTeam], V$1)</f>
        <v>37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35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33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27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32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41</v>
      </c>
      <c r="C132" s="145">
        <f>SUMIFS(Table2[NewPointsAway],Table2[GameDate], "&lt;=" &amp; $A132, Table2[AwayTeam], C$1)+SUMIFS(Table2[NewPointsHome],Table2[GameDate], "&lt;=" &amp; $A132, Table2[HomeTeam], C$1)</f>
        <v>38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53</v>
      </c>
      <c r="J132" s="145">
        <f>SUMIFS(Table2[NewPointsAway],Table2[GameDate], "&lt;=" &amp; $A132, Table2[AwayTeam], J$1)+SUMIFS(Table2[NewPointsHome],Table2[GameDate], "&lt;=" &amp; $A132, Table2[HomeTeam], J$1)</f>
        <v>49</v>
      </c>
      <c r="K132" s="145">
        <f>SUMIFS(Table2[NewPointsAway],Table2[GameDate], "&lt;=" &amp; $A132, Table2[AwayTeam], K$1)+SUMIFS(Table2[NewPointsHome],Table2[GameDate], "&lt;=" &amp; $A132, Table2[HomeTeam], K$1)</f>
        <v>39</v>
      </c>
      <c r="L132" s="145">
        <f>SUMIFS(Table2[NewPointsAway],Table2[GameDate], "&lt;=" &amp; $A132, Table2[AwayTeam], L$1)+SUMIFS(Table2[NewPointsHome],Table2[GameDate], "&lt;=" &amp; $A132, Table2[HomeTeam], L$1)</f>
        <v>36</v>
      </c>
      <c r="M132" s="145">
        <f>SUMIFS(Table2[NewPointsAway],Table2[GameDate], "&lt;=" &amp; $A132, Table2[AwayTeam], M$1)+SUMIFS(Table2[NewPointsHome],Table2[GameDate], "&lt;=" &amp; $A132, Table2[HomeTeam], M$1)</f>
        <v>36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43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30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34</v>
      </c>
      <c r="V132" s="145">
        <f>SUMIFS(Table2[NewPointsAway],Table2[GameDate], "&lt;=" &amp; $A132, Table2[AwayTeam], V$1)+SUMIFS(Table2[NewPointsHome],Table2[GameDate], "&lt;=" &amp; $A132, Table2[HomeTeam], V$1)</f>
        <v>37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35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33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27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32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41</v>
      </c>
      <c r="C133" s="145">
        <f>SUMIFS(Table2[NewPointsAway],Table2[GameDate], "&lt;=" &amp; $A133, Table2[AwayTeam], C$1)+SUMIFS(Table2[NewPointsHome],Table2[GameDate], "&lt;=" &amp; $A133, Table2[HomeTeam], C$1)</f>
        <v>38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53</v>
      </c>
      <c r="J133" s="145">
        <f>SUMIFS(Table2[NewPointsAway],Table2[GameDate], "&lt;=" &amp; $A133, Table2[AwayTeam], J$1)+SUMIFS(Table2[NewPointsHome],Table2[GameDate], "&lt;=" &amp; $A133, Table2[HomeTeam], J$1)</f>
        <v>49</v>
      </c>
      <c r="K133" s="145">
        <f>SUMIFS(Table2[NewPointsAway],Table2[GameDate], "&lt;=" &amp; $A133, Table2[AwayTeam], K$1)+SUMIFS(Table2[NewPointsHome],Table2[GameDate], "&lt;=" &amp; $A133, Table2[HomeTeam], K$1)</f>
        <v>39</v>
      </c>
      <c r="L133" s="145">
        <f>SUMIFS(Table2[NewPointsAway],Table2[GameDate], "&lt;=" &amp; $A133, Table2[AwayTeam], L$1)+SUMIFS(Table2[NewPointsHome],Table2[GameDate], "&lt;=" &amp; $A133, Table2[HomeTeam], L$1)</f>
        <v>36</v>
      </c>
      <c r="M133" s="145">
        <f>SUMIFS(Table2[NewPointsAway],Table2[GameDate], "&lt;=" &amp; $A133, Table2[AwayTeam], M$1)+SUMIFS(Table2[NewPointsHome],Table2[GameDate], "&lt;=" &amp; $A133, Table2[HomeTeam], M$1)</f>
        <v>36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43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30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34</v>
      </c>
      <c r="V133" s="145">
        <f>SUMIFS(Table2[NewPointsAway],Table2[GameDate], "&lt;=" &amp; $A133, Table2[AwayTeam], V$1)+SUMIFS(Table2[NewPointsHome],Table2[GameDate], "&lt;=" &amp; $A133, Table2[HomeTeam], V$1)</f>
        <v>37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35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33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27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32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41</v>
      </c>
      <c r="C134" s="145">
        <f>SUMIFS(Table2[NewPointsAway],Table2[GameDate], "&lt;=" &amp; $A134, Table2[AwayTeam], C$1)+SUMIFS(Table2[NewPointsHome],Table2[GameDate], "&lt;=" &amp; $A134, Table2[HomeTeam], C$1)</f>
        <v>38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53</v>
      </c>
      <c r="J134" s="145">
        <f>SUMIFS(Table2[NewPointsAway],Table2[GameDate], "&lt;=" &amp; $A134, Table2[AwayTeam], J$1)+SUMIFS(Table2[NewPointsHome],Table2[GameDate], "&lt;=" &amp; $A134, Table2[HomeTeam], J$1)</f>
        <v>49</v>
      </c>
      <c r="K134" s="145">
        <f>SUMIFS(Table2[NewPointsAway],Table2[GameDate], "&lt;=" &amp; $A134, Table2[AwayTeam], K$1)+SUMIFS(Table2[NewPointsHome],Table2[GameDate], "&lt;=" &amp; $A134, Table2[HomeTeam], K$1)</f>
        <v>39</v>
      </c>
      <c r="L134" s="145">
        <f>SUMIFS(Table2[NewPointsAway],Table2[GameDate], "&lt;=" &amp; $A134, Table2[AwayTeam], L$1)+SUMIFS(Table2[NewPointsHome],Table2[GameDate], "&lt;=" &amp; $A134, Table2[HomeTeam], L$1)</f>
        <v>36</v>
      </c>
      <c r="M134" s="145">
        <f>SUMIFS(Table2[NewPointsAway],Table2[GameDate], "&lt;=" &amp; $A134, Table2[AwayTeam], M$1)+SUMIFS(Table2[NewPointsHome],Table2[GameDate], "&lt;=" &amp; $A134, Table2[HomeTeam], M$1)</f>
        <v>36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43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30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34</v>
      </c>
      <c r="V134" s="145">
        <f>SUMIFS(Table2[NewPointsAway],Table2[GameDate], "&lt;=" &amp; $A134, Table2[AwayTeam], V$1)+SUMIFS(Table2[NewPointsHome],Table2[GameDate], "&lt;=" &amp; $A134, Table2[HomeTeam], V$1)</f>
        <v>37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35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33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27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32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41</v>
      </c>
      <c r="C135" s="145">
        <f>SUMIFS(Table2[NewPointsAway],Table2[GameDate], "&lt;=" &amp; $A135, Table2[AwayTeam], C$1)+SUMIFS(Table2[NewPointsHome],Table2[GameDate], "&lt;=" &amp; $A135, Table2[HomeTeam], C$1)</f>
        <v>38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53</v>
      </c>
      <c r="J135" s="145">
        <f>SUMIFS(Table2[NewPointsAway],Table2[GameDate], "&lt;=" &amp; $A135, Table2[AwayTeam], J$1)+SUMIFS(Table2[NewPointsHome],Table2[GameDate], "&lt;=" &amp; $A135, Table2[HomeTeam], J$1)</f>
        <v>49</v>
      </c>
      <c r="K135" s="145">
        <f>SUMIFS(Table2[NewPointsAway],Table2[GameDate], "&lt;=" &amp; $A135, Table2[AwayTeam], K$1)+SUMIFS(Table2[NewPointsHome],Table2[GameDate], "&lt;=" &amp; $A135, Table2[HomeTeam], K$1)</f>
        <v>39</v>
      </c>
      <c r="L135" s="145">
        <f>SUMIFS(Table2[NewPointsAway],Table2[GameDate], "&lt;=" &amp; $A135, Table2[AwayTeam], L$1)+SUMIFS(Table2[NewPointsHome],Table2[GameDate], "&lt;=" &amp; $A135, Table2[HomeTeam], L$1)</f>
        <v>36</v>
      </c>
      <c r="M135" s="145">
        <f>SUMIFS(Table2[NewPointsAway],Table2[GameDate], "&lt;=" &amp; $A135, Table2[AwayTeam], M$1)+SUMIFS(Table2[NewPointsHome],Table2[GameDate], "&lt;=" &amp; $A135, Table2[HomeTeam], M$1)</f>
        <v>36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43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30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34</v>
      </c>
      <c r="V135" s="145">
        <f>SUMIFS(Table2[NewPointsAway],Table2[GameDate], "&lt;=" &amp; $A135, Table2[AwayTeam], V$1)+SUMIFS(Table2[NewPointsHome],Table2[GameDate], "&lt;=" &amp; $A135, Table2[HomeTeam], V$1)</f>
        <v>37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35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33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27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32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41</v>
      </c>
      <c r="C136" s="145">
        <f>SUMIFS(Table2[NewPointsAway],Table2[GameDate], "&lt;=" &amp; $A136, Table2[AwayTeam], C$1)+SUMIFS(Table2[NewPointsHome],Table2[GameDate], "&lt;=" &amp; $A136, Table2[HomeTeam], C$1)</f>
        <v>38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53</v>
      </c>
      <c r="J136" s="145">
        <f>SUMIFS(Table2[NewPointsAway],Table2[GameDate], "&lt;=" &amp; $A136, Table2[AwayTeam], J$1)+SUMIFS(Table2[NewPointsHome],Table2[GameDate], "&lt;=" &amp; $A136, Table2[HomeTeam], J$1)</f>
        <v>49</v>
      </c>
      <c r="K136" s="145">
        <f>SUMIFS(Table2[NewPointsAway],Table2[GameDate], "&lt;=" &amp; $A136, Table2[AwayTeam], K$1)+SUMIFS(Table2[NewPointsHome],Table2[GameDate], "&lt;=" &amp; $A136, Table2[HomeTeam], K$1)</f>
        <v>39</v>
      </c>
      <c r="L136" s="145">
        <f>SUMIFS(Table2[NewPointsAway],Table2[GameDate], "&lt;=" &amp; $A136, Table2[AwayTeam], L$1)+SUMIFS(Table2[NewPointsHome],Table2[GameDate], "&lt;=" &amp; $A136, Table2[HomeTeam], L$1)</f>
        <v>36</v>
      </c>
      <c r="M136" s="145">
        <f>SUMIFS(Table2[NewPointsAway],Table2[GameDate], "&lt;=" &amp; $A136, Table2[AwayTeam], M$1)+SUMIFS(Table2[NewPointsHome],Table2[GameDate], "&lt;=" &amp; $A136, Table2[HomeTeam], M$1)</f>
        <v>36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43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30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34</v>
      </c>
      <c r="V136" s="145">
        <f>SUMIFS(Table2[NewPointsAway],Table2[GameDate], "&lt;=" &amp; $A136, Table2[AwayTeam], V$1)+SUMIFS(Table2[NewPointsHome],Table2[GameDate], "&lt;=" &amp; $A136, Table2[HomeTeam], V$1)</f>
        <v>37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35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33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27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32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41</v>
      </c>
      <c r="C137" s="145">
        <f>SUMIFS(Table2[NewPointsAway],Table2[GameDate], "&lt;=" &amp; $A137, Table2[AwayTeam], C$1)+SUMIFS(Table2[NewPointsHome],Table2[GameDate], "&lt;=" &amp; $A137, Table2[HomeTeam], C$1)</f>
        <v>38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53</v>
      </c>
      <c r="J137" s="145">
        <f>SUMIFS(Table2[NewPointsAway],Table2[GameDate], "&lt;=" &amp; $A137, Table2[AwayTeam], J$1)+SUMIFS(Table2[NewPointsHome],Table2[GameDate], "&lt;=" &amp; $A137, Table2[HomeTeam], J$1)</f>
        <v>49</v>
      </c>
      <c r="K137" s="145">
        <f>SUMIFS(Table2[NewPointsAway],Table2[GameDate], "&lt;=" &amp; $A137, Table2[AwayTeam], K$1)+SUMIFS(Table2[NewPointsHome],Table2[GameDate], "&lt;=" &amp; $A137, Table2[HomeTeam], K$1)</f>
        <v>39</v>
      </c>
      <c r="L137" s="145">
        <f>SUMIFS(Table2[NewPointsAway],Table2[GameDate], "&lt;=" &amp; $A137, Table2[AwayTeam], L$1)+SUMIFS(Table2[NewPointsHome],Table2[GameDate], "&lt;=" &amp; $A137, Table2[HomeTeam], L$1)</f>
        <v>36</v>
      </c>
      <c r="M137" s="145">
        <f>SUMIFS(Table2[NewPointsAway],Table2[GameDate], "&lt;=" &amp; $A137, Table2[AwayTeam], M$1)+SUMIFS(Table2[NewPointsHome],Table2[GameDate], "&lt;=" &amp; $A137, Table2[HomeTeam], M$1)</f>
        <v>36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43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30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34</v>
      </c>
      <c r="V137" s="145">
        <f>SUMIFS(Table2[NewPointsAway],Table2[GameDate], "&lt;=" &amp; $A137, Table2[AwayTeam], V$1)+SUMIFS(Table2[NewPointsHome],Table2[GameDate], "&lt;=" &amp; $A137, Table2[HomeTeam], V$1)</f>
        <v>37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35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33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27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32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41</v>
      </c>
      <c r="C138" s="145">
        <f>SUMIFS(Table2[NewPointsAway],Table2[GameDate], "&lt;=" &amp; $A138, Table2[AwayTeam], C$1)+SUMIFS(Table2[NewPointsHome],Table2[GameDate], "&lt;=" &amp; $A138, Table2[HomeTeam], C$1)</f>
        <v>38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53</v>
      </c>
      <c r="J138" s="145">
        <f>SUMIFS(Table2[NewPointsAway],Table2[GameDate], "&lt;=" &amp; $A138, Table2[AwayTeam], J$1)+SUMIFS(Table2[NewPointsHome],Table2[GameDate], "&lt;=" &amp; $A138, Table2[HomeTeam], J$1)</f>
        <v>49</v>
      </c>
      <c r="K138" s="145">
        <f>SUMIFS(Table2[NewPointsAway],Table2[GameDate], "&lt;=" &amp; $A138, Table2[AwayTeam], K$1)+SUMIFS(Table2[NewPointsHome],Table2[GameDate], "&lt;=" &amp; $A138, Table2[HomeTeam], K$1)</f>
        <v>39</v>
      </c>
      <c r="L138" s="145">
        <f>SUMIFS(Table2[NewPointsAway],Table2[GameDate], "&lt;=" &amp; $A138, Table2[AwayTeam], L$1)+SUMIFS(Table2[NewPointsHome],Table2[GameDate], "&lt;=" &amp; $A138, Table2[HomeTeam], L$1)</f>
        <v>36</v>
      </c>
      <c r="M138" s="145">
        <f>SUMIFS(Table2[NewPointsAway],Table2[GameDate], "&lt;=" &amp; $A138, Table2[AwayTeam], M$1)+SUMIFS(Table2[NewPointsHome],Table2[GameDate], "&lt;=" &amp; $A138, Table2[HomeTeam], M$1)</f>
        <v>36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43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30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34</v>
      </c>
      <c r="V138" s="145">
        <f>SUMIFS(Table2[NewPointsAway],Table2[GameDate], "&lt;=" &amp; $A138, Table2[AwayTeam], V$1)+SUMIFS(Table2[NewPointsHome],Table2[GameDate], "&lt;=" &amp; $A138, Table2[HomeTeam], V$1)</f>
        <v>37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35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33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27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32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41</v>
      </c>
      <c r="C139" s="145">
        <f>SUMIFS(Table2[NewPointsAway],Table2[GameDate], "&lt;=" &amp; $A139, Table2[AwayTeam], C$1)+SUMIFS(Table2[NewPointsHome],Table2[GameDate], "&lt;=" &amp; $A139, Table2[HomeTeam], C$1)</f>
        <v>38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53</v>
      </c>
      <c r="J139" s="145">
        <f>SUMIFS(Table2[NewPointsAway],Table2[GameDate], "&lt;=" &amp; $A139, Table2[AwayTeam], J$1)+SUMIFS(Table2[NewPointsHome],Table2[GameDate], "&lt;=" &amp; $A139, Table2[HomeTeam], J$1)</f>
        <v>49</v>
      </c>
      <c r="K139" s="145">
        <f>SUMIFS(Table2[NewPointsAway],Table2[GameDate], "&lt;=" &amp; $A139, Table2[AwayTeam], K$1)+SUMIFS(Table2[NewPointsHome],Table2[GameDate], "&lt;=" &amp; $A139, Table2[HomeTeam], K$1)</f>
        <v>39</v>
      </c>
      <c r="L139" s="145">
        <f>SUMIFS(Table2[NewPointsAway],Table2[GameDate], "&lt;=" &amp; $A139, Table2[AwayTeam], L$1)+SUMIFS(Table2[NewPointsHome],Table2[GameDate], "&lt;=" &amp; $A139, Table2[HomeTeam], L$1)</f>
        <v>36</v>
      </c>
      <c r="M139" s="145">
        <f>SUMIFS(Table2[NewPointsAway],Table2[GameDate], "&lt;=" &amp; $A139, Table2[AwayTeam], M$1)+SUMIFS(Table2[NewPointsHome],Table2[GameDate], "&lt;=" &amp; $A139, Table2[HomeTeam], M$1)</f>
        <v>36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43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30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34</v>
      </c>
      <c r="V139" s="145">
        <f>SUMIFS(Table2[NewPointsAway],Table2[GameDate], "&lt;=" &amp; $A139, Table2[AwayTeam], V$1)+SUMIFS(Table2[NewPointsHome],Table2[GameDate], "&lt;=" &amp; $A139, Table2[HomeTeam], V$1)</f>
        <v>37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35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33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27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32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41</v>
      </c>
      <c r="C140" s="145">
        <f>SUMIFS(Table2[NewPointsAway],Table2[GameDate], "&lt;=" &amp; $A140, Table2[AwayTeam], C$1)+SUMIFS(Table2[NewPointsHome],Table2[GameDate], "&lt;=" &amp; $A140, Table2[HomeTeam], C$1)</f>
        <v>38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53</v>
      </c>
      <c r="J140" s="145">
        <f>SUMIFS(Table2[NewPointsAway],Table2[GameDate], "&lt;=" &amp; $A140, Table2[AwayTeam], J$1)+SUMIFS(Table2[NewPointsHome],Table2[GameDate], "&lt;=" &amp; $A140, Table2[HomeTeam], J$1)</f>
        <v>49</v>
      </c>
      <c r="K140" s="145">
        <f>SUMIFS(Table2[NewPointsAway],Table2[GameDate], "&lt;=" &amp; $A140, Table2[AwayTeam], K$1)+SUMIFS(Table2[NewPointsHome],Table2[GameDate], "&lt;=" &amp; $A140, Table2[HomeTeam], K$1)</f>
        <v>39</v>
      </c>
      <c r="L140" s="145">
        <f>SUMIFS(Table2[NewPointsAway],Table2[GameDate], "&lt;=" &amp; $A140, Table2[AwayTeam], L$1)+SUMIFS(Table2[NewPointsHome],Table2[GameDate], "&lt;=" &amp; $A140, Table2[HomeTeam], L$1)</f>
        <v>36</v>
      </c>
      <c r="M140" s="145">
        <f>SUMIFS(Table2[NewPointsAway],Table2[GameDate], "&lt;=" &amp; $A140, Table2[AwayTeam], M$1)+SUMIFS(Table2[NewPointsHome],Table2[GameDate], "&lt;=" &amp; $A140, Table2[HomeTeam], M$1)</f>
        <v>36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43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30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34</v>
      </c>
      <c r="V140" s="145">
        <f>SUMIFS(Table2[NewPointsAway],Table2[GameDate], "&lt;=" &amp; $A140, Table2[AwayTeam], V$1)+SUMIFS(Table2[NewPointsHome],Table2[GameDate], "&lt;=" &amp; $A140, Table2[HomeTeam], V$1)</f>
        <v>37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35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33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27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32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41</v>
      </c>
      <c r="C141" s="145">
        <f>SUMIFS(Table2[NewPointsAway],Table2[GameDate], "&lt;=" &amp; $A141, Table2[AwayTeam], C$1)+SUMIFS(Table2[NewPointsHome],Table2[GameDate], "&lt;=" &amp; $A141, Table2[HomeTeam], C$1)</f>
        <v>38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53</v>
      </c>
      <c r="J141" s="145">
        <f>SUMIFS(Table2[NewPointsAway],Table2[GameDate], "&lt;=" &amp; $A141, Table2[AwayTeam], J$1)+SUMIFS(Table2[NewPointsHome],Table2[GameDate], "&lt;=" &amp; $A141, Table2[HomeTeam], J$1)</f>
        <v>49</v>
      </c>
      <c r="K141" s="145">
        <f>SUMIFS(Table2[NewPointsAway],Table2[GameDate], "&lt;=" &amp; $A141, Table2[AwayTeam], K$1)+SUMIFS(Table2[NewPointsHome],Table2[GameDate], "&lt;=" &amp; $A141, Table2[HomeTeam], K$1)</f>
        <v>39</v>
      </c>
      <c r="L141" s="145">
        <f>SUMIFS(Table2[NewPointsAway],Table2[GameDate], "&lt;=" &amp; $A141, Table2[AwayTeam], L$1)+SUMIFS(Table2[NewPointsHome],Table2[GameDate], "&lt;=" &amp; $A141, Table2[HomeTeam], L$1)</f>
        <v>36</v>
      </c>
      <c r="M141" s="145">
        <f>SUMIFS(Table2[NewPointsAway],Table2[GameDate], "&lt;=" &amp; $A141, Table2[AwayTeam], M$1)+SUMIFS(Table2[NewPointsHome],Table2[GameDate], "&lt;=" &amp; $A141, Table2[HomeTeam], M$1)</f>
        <v>36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43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30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34</v>
      </c>
      <c r="V141" s="145">
        <f>SUMIFS(Table2[NewPointsAway],Table2[GameDate], "&lt;=" &amp; $A141, Table2[AwayTeam], V$1)+SUMIFS(Table2[NewPointsHome],Table2[GameDate], "&lt;=" &amp; $A141, Table2[HomeTeam], V$1)</f>
        <v>37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35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33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27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32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41</v>
      </c>
      <c r="C142" s="145">
        <f>SUMIFS(Table2[NewPointsAway],Table2[GameDate], "&lt;=" &amp; $A142, Table2[AwayTeam], C$1)+SUMIFS(Table2[NewPointsHome],Table2[GameDate], "&lt;=" &amp; $A142, Table2[HomeTeam], C$1)</f>
        <v>38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53</v>
      </c>
      <c r="J142" s="145">
        <f>SUMIFS(Table2[NewPointsAway],Table2[GameDate], "&lt;=" &amp; $A142, Table2[AwayTeam], J$1)+SUMIFS(Table2[NewPointsHome],Table2[GameDate], "&lt;=" &amp; $A142, Table2[HomeTeam], J$1)</f>
        <v>49</v>
      </c>
      <c r="K142" s="145">
        <f>SUMIFS(Table2[NewPointsAway],Table2[GameDate], "&lt;=" &amp; $A142, Table2[AwayTeam], K$1)+SUMIFS(Table2[NewPointsHome],Table2[GameDate], "&lt;=" &amp; $A142, Table2[HomeTeam], K$1)</f>
        <v>39</v>
      </c>
      <c r="L142" s="145">
        <f>SUMIFS(Table2[NewPointsAway],Table2[GameDate], "&lt;=" &amp; $A142, Table2[AwayTeam], L$1)+SUMIFS(Table2[NewPointsHome],Table2[GameDate], "&lt;=" &amp; $A142, Table2[HomeTeam], L$1)</f>
        <v>36</v>
      </c>
      <c r="M142" s="145">
        <f>SUMIFS(Table2[NewPointsAway],Table2[GameDate], "&lt;=" &amp; $A142, Table2[AwayTeam], M$1)+SUMIFS(Table2[NewPointsHome],Table2[GameDate], "&lt;=" &amp; $A142, Table2[HomeTeam], M$1)</f>
        <v>36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43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30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34</v>
      </c>
      <c r="V142" s="145">
        <f>SUMIFS(Table2[NewPointsAway],Table2[GameDate], "&lt;=" &amp; $A142, Table2[AwayTeam], V$1)+SUMIFS(Table2[NewPointsHome],Table2[GameDate], "&lt;=" &amp; $A142, Table2[HomeTeam], V$1)</f>
        <v>37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35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33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27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32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41</v>
      </c>
      <c r="C143" s="145">
        <f>SUMIFS(Table2[NewPointsAway],Table2[GameDate], "&lt;=" &amp; $A143, Table2[AwayTeam], C$1)+SUMIFS(Table2[NewPointsHome],Table2[GameDate], "&lt;=" &amp; $A143, Table2[HomeTeam], C$1)</f>
        <v>38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53</v>
      </c>
      <c r="J143" s="145">
        <f>SUMIFS(Table2[NewPointsAway],Table2[GameDate], "&lt;=" &amp; $A143, Table2[AwayTeam], J$1)+SUMIFS(Table2[NewPointsHome],Table2[GameDate], "&lt;=" &amp; $A143, Table2[HomeTeam], J$1)</f>
        <v>49</v>
      </c>
      <c r="K143" s="145">
        <f>SUMIFS(Table2[NewPointsAway],Table2[GameDate], "&lt;=" &amp; $A143, Table2[AwayTeam], K$1)+SUMIFS(Table2[NewPointsHome],Table2[GameDate], "&lt;=" &amp; $A143, Table2[HomeTeam], K$1)</f>
        <v>39</v>
      </c>
      <c r="L143" s="145">
        <f>SUMIFS(Table2[NewPointsAway],Table2[GameDate], "&lt;=" &amp; $A143, Table2[AwayTeam], L$1)+SUMIFS(Table2[NewPointsHome],Table2[GameDate], "&lt;=" &amp; $A143, Table2[HomeTeam], L$1)</f>
        <v>36</v>
      </c>
      <c r="M143" s="145">
        <f>SUMIFS(Table2[NewPointsAway],Table2[GameDate], "&lt;=" &amp; $A143, Table2[AwayTeam], M$1)+SUMIFS(Table2[NewPointsHome],Table2[GameDate], "&lt;=" &amp; $A143, Table2[HomeTeam], M$1)</f>
        <v>36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43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30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34</v>
      </c>
      <c r="V143" s="145">
        <f>SUMIFS(Table2[NewPointsAway],Table2[GameDate], "&lt;=" &amp; $A143, Table2[AwayTeam], V$1)+SUMIFS(Table2[NewPointsHome],Table2[GameDate], "&lt;=" &amp; $A143, Table2[HomeTeam], V$1)</f>
        <v>37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35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33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27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32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41</v>
      </c>
      <c r="C144" s="145">
        <f>SUMIFS(Table2[NewPointsAway],Table2[GameDate], "&lt;=" &amp; $A144, Table2[AwayTeam], C$1)+SUMIFS(Table2[NewPointsHome],Table2[GameDate], "&lt;=" &amp; $A144, Table2[HomeTeam], C$1)</f>
        <v>38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53</v>
      </c>
      <c r="J144" s="145">
        <f>SUMIFS(Table2[NewPointsAway],Table2[GameDate], "&lt;=" &amp; $A144, Table2[AwayTeam], J$1)+SUMIFS(Table2[NewPointsHome],Table2[GameDate], "&lt;=" &amp; $A144, Table2[HomeTeam], J$1)</f>
        <v>49</v>
      </c>
      <c r="K144" s="145">
        <f>SUMIFS(Table2[NewPointsAway],Table2[GameDate], "&lt;=" &amp; $A144, Table2[AwayTeam], K$1)+SUMIFS(Table2[NewPointsHome],Table2[GameDate], "&lt;=" &amp; $A144, Table2[HomeTeam], K$1)</f>
        <v>39</v>
      </c>
      <c r="L144" s="145">
        <f>SUMIFS(Table2[NewPointsAway],Table2[GameDate], "&lt;=" &amp; $A144, Table2[AwayTeam], L$1)+SUMIFS(Table2[NewPointsHome],Table2[GameDate], "&lt;=" &amp; $A144, Table2[HomeTeam], L$1)</f>
        <v>36</v>
      </c>
      <c r="M144" s="145">
        <f>SUMIFS(Table2[NewPointsAway],Table2[GameDate], "&lt;=" &amp; $A144, Table2[AwayTeam], M$1)+SUMIFS(Table2[NewPointsHome],Table2[GameDate], "&lt;=" &amp; $A144, Table2[HomeTeam], M$1)</f>
        <v>36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43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30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34</v>
      </c>
      <c r="V144" s="145">
        <f>SUMIFS(Table2[NewPointsAway],Table2[GameDate], "&lt;=" &amp; $A144, Table2[AwayTeam], V$1)+SUMIFS(Table2[NewPointsHome],Table2[GameDate], "&lt;=" &amp; $A144, Table2[HomeTeam], V$1)</f>
        <v>37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35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33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27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32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41</v>
      </c>
      <c r="C145" s="145">
        <f>SUMIFS(Table2[NewPointsAway],Table2[GameDate], "&lt;=" &amp; $A145, Table2[AwayTeam], C$1)+SUMIFS(Table2[NewPointsHome],Table2[GameDate], "&lt;=" &amp; $A145, Table2[HomeTeam], C$1)</f>
        <v>38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53</v>
      </c>
      <c r="J145" s="145">
        <f>SUMIFS(Table2[NewPointsAway],Table2[GameDate], "&lt;=" &amp; $A145, Table2[AwayTeam], J$1)+SUMIFS(Table2[NewPointsHome],Table2[GameDate], "&lt;=" &amp; $A145, Table2[HomeTeam], J$1)</f>
        <v>49</v>
      </c>
      <c r="K145" s="145">
        <f>SUMIFS(Table2[NewPointsAway],Table2[GameDate], "&lt;=" &amp; $A145, Table2[AwayTeam], K$1)+SUMIFS(Table2[NewPointsHome],Table2[GameDate], "&lt;=" &amp; $A145, Table2[HomeTeam], K$1)</f>
        <v>39</v>
      </c>
      <c r="L145" s="145">
        <f>SUMIFS(Table2[NewPointsAway],Table2[GameDate], "&lt;=" &amp; $A145, Table2[AwayTeam], L$1)+SUMIFS(Table2[NewPointsHome],Table2[GameDate], "&lt;=" &amp; $A145, Table2[HomeTeam], L$1)</f>
        <v>36</v>
      </c>
      <c r="M145" s="145">
        <f>SUMIFS(Table2[NewPointsAway],Table2[GameDate], "&lt;=" &amp; $A145, Table2[AwayTeam], M$1)+SUMIFS(Table2[NewPointsHome],Table2[GameDate], "&lt;=" &amp; $A145, Table2[HomeTeam], M$1)</f>
        <v>36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43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30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34</v>
      </c>
      <c r="V145" s="145">
        <f>SUMIFS(Table2[NewPointsAway],Table2[GameDate], "&lt;=" &amp; $A145, Table2[AwayTeam], V$1)+SUMIFS(Table2[NewPointsHome],Table2[GameDate], "&lt;=" &amp; $A145, Table2[HomeTeam], V$1)</f>
        <v>37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35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33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27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32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41</v>
      </c>
      <c r="C146" s="145">
        <f>SUMIFS(Table2[NewPointsAway],Table2[GameDate], "&lt;=" &amp; $A146, Table2[AwayTeam], C$1)+SUMIFS(Table2[NewPointsHome],Table2[GameDate], "&lt;=" &amp; $A146, Table2[HomeTeam], C$1)</f>
        <v>38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53</v>
      </c>
      <c r="J146" s="145">
        <f>SUMIFS(Table2[NewPointsAway],Table2[GameDate], "&lt;=" &amp; $A146, Table2[AwayTeam], J$1)+SUMIFS(Table2[NewPointsHome],Table2[GameDate], "&lt;=" &amp; $A146, Table2[HomeTeam], J$1)</f>
        <v>49</v>
      </c>
      <c r="K146" s="145">
        <f>SUMIFS(Table2[NewPointsAway],Table2[GameDate], "&lt;=" &amp; $A146, Table2[AwayTeam], K$1)+SUMIFS(Table2[NewPointsHome],Table2[GameDate], "&lt;=" &amp; $A146, Table2[HomeTeam], K$1)</f>
        <v>39</v>
      </c>
      <c r="L146" s="145">
        <f>SUMIFS(Table2[NewPointsAway],Table2[GameDate], "&lt;=" &amp; $A146, Table2[AwayTeam], L$1)+SUMIFS(Table2[NewPointsHome],Table2[GameDate], "&lt;=" &amp; $A146, Table2[HomeTeam], L$1)</f>
        <v>36</v>
      </c>
      <c r="M146" s="145">
        <f>SUMIFS(Table2[NewPointsAway],Table2[GameDate], "&lt;=" &amp; $A146, Table2[AwayTeam], M$1)+SUMIFS(Table2[NewPointsHome],Table2[GameDate], "&lt;=" &amp; $A146, Table2[HomeTeam], M$1)</f>
        <v>36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43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30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34</v>
      </c>
      <c r="V146" s="145">
        <f>SUMIFS(Table2[NewPointsAway],Table2[GameDate], "&lt;=" &amp; $A146, Table2[AwayTeam], V$1)+SUMIFS(Table2[NewPointsHome],Table2[GameDate], "&lt;=" &amp; $A146, Table2[HomeTeam], V$1)</f>
        <v>37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35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33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27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32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41</v>
      </c>
      <c r="C147" s="145">
        <f>SUMIFS(Table2[NewPointsAway],Table2[GameDate], "&lt;=" &amp; $A147, Table2[AwayTeam], C$1)+SUMIFS(Table2[NewPointsHome],Table2[GameDate], "&lt;=" &amp; $A147, Table2[HomeTeam], C$1)</f>
        <v>38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53</v>
      </c>
      <c r="J147" s="145">
        <f>SUMIFS(Table2[NewPointsAway],Table2[GameDate], "&lt;=" &amp; $A147, Table2[AwayTeam], J$1)+SUMIFS(Table2[NewPointsHome],Table2[GameDate], "&lt;=" &amp; $A147, Table2[HomeTeam], J$1)</f>
        <v>49</v>
      </c>
      <c r="K147" s="145">
        <f>SUMIFS(Table2[NewPointsAway],Table2[GameDate], "&lt;=" &amp; $A147, Table2[AwayTeam], K$1)+SUMIFS(Table2[NewPointsHome],Table2[GameDate], "&lt;=" &amp; $A147, Table2[HomeTeam], K$1)</f>
        <v>39</v>
      </c>
      <c r="L147" s="145">
        <f>SUMIFS(Table2[NewPointsAway],Table2[GameDate], "&lt;=" &amp; $A147, Table2[AwayTeam], L$1)+SUMIFS(Table2[NewPointsHome],Table2[GameDate], "&lt;=" &amp; $A147, Table2[HomeTeam], L$1)</f>
        <v>36</v>
      </c>
      <c r="M147" s="145">
        <f>SUMIFS(Table2[NewPointsAway],Table2[GameDate], "&lt;=" &amp; $A147, Table2[AwayTeam], M$1)+SUMIFS(Table2[NewPointsHome],Table2[GameDate], "&lt;=" &amp; $A147, Table2[HomeTeam], M$1)</f>
        <v>36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43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30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34</v>
      </c>
      <c r="V147" s="145">
        <f>SUMIFS(Table2[NewPointsAway],Table2[GameDate], "&lt;=" &amp; $A147, Table2[AwayTeam], V$1)+SUMIFS(Table2[NewPointsHome],Table2[GameDate], "&lt;=" &amp; $A147, Table2[HomeTeam], V$1)</f>
        <v>37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35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33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27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32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41</v>
      </c>
      <c r="C148" s="145">
        <f>SUMIFS(Table2[NewPointsAway],Table2[GameDate], "&lt;=" &amp; $A148, Table2[AwayTeam], C$1)+SUMIFS(Table2[NewPointsHome],Table2[GameDate], "&lt;=" &amp; $A148, Table2[HomeTeam], C$1)</f>
        <v>38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53</v>
      </c>
      <c r="J148" s="145">
        <f>SUMIFS(Table2[NewPointsAway],Table2[GameDate], "&lt;=" &amp; $A148, Table2[AwayTeam], J$1)+SUMIFS(Table2[NewPointsHome],Table2[GameDate], "&lt;=" &amp; $A148, Table2[HomeTeam], J$1)</f>
        <v>49</v>
      </c>
      <c r="K148" s="145">
        <f>SUMIFS(Table2[NewPointsAway],Table2[GameDate], "&lt;=" &amp; $A148, Table2[AwayTeam], K$1)+SUMIFS(Table2[NewPointsHome],Table2[GameDate], "&lt;=" &amp; $A148, Table2[HomeTeam], K$1)</f>
        <v>39</v>
      </c>
      <c r="L148" s="145">
        <f>SUMIFS(Table2[NewPointsAway],Table2[GameDate], "&lt;=" &amp; $A148, Table2[AwayTeam], L$1)+SUMIFS(Table2[NewPointsHome],Table2[GameDate], "&lt;=" &amp; $A148, Table2[HomeTeam], L$1)</f>
        <v>36</v>
      </c>
      <c r="M148" s="145">
        <f>SUMIFS(Table2[NewPointsAway],Table2[GameDate], "&lt;=" &amp; $A148, Table2[AwayTeam], M$1)+SUMIFS(Table2[NewPointsHome],Table2[GameDate], "&lt;=" &amp; $A148, Table2[HomeTeam], M$1)</f>
        <v>36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43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30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34</v>
      </c>
      <c r="V148" s="145">
        <f>SUMIFS(Table2[NewPointsAway],Table2[GameDate], "&lt;=" &amp; $A148, Table2[AwayTeam], V$1)+SUMIFS(Table2[NewPointsHome],Table2[GameDate], "&lt;=" &amp; $A148, Table2[HomeTeam], V$1)</f>
        <v>37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35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33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27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32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41</v>
      </c>
      <c r="C149" s="145">
        <f>SUMIFS(Table2[NewPointsAway],Table2[GameDate], "&lt;=" &amp; $A149, Table2[AwayTeam], C$1)+SUMIFS(Table2[NewPointsHome],Table2[GameDate], "&lt;=" &amp; $A149, Table2[HomeTeam], C$1)</f>
        <v>38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53</v>
      </c>
      <c r="J149" s="145">
        <f>SUMIFS(Table2[NewPointsAway],Table2[GameDate], "&lt;=" &amp; $A149, Table2[AwayTeam], J$1)+SUMIFS(Table2[NewPointsHome],Table2[GameDate], "&lt;=" &amp; $A149, Table2[HomeTeam], J$1)</f>
        <v>49</v>
      </c>
      <c r="K149" s="145">
        <f>SUMIFS(Table2[NewPointsAway],Table2[GameDate], "&lt;=" &amp; $A149, Table2[AwayTeam], K$1)+SUMIFS(Table2[NewPointsHome],Table2[GameDate], "&lt;=" &amp; $A149, Table2[HomeTeam], K$1)</f>
        <v>39</v>
      </c>
      <c r="L149" s="145">
        <f>SUMIFS(Table2[NewPointsAway],Table2[GameDate], "&lt;=" &amp; $A149, Table2[AwayTeam], L$1)+SUMIFS(Table2[NewPointsHome],Table2[GameDate], "&lt;=" &amp; $A149, Table2[HomeTeam], L$1)</f>
        <v>36</v>
      </c>
      <c r="M149" s="145">
        <f>SUMIFS(Table2[NewPointsAway],Table2[GameDate], "&lt;=" &amp; $A149, Table2[AwayTeam], M$1)+SUMIFS(Table2[NewPointsHome],Table2[GameDate], "&lt;=" &amp; $A149, Table2[HomeTeam], M$1)</f>
        <v>36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43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30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34</v>
      </c>
      <c r="V149" s="145">
        <f>SUMIFS(Table2[NewPointsAway],Table2[GameDate], "&lt;=" &amp; $A149, Table2[AwayTeam], V$1)+SUMIFS(Table2[NewPointsHome],Table2[GameDate], "&lt;=" &amp; $A149, Table2[HomeTeam], V$1)</f>
        <v>37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35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33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27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32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41</v>
      </c>
      <c r="C150" s="145">
        <f>SUMIFS(Table2[NewPointsAway],Table2[GameDate], "&lt;=" &amp; $A150, Table2[AwayTeam], C$1)+SUMIFS(Table2[NewPointsHome],Table2[GameDate], "&lt;=" &amp; $A150, Table2[HomeTeam], C$1)</f>
        <v>38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53</v>
      </c>
      <c r="J150" s="145">
        <f>SUMIFS(Table2[NewPointsAway],Table2[GameDate], "&lt;=" &amp; $A150, Table2[AwayTeam], J$1)+SUMIFS(Table2[NewPointsHome],Table2[GameDate], "&lt;=" &amp; $A150, Table2[HomeTeam], J$1)</f>
        <v>49</v>
      </c>
      <c r="K150" s="145">
        <f>SUMIFS(Table2[NewPointsAway],Table2[GameDate], "&lt;=" &amp; $A150, Table2[AwayTeam], K$1)+SUMIFS(Table2[NewPointsHome],Table2[GameDate], "&lt;=" &amp; $A150, Table2[HomeTeam], K$1)</f>
        <v>39</v>
      </c>
      <c r="L150" s="145">
        <f>SUMIFS(Table2[NewPointsAway],Table2[GameDate], "&lt;=" &amp; $A150, Table2[AwayTeam], L$1)+SUMIFS(Table2[NewPointsHome],Table2[GameDate], "&lt;=" &amp; $A150, Table2[HomeTeam], L$1)</f>
        <v>36</v>
      </c>
      <c r="M150" s="145">
        <f>SUMIFS(Table2[NewPointsAway],Table2[GameDate], "&lt;=" &amp; $A150, Table2[AwayTeam], M$1)+SUMIFS(Table2[NewPointsHome],Table2[GameDate], "&lt;=" &amp; $A150, Table2[HomeTeam], M$1)</f>
        <v>36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43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30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34</v>
      </c>
      <c r="V150" s="145">
        <f>SUMIFS(Table2[NewPointsAway],Table2[GameDate], "&lt;=" &amp; $A150, Table2[AwayTeam], V$1)+SUMIFS(Table2[NewPointsHome],Table2[GameDate], "&lt;=" &amp; $A150, Table2[HomeTeam], V$1)</f>
        <v>37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35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33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27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32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41</v>
      </c>
      <c r="C151" s="145">
        <f>SUMIFS(Table2[NewPointsAway],Table2[GameDate], "&lt;=" &amp; $A151, Table2[AwayTeam], C$1)+SUMIFS(Table2[NewPointsHome],Table2[GameDate], "&lt;=" &amp; $A151, Table2[HomeTeam], C$1)</f>
        <v>38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53</v>
      </c>
      <c r="J151" s="145">
        <f>SUMIFS(Table2[NewPointsAway],Table2[GameDate], "&lt;=" &amp; $A151, Table2[AwayTeam], J$1)+SUMIFS(Table2[NewPointsHome],Table2[GameDate], "&lt;=" &amp; $A151, Table2[HomeTeam], J$1)</f>
        <v>49</v>
      </c>
      <c r="K151" s="145">
        <f>SUMIFS(Table2[NewPointsAway],Table2[GameDate], "&lt;=" &amp; $A151, Table2[AwayTeam], K$1)+SUMIFS(Table2[NewPointsHome],Table2[GameDate], "&lt;=" &amp; $A151, Table2[HomeTeam], K$1)</f>
        <v>39</v>
      </c>
      <c r="L151" s="145">
        <f>SUMIFS(Table2[NewPointsAway],Table2[GameDate], "&lt;=" &amp; $A151, Table2[AwayTeam], L$1)+SUMIFS(Table2[NewPointsHome],Table2[GameDate], "&lt;=" &amp; $A151, Table2[HomeTeam], L$1)</f>
        <v>36</v>
      </c>
      <c r="M151" s="145">
        <f>SUMIFS(Table2[NewPointsAway],Table2[GameDate], "&lt;=" &amp; $A151, Table2[AwayTeam], M$1)+SUMIFS(Table2[NewPointsHome],Table2[GameDate], "&lt;=" &amp; $A151, Table2[HomeTeam], M$1)</f>
        <v>36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43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30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34</v>
      </c>
      <c r="V151" s="145">
        <f>SUMIFS(Table2[NewPointsAway],Table2[GameDate], "&lt;=" &amp; $A151, Table2[AwayTeam], V$1)+SUMIFS(Table2[NewPointsHome],Table2[GameDate], "&lt;=" &amp; $A151, Table2[HomeTeam], V$1)</f>
        <v>37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35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33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27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32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41</v>
      </c>
      <c r="C152" s="145">
        <f>SUMIFS(Table2[NewPointsAway],Table2[GameDate], "&lt;=" &amp; $A152, Table2[AwayTeam], C$1)+SUMIFS(Table2[NewPointsHome],Table2[GameDate], "&lt;=" &amp; $A152, Table2[HomeTeam], C$1)</f>
        <v>38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53</v>
      </c>
      <c r="J152" s="145">
        <f>SUMIFS(Table2[NewPointsAway],Table2[GameDate], "&lt;=" &amp; $A152, Table2[AwayTeam], J$1)+SUMIFS(Table2[NewPointsHome],Table2[GameDate], "&lt;=" &amp; $A152, Table2[HomeTeam], J$1)</f>
        <v>49</v>
      </c>
      <c r="K152" s="145">
        <f>SUMIFS(Table2[NewPointsAway],Table2[GameDate], "&lt;=" &amp; $A152, Table2[AwayTeam], K$1)+SUMIFS(Table2[NewPointsHome],Table2[GameDate], "&lt;=" &amp; $A152, Table2[HomeTeam], K$1)</f>
        <v>39</v>
      </c>
      <c r="L152" s="145">
        <f>SUMIFS(Table2[NewPointsAway],Table2[GameDate], "&lt;=" &amp; $A152, Table2[AwayTeam], L$1)+SUMIFS(Table2[NewPointsHome],Table2[GameDate], "&lt;=" &amp; $A152, Table2[HomeTeam], L$1)</f>
        <v>36</v>
      </c>
      <c r="M152" s="145">
        <f>SUMIFS(Table2[NewPointsAway],Table2[GameDate], "&lt;=" &amp; $A152, Table2[AwayTeam], M$1)+SUMIFS(Table2[NewPointsHome],Table2[GameDate], "&lt;=" &amp; $A152, Table2[HomeTeam], M$1)</f>
        <v>36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43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30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34</v>
      </c>
      <c r="V152" s="145">
        <f>SUMIFS(Table2[NewPointsAway],Table2[GameDate], "&lt;=" &amp; $A152, Table2[AwayTeam], V$1)+SUMIFS(Table2[NewPointsHome],Table2[GameDate], "&lt;=" &amp; $A152, Table2[HomeTeam], V$1)</f>
        <v>37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35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33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27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32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41</v>
      </c>
      <c r="C153" s="145">
        <f>SUMIFS(Table2[NewPointsAway],Table2[GameDate], "&lt;=" &amp; $A153, Table2[AwayTeam], C$1)+SUMIFS(Table2[NewPointsHome],Table2[GameDate], "&lt;=" &amp; $A153, Table2[HomeTeam], C$1)</f>
        <v>38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53</v>
      </c>
      <c r="J153" s="145">
        <f>SUMIFS(Table2[NewPointsAway],Table2[GameDate], "&lt;=" &amp; $A153, Table2[AwayTeam], J$1)+SUMIFS(Table2[NewPointsHome],Table2[GameDate], "&lt;=" &amp; $A153, Table2[HomeTeam], J$1)</f>
        <v>49</v>
      </c>
      <c r="K153" s="145">
        <f>SUMIFS(Table2[NewPointsAway],Table2[GameDate], "&lt;=" &amp; $A153, Table2[AwayTeam], K$1)+SUMIFS(Table2[NewPointsHome],Table2[GameDate], "&lt;=" &amp; $A153, Table2[HomeTeam], K$1)</f>
        <v>39</v>
      </c>
      <c r="L153" s="145">
        <f>SUMIFS(Table2[NewPointsAway],Table2[GameDate], "&lt;=" &amp; $A153, Table2[AwayTeam], L$1)+SUMIFS(Table2[NewPointsHome],Table2[GameDate], "&lt;=" &amp; $A153, Table2[HomeTeam], L$1)</f>
        <v>36</v>
      </c>
      <c r="M153" s="145">
        <f>SUMIFS(Table2[NewPointsAway],Table2[GameDate], "&lt;=" &amp; $A153, Table2[AwayTeam], M$1)+SUMIFS(Table2[NewPointsHome],Table2[GameDate], "&lt;=" &amp; $A153, Table2[HomeTeam], M$1)</f>
        <v>36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43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30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34</v>
      </c>
      <c r="V153" s="145">
        <f>SUMIFS(Table2[NewPointsAway],Table2[GameDate], "&lt;=" &amp; $A153, Table2[AwayTeam], V$1)+SUMIFS(Table2[NewPointsHome],Table2[GameDate], "&lt;=" &amp; $A153, Table2[HomeTeam], V$1)</f>
        <v>37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35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33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27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32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41</v>
      </c>
      <c r="C154" s="145">
        <f>SUMIFS(Table2[NewPointsAway],Table2[GameDate], "&lt;=" &amp; $A154, Table2[AwayTeam], C$1)+SUMIFS(Table2[NewPointsHome],Table2[GameDate], "&lt;=" &amp; $A154, Table2[HomeTeam], C$1)</f>
        <v>38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53</v>
      </c>
      <c r="J154" s="145">
        <f>SUMIFS(Table2[NewPointsAway],Table2[GameDate], "&lt;=" &amp; $A154, Table2[AwayTeam], J$1)+SUMIFS(Table2[NewPointsHome],Table2[GameDate], "&lt;=" &amp; $A154, Table2[HomeTeam], J$1)</f>
        <v>49</v>
      </c>
      <c r="K154" s="145">
        <f>SUMIFS(Table2[NewPointsAway],Table2[GameDate], "&lt;=" &amp; $A154, Table2[AwayTeam], K$1)+SUMIFS(Table2[NewPointsHome],Table2[GameDate], "&lt;=" &amp; $A154, Table2[HomeTeam], K$1)</f>
        <v>39</v>
      </c>
      <c r="L154" s="145">
        <f>SUMIFS(Table2[NewPointsAway],Table2[GameDate], "&lt;=" &amp; $A154, Table2[AwayTeam], L$1)+SUMIFS(Table2[NewPointsHome],Table2[GameDate], "&lt;=" &amp; $A154, Table2[HomeTeam], L$1)</f>
        <v>36</v>
      </c>
      <c r="M154" s="145">
        <f>SUMIFS(Table2[NewPointsAway],Table2[GameDate], "&lt;=" &amp; $A154, Table2[AwayTeam], M$1)+SUMIFS(Table2[NewPointsHome],Table2[GameDate], "&lt;=" &amp; $A154, Table2[HomeTeam], M$1)</f>
        <v>36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43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30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34</v>
      </c>
      <c r="V154" s="145">
        <f>SUMIFS(Table2[NewPointsAway],Table2[GameDate], "&lt;=" &amp; $A154, Table2[AwayTeam], V$1)+SUMIFS(Table2[NewPointsHome],Table2[GameDate], "&lt;=" &amp; $A154, Table2[HomeTeam], V$1)</f>
        <v>37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35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33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27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32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41</v>
      </c>
      <c r="C155" s="145">
        <f>SUMIFS(Table2[NewPointsAway],Table2[GameDate], "&lt;=" &amp; $A155, Table2[AwayTeam], C$1)+SUMIFS(Table2[NewPointsHome],Table2[GameDate], "&lt;=" &amp; $A155, Table2[HomeTeam], C$1)</f>
        <v>38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53</v>
      </c>
      <c r="J155" s="145">
        <f>SUMIFS(Table2[NewPointsAway],Table2[GameDate], "&lt;=" &amp; $A155, Table2[AwayTeam], J$1)+SUMIFS(Table2[NewPointsHome],Table2[GameDate], "&lt;=" &amp; $A155, Table2[HomeTeam], J$1)</f>
        <v>49</v>
      </c>
      <c r="K155" s="145">
        <f>SUMIFS(Table2[NewPointsAway],Table2[GameDate], "&lt;=" &amp; $A155, Table2[AwayTeam], K$1)+SUMIFS(Table2[NewPointsHome],Table2[GameDate], "&lt;=" &amp; $A155, Table2[HomeTeam], K$1)</f>
        <v>39</v>
      </c>
      <c r="L155" s="145">
        <f>SUMIFS(Table2[NewPointsAway],Table2[GameDate], "&lt;=" &amp; $A155, Table2[AwayTeam], L$1)+SUMIFS(Table2[NewPointsHome],Table2[GameDate], "&lt;=" &amp; $A155, Table2[HomeTeam], L$1)</f>
        <v>36</v>
      </c>
      <c r="M155" s="145">
        <f>SUMIFS(Table2[NewPointsAway],Table2[GameDate], "&lt;=" &amp; $A155, Table2[AwayTeam], M$1)+SUMIFS(Table2[NewPointsHome],Table2[GameDate], "&lt;=" &amp; $A155, Table2[HomeTeam], M$1)</f>
        <v>36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43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30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34</v>
      </c>
      <c r="V155" s="145">
        <f>SUMIFS(Table2[NewPointsAway],Table2[GameDate], "&lt;=" &amp; $A155, Table2[AwayTeam], V$1)+SUMIFS(Table2[NewPointsHome],Table2[GameDate], "&lt;=" &amp; $A155, Table2[HomeTeam], V$1)</f>
        <v>37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35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33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27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32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41</v>
      </c>
      <c r="C156" s="145">
        <f>SUMIFS(Table2[NewPointsAway],Table2[GameDate], "&lt;=" &amp; $A156, Table2[AwayTeam], C$1)+SUMIFS(Table2[NewPointsHome],Table2[GameDate], "&lt;=" &amp; $A156, Table2[HomeTeam], C$1)</f>
        <v>38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53</v>
      </c>
      <c r="J156" s="145">
        <f>SUMIFS(Table2[NewPointsAway],Table2[GameDate], "&lt;=" &amp; $A156, Table2[AwayTeam], J$1)+SUMIFS(Table2[NewPointsHome],Table2[GameDate], "&lt;=" &amp; $A156, Table2[HomeTeam], J$1)</f>
        <v>49</v>
      </c>
      <c r="K156" s="145">
        <f>SUMIFS(Table2[NewPointsAway],Table2[GameDate], "&lt;=" &amp; $A156, Table2[AwayTeam], K$1)+SUMIFS(Table2[NewPointsHome],Table2[GameDate], "&lt;=" &amp; $A156, Table2[HomeTeam], K$1)</f>
        <v>39</v>
      </c>
      <c r="L156" s="145">
        <f>SUMIFS(Table2[NewPointsAway],Table2[GameDate], "&lt;=" &amp; $A156, Table2[AwayTeam], L$1)+SUMIFS(Table2[NewPointsHome],Table2[GameDate], "&lt;=" &amp; $A156, Table2[HomeTeam], L$1)</f>
        <v>36</v>
      </c>
      <c r="M156" s="145">
        <f>SUMIFS(Table2[NewPointsAway],Table2[GameDate], "&lt;=" &amp; $A156, Table2[AwayTeam], M$1)+SUMIFS(Table2[NewPointsHome],Table2[GameDate], "&lt;=" &amp; $A156, Table2[HomeTeam], M$1)</f>
        <v>36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43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30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34</v>
      </c>
      <c r="V156" s="145">
        <f>SUMIFS(Table2[NewPointsAway],Table2[GameDate], "&lt;=" &amp; $A156, Table2[AwayTeam], V$1)+SUMIFS(Table2[NewPointsHome],Table2[GameDate], "&lt;=" &amp; $A156, Table2[HomeTeam], V$1)</f>
        <v>37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35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33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27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32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41</v>
      </c>
      <c r="C157" s="145">
        <f>SUMIFS(Table2[NewPointsAway],Table2[GameDate], "&lt;=" &amp; $A157, Table2[AwayTeam], C$1)+SUMIFS(Table2[NewPointsHome],Table2[GameDate], "&lt;=" &amp; $A157, Table2[HomeTeam], C$1)</f>
        <v>38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53</v>
      </c>
      <c r="J157" s="145">
        <f>SUMIFS(Table2[NewPointsAway],Table2[GameDate], "&lt;=" &amp; $A157, Table2[AwayTeam], J$1)+SUMIFS(Table2[NewPointsHome],Table2[GameDate], "&lt;=" &amp; $A157, Table2[HomeTeam], J$1)</f>
        <v>49</v>
      </c>
      <c r="K157" s="145">
        <f>SUMIFS(Table2[NewPointsAway],Table2[GameDate], "&lt;=" &amp; $A157, Table2[AwayTeam], K$1)+SUMIFS(Table2[NewPointsHome],Table2[GameDate], "&lt;=" &amp; $A157, Table2[HomeTeam], K$1)</f>
        <v>39</v>
      </c>
      <c r="L157" s="145">
        <f>SUMIFS(Table2[NewPointsAway],Table2[GameDate], "&lt;=" &amp; $A157, Table2[AwayTeam], L$1)+SUMIFS(Table2[NewPointsHome],Table2[GameDate], "&lt;=" &amp; $A157, Table2[HomeTeam], L$1)</f>
        <v>36</v>
      </c>
      <c r="M157" s="145">
        <f>SUMIFS(Table2[NewPointsAway],Table2[GameDate], "&lt;=" &amp; $A157, Table2[AwayTeam], M$1)+SUMIFS(Table2[NewPointsHome],Table2[GameDate], "&lt;=" &amp; $A157, Table2[HomeTeam], M$1)</f>
        <v>36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43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30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34</v>
      </c>
      <c r="V157" s="145">
        <f>SUMIFS(Table2[NewPointsAway],Table2[GameDate], "&lt;=" &amp; $A157, Table2[AwayTeam], V$1)+SUMIFS(Table2[NewPointsHome],Table2[GameDate], "&lt;=" &amp; $A157, Table2[HomeTeam], V$1)</f>
        <v>37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35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33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27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32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41</v>
      </c>
      <c r="C158" s="145">
        <f>SUMIFS(Table2[NewPointsAway],Table2[GameDate], "&lt;=" &amp; $A158, Table2[AwayTeam], C$1)+SUMIFS(Table2[NewPointsHome],Table2[GameDate], "&lt;=" &amp; $A158, Table2[HomeTeam], C$1)</f>
        <v>38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53</v>
      </c>
      <c r="J158" s="145">
        <f>SUMIFS(Table2[NewPointsAway],Table2[GameDate], "&lt;=" &amp; $A158, Table2[AwayTeam], J$1)+SUMIFS(Table2[NewPointsHome],Table2[GameDate], "&lt;=" &amp; $A158, Table2[HomeTeam], J$1)</f>
        <v>49</v>
      </c>
      <c r="K158" s="145">
        <f>SUMIFS(Table2[NewPointsAway],Table2[GameDate], "&lt;=" &amp; $A158, Table2[AwayTeam], K$1)+SUMIFS(Table2[NewPointsHome],Table2[GameDate], "&lt;=" &amp; $A158, Table2[HomeTeam], K$1)</f>
        <v>39</v>
      </c>
      <c r="L158" s="145">
        <f>SUMIFS(Table2[NewPointsAway],Table2[GameDate], "&lt;=" &amp; $A158, Table2[AwayTeam], L$1)+SUMIFS(Table2[NewPointsHome],Table2[GameDate], "&lt;=" &amp; $A158, Table2[HomeTeam], L$1)</f>
        <v>36</v>
      </c>
      <c r="M158" s="145">
        <f>SUMIFS(Table2[NewPointsAway],Table2[GameDate], "&lt;=" &amp; $A158, Table2[AwayTeam], M$1)+SUMIFS(Table2[NewPointsHome],Table2[GameDate], "&lt;=" &amp; $A158, Table2[HomeTeam], M$1)</f>
        <v>36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43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30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34</v>
      </c>
      <c r="V158" s="145">
        <f>SUMIFS(Table2[NewPointsAway],Table2[GameDate], "&lt;=" &amp; $A158, Table2[AwayTeam], V$1)+SUMIFS(Table2[NewPointsHome],Table2[GameDate], "&lt;=" &amp; $A158, Table2[HomeTeam], V$1)</f>
        <v>37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35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33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27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32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41</v>
      </c>
      <c r="C159" s="145">
        <f>SUMIFS(Table2[NewPointsAway],Table2[GameDate], "&lt;=" &amp; $A159, Table2[AwayTeam], C$1)+SUMIFS(Table2[NewPointsHome],Table2[GameDate], "&lt;=" &amp; $A159, Table2[HomeTeam], C$1)</f>
        <v>38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53</v>
      </c>
      <c r="J159" s="145">
        <f>SUMIFS(Table2[NewPointsAway],Table2[GameDate], "&lt;=" &amp; $A159, Table2[AwayTeam], J$1)+SUMIFS(Table2[NewPointsHome],Table2[GameDate], "&lt;=" &amp; $A159, Table2[HomeTeam], J$1)</f>
        <v>49</v>
      </c>
      <c r="K159" s="145">
        <f>SUMIFS(Table2[NewPointsAway],Table2[GameDate], "&lt;=" &amp; $A159, Table2[AwayTeam], K$1)+SUMIFS(Table2[NewPointsHome],Table2[GameDate], "&lt;=" &amp; $A159, Table2[HomeTeam], K$1)</f>
        <v>39</v>
      </c>
      <c r="L159" s="145">
        <f>SUMIFS(Table2[NewPointsAway],Table2[GameDate], "&lt;=" &amp; $A159, Table2[AwayTeam], L$1)+SUMIFS(Table2[NewPointsHome],Table2[GameDate], "&lt;=" &amp; $A159, Table2[HomeTeam], L$1)</f>
        <v>36</v>
      </c>
      <c r="M159" s="145">
        <f>SUMIFS(Table2[NewPointsAway],Table2[GameDate], "&lt;=" &amp; $A159, Table2[AwayTeam], M$1)+SUMIFS(Table2[NewPointsHome],Table2[GameDate], "&lt;=" &amp; $A159, Table2[HomeTeam], M$1)</f>
        <v>36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43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30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34</v>
      </c>
      <c r="V159" s="145">
        <f>SUMIFS(Table2[NewPointsAway],Table2[GameDate], "&lt;=" &amp; $A159, Table2[AwayTeam], V$1)+SUMIFS(Table2[NewPointsHome],Table2[GameDate], "&lt;=" &amp; $A159, Table2[HomeTeam], V$1)</f>
        <v>37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35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33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27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32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41</v>
      </c>
      <c r="C160" s="145">
        <f>SUMIFS(Table2[NewPointsAway],Table2[GameDate], "&lt;=" &amp; $A160, Table2[AwayTeam], C$1)+SUMIFS(Table2[NewPointsHome],Table2[GameDate], "&lt;=" &amp; $A160, Table2[HomeTeam], C$1)</f>
        <v>38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53</v>
      </c>
      <c r="J160" s="145">
        <f>SUMIFS(Table2[NewPointsAway],Table2[GameDate], "&lt;=" &amp; $A160, Table2[AwayTeam], J$1)+SUMIFS(Table2[NewPointsHome],Table2[GameDate], "&lt;=" &amp; $A160, Table2[HomeTeam], J$1)</f>
        <v>49</v>
      </c>
      <c r="K160" s="145">
        <f>SUMIFS(Table2[NewPointsAway],Table2[GameDate], "&lt;=" &amp; $A160, Table2[AwayTeam], K$1)+SUMIFS(Table2[NewPointsHome],Table2[GameDate], "&lt;=" &amp; $A160, Table2[HomeTeam], K$1)</f>
        <v>39</v>
      </c>
      <c r="L160" s="145">
        <f>SUMIFS(Table2[NewPointsAway],Table2[GameDate], "&lt;=" &amp; $A160, Table2[AwayTeam], L$1)+SUMIFS(Table2[NewPointsHome],Table2[GameDate], "&lt;=" &amp; $A160, Table2[HomeTeam], L$1)</f>
        <v>36</v>
      </c>
      <c r="M160" s="145">
        <f>SUMIFS(Table2[NewPointsAway],Table2[GameDate], "&lt;=" &amp; $A160, Table2[AwayTeam], M$1)+SUMIFS(Table2[NewPointsHome],Table2[GameDate], "&lt;=" &amp; $A160, Table2[HomeTeam], M$1)</f>
        <v>36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43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30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34</v>
      </c>
      <c r="V160" s="145">
        <f>SUMIFS(Table2[NewPointsAway],Table2[GameDate], "&lt;=" &amp; $A160, Table2[AwayTeam], V$1)+SUMIFS(Table2[NewPointsHome],Table2[GameDate], "&lt;=" &amp; $A160, Table2[HomeTeam], V$1)</f>
        <v>37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35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33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27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32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41</v>
      </c>
      <c r="C161" s="145">
        <f>SUMIFS(Table2[NewPointsAway],Table2[GameDate], "&lt;=" &amp; $A161, Table2[AwayTeam], C$1)+SUMIFS(Table2[NewPointsHome],Table2[GameDate], "&lt;=" &amp; $A161, Table2[HomeTeam], C$1)</f>
        <v>38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53</v>
      </c>
      <c r="J161" s="145">
        <f>SUMIFS(Table2[NewPointsAway],Table2[GameDate], "&lt;=" &amp; $A161, Table2[AwayTeam], J$1)+SUMIFS(Table2[NewPointsHome],Table2[GameDate], "&lt;=" &amp; $A161, Table2[HomeTeam], J$1)</f>
        <v>49</v>
      </c>
      <c r="K161" s="145">
        <f>SUMIFS(Table2[NewPointsAway],Table2[GameDate], "&lt;=" &amp; $A161, Table2[AwayTeam], K$1)+SUMIFS(Table2[NewPointsHome],Table2[GameDate], "&lt;=" &amp; $A161, Table2[HomeTeam], K$1)</f>
        <v>39</v>
      </c>
      <c r="L161" s="145">
        <f>SUMIFS(Table2[NewPointsAway],Table2[GameDate], "&lt;=" &amp; $A161, Table2[AwayTeam], L$1)+SUMIFS(Table2[NewPointsHome],Table2[GameDate], "&lt;=" &amp; $A161, Table2[HomeTeam], L$1)</f>
        <v>36</v>
      </c>
      <c r="M161" s="145">
        <f>SUMIFS(Table2[NewPointsAway],Table2[GameDate], "&lt;=" &amp; $A161, Table2[AwayTeam], M$1)+SUMIFS(Table2[NewPointsHome],Table2[GameDate], "&lt;=" &amp; $A161, Table2[HomeTeam], M$1)</f>
        <v>36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43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30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34</v>
      </c>
      <c r="V161" s="145">
        <f>SUMIFS(Table2[NewPointsAway],Table2[GameDate], "&lt;=" &amp; $A161, Table2[AwayTeam], V$1)+SUMIFS(Table2[NewPointsHome],Table2[GameDate], "&lt;=" &amp; $A161, Table2[HomeTeam], V$1)</f>
        <v>37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35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33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27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32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41</v>
      </c>
      <c r="C162" s="145">
        <f>SUMIFS(Table2[NewPointsAway],Table2[GameDate], "&lt;=" &amp; $A162, Table2[AwayTeam], C$1)+SUMIFS(Table2[NewPointsHome],Table2[GameDate], "&lt;=" &amp; $A162, Table2[HomeTeam], C$1)</f>
        <v>38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53</v>
      </c>
      <c r="J162" s="145">
        <f>SUMIFS(Table2[NewPointsAway],Table2[GameDate], "&lt;=" &amp; $A162, Table2[AwayTeam], J$1)+SUMIFS(Table2[NewPointsHome],Table2[GameDate], "&lt;=" &amp; $A162, Table2[HomeTeam], J$1)</f>
        <v>49</v>
      </c>
      <c r="K162" s="145">
        <f>SUMIFS(Table2[NewPointsAway],Table2[GameDate], "&lt;=" &amp; $A162, Table2[AwayTeam], K$1)+SUMIFS(Table2[NewPointsHome],Table2[GameDate], "&lt;=" &amp; $A162, Table2[HomeTeam], K$1)</f>
        <v>39</v>
      </c>
      <c r="L162" s="145">
        <f>SUMIFS(Table2[NewPointsAway],Table2[GameDate], "&lt;=" &amp; $A162, Table2[AwayTeam], L$1)+SUMIFS(Table2[NewPointsHome],Table2[GameDate], "&lt;=" &amp; $A162, Table2[HomeTeam], L$1)</f>
        <v>36</v>
      </c>
      <c r="M162" s="145">
        <f>SUMIFS(Table2[NewPointsAway],Table2[GameDate], "&lt;=" &amp; $A162, Table2[AwayTeam], M$1)+SUMIFS(Table2[NewPointsHome],Table2[GameDate], "&lt;=" &amp; $A162, Table2[HomeTeam], M$1)</f>
        <v>36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43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30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34</v>
      </c>
      <c r="V162" s="145">
        <f>SUMIFS(Table2[NewPointsAway],Table2[GameDate], "&lt;=" &amp; $A162, Table2[AwayTeam], V$1)+SUMIFS(Table2[NewPointsHome],Table2[GameDate], "&lt;=" &amp; $A162, Table2[HomeTeam], V$1)</f>
        <v>37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35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33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27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32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41</v>
      </c>
      <c r="C163" s="145">
        <f>SUMIFS(Table2[NewPointsAway],Table2[GameDate], "&lt;=" &amp; $A163, Table2[AwayTeam], C$1)+SUMIFS(Table2[NewPointsHome],Table2[GameDate], "&lt;=" &amp; $A163, Table2[HomeTeam], C$1)</f>
        <v>38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53</v>
      </c>
      <c r="J163" s="145">
        <f>SUMIFS(Table2[NewPointsAway],Table2[GameDate], "&lt;=" &amp; $A163, Table2[AwayTeam], J$1)+SUMIFS(Table2[NewPointsHome],Table2[GameDate], "&lt;=" &amp; $A163, Table2[HomeTeam], J$1)</f>
        <v>49</v>
      </c>
      <c r="K163" s="145">
        <f>SUMIFS(Table2[NewPointsAway],Table2[GameDate], "&lt;=" &amp; $A163, Table2[AwayTeam], K$1)+SUMIFS(Table2[NewPointsHome],Table2[GameDate], "&lt;=" &amp; $A163, Table2[HomeTeam], K$1)</f>
        <v>39</v>
      </c>
      <c r="L163" s="145">
        <f>SUMIFS(Table2[NewPointsAway],Table2[GameDate], "&lt;=" &amp; $A163, Table2[AwayTeam], L$1)+SUMIFS(Table2[NewPointsHome],Table2[GameDate], "&lt;=" &amp; $A163, Table2[HomeTeam], L$1)</f>
        <v>36</v>
      </c>
      <c r="M163" s="145">
        <f>SUMIFS(Table2[NewPointsAway],Table2[GameDate], "&lt;=" &amp; $A163, Table2[AwayTeam], M$1)+SUMIFS(Table2[NewPointsHome],Table2[GameDate], "&lt;=" &amp; $A163, Table2[HomeTeam], M$1)</f>
        <v>36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43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30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34</v>
      </c>
      <c r="V163" s="145">
        <f>SUMIFS(Table2[NewPointsAway],Table2[GameDate], "&lt;=" &amp; $A163, Table2[AwayTeam], V$1)+SUMIFS(Table2[NewPointsHome],Table2[GameDate], "&lt;=" &amp; $A163, Table2[HomeTeam], V$1)</f>
        <v>37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35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33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27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32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41</v>
      </c>
      <c r="C164" s="145">
        <f>SUMIFS(Table2[NewPointsAway],Table2[GameDate], "&lt;=" &amp; $A164, Table2[AwayTeam], C$1)+SUMIFS(Table2[NewPointsHome],Table2[GameDate], "&lt;=" &amp; $A164, Table2[HomeTeam], C$1)</f>
        <v>38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53</v>
      </c>
      <c r="J164" s="145">
        <f>SUMIFS(Table2[NewPointsAway],Table2[GameDate], "&lt;=" &amp; $A164, Table2[AwayTeam], J$1)+SUMIFS(Table2[NewPointsHome],Table2[GameDate], "&lt;=" &amp; $A164, Table2[HomeTeam], J$1)</f>
        <v>49</v>
      </c>
      <c r="K164" s="145">
        <f>SUMIFS(Table2[NewPointsAway],Table2[GameDate], "&lt;=" &amp; $A164, Table2[AwayTeam], K$1)+SUMIFS(Table2[NewPointsHome],Table2[GameDate], "&lt;=" &amp; $A164, Table2[HomeTeam], K$1)</f>
        <v>39</v>
      </c>
      <c r="L164" s="145">
        <f>SUMIFS(Table2[NewPointsAway],Table2[GameDate], "&lt;=" &amp; $A164, Table2[AwayTeam], L$1)+SUMIFS(Table2[NewPointsHome],Table2[GameDate], "&lt;=" &amp; $A164, Table2[HomeTeam], L$1)</f>
        <v>36</v>
      </c>
      <c r="M164" s="145">
        <f>SUMIFS(Table2[NewPointsAway],Table2[GameDate], "&lt;=" &amp; $A164, Table2[AwayTeam], M$1)+SUMIFS(Table2[NewPointsHome],Table2[GameDate], "&lt;=" &amp; $A164, Table2[HomeTeam], M$1)</f>
        <v>36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43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30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34</v>
      </c>
      <c r="V164" s="145">
        <f>SUMIFS(Table2[NewPointsAway],Table2[GameDate], "&lt;=" &amp; $A164, Table2[AwayTeam], V$1)+SUMIFS(Table2[NewPointsHome],Table2[GameDate], "&lt;=" &amp; $A164, Table2[HomeTeam], V$1)</f>
        <v>37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35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33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27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32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41</v>
      </c>
      <c r="C165" s="145">
        <f>SUMIFS(Table2[NewPointsAway],Table2[GameDate], "&lt;=" &amp; $A165, Table2[AwayTeam], C$1)+SUMIFS(Table2[NewPointsHome],Table2[GameDate], "&lt;=" &amp; $A165, Table2[HomeTeam], C$1)</f>
        <v>38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53</v>
      </c>
      <c r="J165" s="145">
        <f>SUMIFS(Table2[NewPointsAway],Table2[GameDate], "&lt;=" &amp; $A165, Table2[AwayTeam], J$1)+SUMIFS(Table2[NewPointsHome],Table2[GameDate], "&lt;=" &amp; $A165, Table2[HomeTeam], J$1)</f>
        <v>49</v>
      </c>
      <c r="K165" s="145">
        <f>SUMIFS(Table2[NewPointsAway],Table2[GameDate], "&lt;=" &amp; $A165, Table2[AwayTeam], K$1)+SUMIFS(Table2[NewPointsHome],Table2[GameDate], "&lt;=" &amp; $A165, Table2[HomeTeam], K$1)</f>
        <v>39</v>
      </c>
      <c r="L165" s="145">
        <f>SUMIFS(Table2[NewPointsAway],Table2[GameDate], "&lt;=" &amp; $A165, Table2[AwayTeam], L$1)+SUMIFS(Table2[NewPointsHome],Table2[GameDate], "&lt;=" &amp; $A165, Table2[HomeTeam], L$1)</f>
        <v>36</v>
      </c>
      <c r="M165" s="145">
        <f>SUMIFS(Table2[NewPointsAway],Table2[GameDate], "&lt;=" &amp; $A165, Table2[AwayTeam], M$1)+SUMIFS(Table2[NewPointsHome],Table2[GameDate], "&lt;=" &amp; $A165, Table2[HomeTeam], M$1)</f>
        <v>36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43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30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34</v>
      </c>
      <c r="V165" s="145">
        <f>SUMIFS(Table2[NewPointsAway],Table2[GameDate], "&lt;=" &amp; $A165, Table2[AwayTeam], V$1)+SUMIFS(Table2[NewPointsHome],Table2[GameDate], "&lt;=" &amp; $A165, Table2[HomeTeam], V$1)</f>
        <v>37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35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33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27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32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41</v>
      </c>
      <c r="C166" s="145">
        <f>SUMIFS(Table2[NewPointsAway],Table2[GameDate], "&lt;=" &amp; $A166, Table2[AwayTeam], C$1)+SUMIFS(Table2[NewPointsHome],Table2[GameDate], "&lt;=" &amp; $A166, Table2[HomeTeam], C$1)</f>
        <v>38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53</v>
      </c>
      <c r="J166" s="145">
        <f>SUMIFS(Table2[NewPointsAway],Table2[GameDate], "&lt;=" &amp; $A166, Table2[AwayTeam], J$1)+SUMIFS(Table2[NewPointsHome],Table2[GameDate], "&lt;=" &amp; $A166, Table2[HomeTeam], J$1)</f>
        <v>49</v>
      </c>
      <c r="K166" s="145">
        <f>SUMIFS(Table2[NewPointsAway],Table2[GameDate], "&lt;=" &amp; $A166, Table2[AwayTeam], K$1)+SUMIFS(Table2[NewPointsHome],Table2[GameDate], "&lt;=" &amp; $A166, Table2[HomeTeam], K$1)</f>
        <v>39</v>
      </c>
      <c r="L166" s="145">
        <f>SUMIFS(Table2[NewPointsAway],Table2[GameDate], "&lt;=" &amp; $A166, Table2[AwayTeam], L$1)+SUMIFS(Table2[NewPointsHome],Table2[GameDate], "&lt;=" &amp; $A166, Table2[HomeTeam], L$1)</f>
        <v>36</v>
      </c>
      <c r="M166" s="145">
        <f>SUMIFS(Table2[NewPointsAway],Table2[GameDate], "&lt;=" &amp; $A166, Table2[AwayTeam], M$1)+SUMIFS(Table2[NewPointsHome],Table2[GameDate], "&lt;=" &amp; $A166, Table2[HomeTeam], M$1)</f>
        <v>36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43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30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34</v>
      </c>
      <c r="V166" s="145">
        <f>SUMIFS(Table2[NewPointsAway],Table2[GameDate], "&lt;=" &amp; $A166, Table2[AwayTeam], V$1)+SUMIFS(Table2[NewPointsHome],Table2[GameDate], "&lt;=" &amp; $A166, Table2[HomeTeam], V$1)</f>
        <v>37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35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33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27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32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41</v>
      </c>
      <c r="C167" s="145">
        <f>SUMIFS(Table2[NewPointsAway],Table2[GameDate], "&lt;=" &amp; $A167, Table2[AwayTeam], C$1)+SUMIFS(Table2[NewPointsHome],Table2[GameDate], "&lt;=" &amp; $A167, Table2[HomeTeam], C$1)</f>
        <v>38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53</v>
      </c>
      <c r="J167" s="145">
        <f>SUMIFS(Table2[NewPointsAway],Table2[GameDate], "&lt;=" &amp; $A167, Table2[AwayTeam], J$1)+SUMIFS(Table2[NewPointsHome],Table2[GameDate], "&lt;=" &amp; $A167, Table2[HomeTeam], J$1)</f>
        <v>49</v>
      </c>
      <c r="K167" s="145">
        <f>SUMIFS(Table2[NewPointsAway],Table2[GameDate], "&lt;=" &amp; $A167, Table2[AwayTeam], K$1)+SUMIFS(Table2[NewPointsHome],Table2[GameDate], "&lt;=" &amp; $A167, Table2[HomeTeam], K$1)</f>
        <v>39</v>
      </c>
      <c r="L167" s="145">
        <f>SUMIFS(Table2[NewPointsAway],Table2[GameDate], "&lt;=" &amp; $A167, Table2[AwayTeam], L$1)+SUMIFS(Table2[NewPointsHome],Table2[GameDate], "&lt;=" &amp; $A167, Table2[HomeTeam], L$1)</f>
        <v>36</v>
      </c>
      <c r="M167" s="145">
        <f>SUMIFS(Table2[NewPointsAway],Table2[GameDate], "&lt;=" &amp; $A167, Table2[AwayTeam], M$1)+SUMIFS(Table2[NewPointsHome],Table2[GameDate], "&lt;=" &amp; $A167, Table2[HomeTeam], M$1)</f>
        <v>36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43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30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34</v>
      </c>
      <c r="V167" s="145">
        <f>SUMIFS(Table2[NewPointsAway],Table2[GameDate], "&lt;=" &amp; $A167, Table2[AwayTeam], V$1)+SUMIFS(Table2[NewPointsHome],Table2[GameDate], "&lt;=" &amp; $A167, Table2[HomeTeam], V$1)</f>
        <v>37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35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33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27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32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41</v>
      </c>
      <c r="C168" s="145">
        <f>SUMIFS(Table2[NewPointsAway],Table2[GameDate], "&lt;=" &amp; $A168, Table2[AwayTeam], C$1)+SUMIFS(Table2[NewPointsHome],Table2[GameDate], "&lt;=" &amp; $A168, Table2[HomeTeam], C$1)</f>
        <v>38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53</v>
      </c>
      <c r="J168" s="145">
        <f>SUMIFS(Table2[NewPointsAway],Table2[GameDate], "&lt;=" &amp; $A168, Table2[AwayTeam], J$1)+SUMIFS(Table2[NewPointsHome],Table2[GameDate], "&lt;=" &amp; $A168, Table2[HomeTeam], J$1)</f>
        <v>49</v>
      </c>
      <c r="K168" s="145">
        <f>SUMIFS(Table2[NewPointsAway],Table2[GameDate], "&lt;=" &amp; $A168, Table2[AwayTeam], K$1)+SUMIFS(Table2[NewPointsHome],Table2[GameDate], "&lt;=" &amp; $A168, Table2[HomeTeam], K$1)</f>
        <v>39</v>
      </c>
      <c r="L168" s="145">
        <f>SUMIFS(Table2[NewPointsAway],Table2[GameDate], "&lt;=" &amp; $A168, Table2[AwayTeam], L$1)+SUMIFS(Table2[NewPointsHome],Table2[GameDate], "&lt;=" &amp; $A168, Table2[HomeTeam], L$1)</f>
        <v>36</v>
      </c>
      <c r="M168" s="145">
        <f>SUMIFS(Table2[NewPointsAway],Table2[GameDate], "&lt;=" &amp; $A168, Table2[AwayTeam], M$1)+SUMIFS(Table2[NewPointsHome],Table2[GameDate], "&lt;=" &amp; $A168, Table2[HomeTeam], M$1)</f>
        <v>36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43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30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34</v>
      </c>
      <c r="V168" s="145">
        <f>SUMIFS(Table2[NewPointsAway],Table2[GameDate], "&lt;=" &amp; $A168, Table2[AwayTeam], V$1)+SUMIFS(Table2[NewPointsHome],Table2[GameDate], "&lt;=" &amp; $A168, Table2[HomeTeam], V$1)</f>
        <v>37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35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33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27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32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41</v>
      </c>
      <c r="C169" s="145">
        <f>SUMIFS(Table2[NewPointsAway],Table2[GameDate], "&lt;=" &amp; $A169, Table2[AwayTeam], C$1)+SUMIFS(Table2[NewPointsHome],Table2[GameDate], "&lt;=" &amp; $A169, Table2[HomeTeam], C$1)</f>
        <v>38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53</v>
      </c>
      <c r="J169" s="145">
        <f>SUMIFS(Table2[NewPointsAway],Table2[GameDate], "&lt;=" &amp; $A169, Table2[AwayTeam], J$1)+SUMIFS(Table2[NewPointsHome],Table2[GameDate], "&lt;=" &amp; $A169, Table2[HomeTeam], J$1)</f>
        <v>49</v>
      </c>
      <c r="K169" s="145">
        <f>SUMIFS(Table2[NewPointsAway],Table2[GameDate], "&lt;=" &amp; $A169, Table2[AwayTeam], K$1)+SUMIFS(Table2[NewPointsHome],Table2[GameDate], "&lt;=" &amp; $A169, Table2[HomeTeam], K$1)</f>
        <v>39</v>
      </c>
      <c r="L169" s="145">
        <f>SUMIFS(Table2[NewPointsAway],Table2[GameDate], "&lt;=" &amp; $A169, Table2[AwayTeam], L$1)+SUMIFS(Table2[NewPointsHome],Table2[GameDate], "&lt;=" &amp; $A169, Table2[HomeTeam], L$1)</f>
        <v>36</v>
      </c>
      <c r="M169" s="145">
        <f>SUMIFS(Table2[NewPointsAway],Table2[GameDate], "&lt;=" &amp; $A169, Table2[AwayTeam], M$1)+SUMIFS(Table2[NewPointsHome],Table2[GameDate], "&lt;=" &amp; $A169, Table2[HomeTeam], M$1)</f>
        <v>36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43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30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34</v>
      </c>
      <c r="V169" s="145">
        <f>SUMIFS(Table2[NewPointsAway],Table2[GameDate], "&lt;=" &amp; $A169, Table2[AwayTeam], V$1)+SUMIFS(Table2[NewPointsHome],Table2[GameDate], "&lt;=" &amp; $A169, Table2[HomeTeam], V$1)</f>
        <v>37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35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33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27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32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41</v>
      </c>
      <c r="C170" s="145">
        <f>SUMIFS(Table2[NewPointsAway],Table2[GameDate], "&lt;=" &amp; $A170, Table2[AwayTeam], C$1)+SUMIFS(Table2[NewPointsHome],Table2[GameDate], "&lt;=" &amp; $A170, Table2[HomeTeam], C$1)</f>
        <v>38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53</v>
      </c>
      <c r="J170" s="145">
        <f>SUMIFS(Table2[NewPointsAway],Table2[GameDate], "&lt;=" &amp; $A170, Table2[AwayTeam], J$1)+SUMIFS(Table2[NewPointsHome],Table2[GameDate], "&lt;=" &amp; $A170, Table2[HomeTeam], J$1)</f>
        <v>49</v>
      </c>
      <c r="K170" s="145">
        <f>SUMIFS(Table2[NewPointsAway],Table2[GameDate], "&lt;=" &amp; $A170, Table2[AwayTeam], K$1)+SUMIFS(Table2[NewPointsHome],Table2[GameDate], "&lt;=" &amp; $A170, Table2[HomeTeam], K$1)</f>
        <v>39</v>
      </c>
      <c r="L170" s="145">
        <f>SUMIFS(Table2[NewPointsAway],Table2[GameDate], "&lt;=" &amp; $A170, Table2[AwayTeam], L$1)+SUMIFS(Table2[NewPointsHome],Table2[GameDate], "&lt;=" &amp; $A170, Table2[HomeTeam], L$1)</f>
        <v>36</v>
      </c>
      <c r="M170" s="145">
        <f>SUMIFS(Table2[NewPointsAway],Table2[GameDate], "&lt;=" &amp; $A170, Table2[AwayTeam], M$1)+SUMIFS(Table2[NewPointsHome],Table2[GameDate], "&lt;=" &amp; $A170, Table2[HomeTeam], M$1)</f>
        <v>36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43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30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34</v>
      </c>
      <c r="V170" s="145">
        <f>SUMIFS(Table2[NewPointsAway],Table2[GameDate], "&lt;=" &amp; $A170, Table2[AwayTeam], V$1)+SUMIFS(Table2[NewPointsHome],Table2[GameDate], "&lt;=" &amp; $A170, Table2[HomeTeam], V$1)</f>
        <v>37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35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33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27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32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41</v>
      </c>
      <c r="C171" s="145">
        <f>SUMIFS(Table2[NewPointsAway],Table2[GameDate], "&lt;=" &amp; $A171, Table2[AwayTeam], C$1)+SUMIFS(Table2[NewPointsHome],Table2[GameDate], "&lt;=" &amp; $A171, Table2[HomeTeam], C$1)</f>
        <v>38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53</v>
      </c>
      <c r="J171" s="145">
        <f>SUMIFS(Table2[NewPointsAway],Table2[GameDate], "&lt;=" &amp; $A171, Table2[AwayTeam], J$1)+SUMIFS(Table2[NewPointsHome],Table2[GameDate], "&lt;=" &amp; $A171, Table2[HomeTeam], J$1)</f>
        <v>49</v>
      </c>
      <c r="K171" s="145">
        <f>SUMIFS(Table2[NewPointsAway],Table2[GameDate], "&lt;=" &amp; $A171, Table2[AwayTeam], K$1)+SUMIFS(Table2[NewPointsHome],Table2[GameDate], "&lt;=" &amp; $A171, Table2[HomeTeam], K$1)</f>
        <v>39</v>
      </c>
      <c r="L171" s="145">
        <f>SUMIFS(Table2[NewPointsAway],Table2[GameDate], "&lt;=" &amp; $A171, Table2[AwayTeam], L$1)+SUMIFS(Table2[NewPointsHome],Table2[GameDate], "&lt;=" &amp; $A171, Table2[HomeTeam], L$1)</f>
        <v>36</v>
      </c>
      <c r="M171" s="145">
        <f>SUMIFS(Table2[NewPointsAway],Table2[GameDate], "&lt;=" &amp; $A171, Table2[AwayTeam], M$1)+SUMIFS(Table2[NewPointsHome],Table2[GameDate], "&lt;=" &amp; $A171, Table2[HomeTeam], M$1)</f>
        <v>36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43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30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34</v>
      </c>
      <c r="V171" s="145">
        <f>SUMIFS(Table2[NewPointsAway],Table2[GameDate], "&lt;=" &amp; $A171, Table2[AwayTeam], V$1)+SUMIFS(Table2[NewPointsHome],Table2[GameDate], "&lt;=" &amp; $A171, Table2[HomeTeam], V$1)</f>
        <v>37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35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33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27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32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41</v>
      </c>
      <c r="C172" s="145">
        <f>SUMIFS(Table2[NewPointsAway],Table2[GameDate], "&lt;=" &amp; $A172, Table2[AwayTeam], C$1)+SUMIFS(Table2[NewPointsHome],Table2[GameDate], "&lt;=" &amp; $A172, Table2[HomeTeam], C$1)</f>
        <v>38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53</v>
      </c>
      <c r="J172" s="145">
        <f>SUMIFS(Table2[NewPointsAway],Table2[GameDate], "&lt;=" &amp; $A172, Table2[AwayTeam], J$1)+SUMIFS(Table2[NewPointsHome],Table2[GameDate], "&lt;=" &amp; $A172, Table2[HomeTeam], J$1)</f>
        <v>49</v>
      </c>
      <c r="K172" s="145">
        <f>SUMIFS(Table2[NewPointsAway],Table2[GameDate], "&lt;=" &amp; $A172, Table2[AwayTeam], K$1)+SUMIFS(Table2[NewPointsHome],Table2[GameDate], "&lt;=" &amp; $A172, Table2[HomeTeam], K$1)</f>
        <v>39</v>
      </c>
      <c r="L172" s="145">
        <f>SUMIFS(Table2[NewPointsAway],Table2[GameDate], "&lt;=" &amp; $A172, Table2[AwayTeam], L$1)+SUMIFS(Table2[NewPointsHome],Table2[GameDate], "&lt;=" &amp; $A172, Table2[HomeTeam], L$1)</f>
        <v>36</v>
      </c>
      <c r="M172" s="145">
        <f>SUMIFS(Table2[NewPointsAway],Table2[GameDate], "&lt;=" &amp; $A172, Table2[AwayTeam], M$1)+SUMIFS(Table2[NewPointsHome],Table2[GameDate], "&lt;=" &amp; $A172, Table2[HomeTeam], M$1)</f>
        <v>36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43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30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34</v>
      </c>
      <c r="V172" s="145">
        <f>SUMIFS(Table2[NewPointsAway],Table2[GameDate], "&lt;=" &amp; $A172, Table2[AwayTeam], V$1)+SUMIFS(Table2[NewPointsHome],Table2[GameDate], "&lt;=" &amp; $A172, Table2[HomeTeam], V$1)</f>
        <v>37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35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33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27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32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41</v>
      </c>
      <c r="C173" s="145">
        <f>SUMIFS(Table2[NewPointsAway],Table2[GameDate], "&lt;=" &amp; $A173, Table2[AwayTeam], C$1)+SUMIFS(Table2[NewPointsHome],Table2[GameDate], "&lt;=" &amp; $A173, Table2[HomeTeam], C$1)</f>
        <v>38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53</v>
      </c>
      <c r="J173" s="145">
        <f>SUMIFS(Table2[NewPointsAway],Table2[GameDate], "&lt;=" &amp; $A173, Table2[AwayTeam], J$1)+SUMIFS(Table2[NewPointsHome],Table2[GameDate], "&lt;=" &amp; $A173, Table2[HomeTeam], J$1)</f>
        <v>49</v>
      </c>
      <c r="K173" s="145">
        <f>SUMIFS(Table2[NewPointsAway],Table2[GameDate], "&lt;=" &amp; $A173, Table2[AwayTeam], K$1)+SUMIFS(Table2[NewPointsHome],Table2[GameDate], "&lt;=" &amp; $A173, Table2[HomeTeam], K$1)</f>
        <v>39</v>
      </c>
      <c r="L173" s="145">
        <f>SUMIFS(Table2[NewPointsAway],Table2[GameDate], "&lt;=" &amp; $A173, Table2[AwayTeam], L$1)+SUMIFS(Table2[NewPointsHome],Table2[GameDate], "&lt;=" &amp; $A173, Table2[HomeTeam], L$1)</f>
        <v>36</v>
      </c>
      <c r="M173" s="145">
        <f>SUMIFS(Table2[NewPointsAway],Table2[GameDate], "&lt;=" &amp; $A173, Table2[AwayTeam], M$1)+SUMIFS(Table2[NewPointsHome],Table2[GameDate], "&lt;=" &amp; $A173, Table2[HomeTeam], M$1)</f>
        <v>36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43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30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34</v>
      </c>
      <c r="V173" s="145">
        <f>SUMIFS(Table2[NewPointsAway],Table2[GameDate], "&lt;=" &amp; $A173, Table2[AwayTeam], V$1)+SUMIFS(Table2[NewPointsHome],Table2[GameDate], "&lt;=" &amp; $A173, Table2[HomeTeam], V$1)</f>
        <v>37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35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33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27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32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41</v>
      </c>
      <c r="C174" s="145">
        <f>SUMIFS(Table2[NewPointsAway],Table2[GameDate], "&lt;=" &amp; $A174, Table2[AwayTeam], C$1)+SUMIFS(Table2[NewPointsHome],Table2[GameDate], "&lt;=" &amp; $A174, Table2[HomeTeam], C$1)</f>
        <v>38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53</v>
      </c>
      <c r="J174" s="145">
        <f>SUMIFS(Table2[NewPointsAway],Table2[GameDate], "&lt;=" &amp; $A174, Table2[AwayTeam], J$1)+SUMIFS(Table2[NewPointsHome],Table2[GameDate], "&lt;=" &amp; $A174, Table2[HomeTeam], J$1)</f>
        <v>49</v>
      </c>
      <c r="K174" s="145">
        <f>SUMIFS(Table2[NewPointsAway],Table2[GameDate], "&lt;=" &amp; $A174, Table2[AwayTeam], K$1)+SUMIFS(Table2[NewPointsHome],Table2[GameDate], "&lt;=" &amp; $A174, Table2[HomeTeam], K$1)</f>
        <v>39</v>
      </c>
      <c r="L174" s="145">
        <f>SUMIFS(Table2[NewPointsAway],Table2[GameDate], "&lt;=" &amp; $A174, Table2[AwayTeam], L$1)+SUMIFS(Table2[NewPointsHome],Table2[GameDate], "&lt;=" &amp; $A174, Table2[HomeTeam], L$1)</f>
        <v>36</v>
      </c>
      <c r="M174" s="145">
        <f>SUMIFS(Table2[NewPointsAway],Table2[GameDate], "&lt;=" &amp; $A174, Table2[AwayTeam], M$1)+SUMIFS(Table2[NewPointsHome],Table2[GameDate], "&lt;=" &amp; $A174, Table2[HomeTeam], M$1)</f>
        <v>36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43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30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34</v>
      </c>
      <c r="V174" s="145">
        <f>SUMIFS(Table2[NewPointsAway],Table2[GameDate], "&lt;=" &amp; $A174, Table2[AwayTeam], V$1)+SUMIFS(Table2[NewPointsHome],Table2[GameDate], "&lt;=" &amp; $A174, Table2[HomeTeam], V$1)</f>
        <v>37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35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33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27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32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41</v>
      </c>
      <c r="C175" s="145">
        <f>SUMIFS(Table2[NewPointsAway],Table2[GameDate], "&lt;=" &amp; $A175, Table2[AwayTeam], C$1)+SUMIFS(Table2[NewPointsHome],Table2[GameDate], "&lt;=" &amp; $A175, Table2[HomeTeam], C$1)</f>
        <v>38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53</v>
      </c>
      <c r="J175" s="145">
        <f>SUMIFS(Table2[NewPointsAway],Table2[GameDate], "&lt;=" &amp; $A175, Table2[AwayTeam], J$1)+SUMIFS(Table2[NewPointsHome],Table2[GameDate], "&lt;=" &amp; $A175, Table2[HomeTeam], J$1)</f>
        <v>49</v>
      </c>
      <c r="K175" s="145">
        <f>SUMIFS(Table2[NewPointsAway],Table2[GameDate], "&lt;=" &amp; $A175, Table2[AwayTeam], K$1)+SUMIFS(Table2[NewPointsHome],Table2[GameDate], "&lt;=" &amp; $A175, Table2[HomeTeam], K$1)</f>
        <v>39</v>
      </c>
      <c r="L175" s="145">
        <f>SUMIFS(Table2[NewPointsAway],Table2[GameDate], "&lt;=" &amp; $A175, Table2[AwayTeam], L$1)+SUMIFS(Table2[NewPointsHome],Table2[GameDate], "&lt;=" &amp; $A175, Table2[HomeTeam], L$1)</f>
        <v>36</v>
      </c>
      <c r="M175" s="145">
        <f>SUMIFS(Table2[NewPointsAway],Table2[GameDate], "&lt;=" &amp; $A175, Table2[AwayTeam], M$1)+SUMIFS(Table2[NewPointsHome],Table2[GameDate], "&lt;=" &amp; $A175, Table2[HomeTeam], M$1)</f>
        <v>36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43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30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34</v>
      </c>
      <c r="V175" s="145">
        <f>SUMIFS(Table2[NewPointsAway],Table2[GameDate], "&lt;=" &amp; $A175, Table2[AwayTeam], V$1)+SUMIFS(Table2[NewPointsHome],Table2[GameDate], "&lt;=" &amp; $A175, Table2[HomeTeam], V$1)</f>
        <v>37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35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33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27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32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41</v>
      </c>
      <c r="C176" s="145">
        <f>SUMIFS(Table2[NewPointsAway],Table2[GameDate], "&lt;=" &amp; $A176, Table2[AwayTeam], C$1)+SUMIFS(Table2[NewPointsHome],Table2[GameDate], "&lt;=" &amp; $A176, Table2[HomeTeam], C$1)</f>
        <v>38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53</v>
      </c>
      <c r="J176" s="145">
        <f>SUMIFS(Table2[NewPointsAway],Table2[GameDate], "&lt;=" &amp; $A176, Table2[AwayTeam], J$1)+SUMIFS(Table2[NewPointsHome],Table2[GameDate], "&lt;=" &amp; $A176, Table2[HomeTeam], J$1)</f>
        <v>49</v>
      </c>
      <c r="K176" s="145">
        <f>SUMIFS(Table2[NewPointsAway],Table2[GameDate], "&lt;=" &amp; $A176, Table2[AwayTeam], K$1)+SUMIFS(Table2[NewPointsHome],Table2[GameDate], "&lt;=" &amp; $A176, Table2[HomeTeam], K$1)</f>
        <v>39</v>
      </c>
      <c r="L176" s="145">
        <f>SUMIFS(Table2[NewPointsAway],Table2[GameDate], "&lt;=" &amp; $A176, Table2[AwayTeam], L$1)+SUMIFS(Table2[NewPointsHome],Table2[GameDate], "&lt;=" &amp; $A176, Table2[HomeTeam], L$1)</f>
        <v>36</v>
      </c>
      <c r="M176" s="145">
        <f>SUMIFS(Table2[NewPointsAway],Table2[GameDate], "&lt;=" &amp; $A176, Table2[AwayTeam], M$1)+SUMIFS(Table2[NewPointsHome],Table2[GameDate], "&lt;=" &amp; $A176, Table2[HomeTeam], M$1)</f>
        <v>36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43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30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34</v>
      </c>
      <c r="V176" s="145">
        <f>SUMIFS(Table2[NewPointsAway],Table2[GameDate], "&lt;=" &amp; $A176, Table2[AwayTeam], V$1)+SUMIFS(Table2[NewPointsHome],Table2[GameDate], "&lt;=" &amp; $A176, Table2[HomeTeam], V$1)</f>
        <v>37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35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33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27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32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41</v>
      </c>
      <c r="C177" s="145">
        <f>SUMIFS(Table2[NewPointsAway],Table2[GameDate], "&lt;=" &amp; $A177, Table2[AwayTeam], C$1)+SUMIFS(Table2[NewPointsHome],Table2[GameDate], "&lt;=" &amp; $A177, Table2[HomeTeam], C$1)</f>
        <v>38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53</v>
      </c>
      <c r="J177" s="145">
        <f>SUMIFS(Table2[NewPointsAway],Table2[GameDate], "&lt;=" &amp; $A177, Table2[AwayTeam], J$1)+SUMIFS(Table2[NewPointsHome],Table2[GameDate], "&lt;=" &amp; $A177, Table2[HomeTeam], J$1)</f>
        <v>49</v>
      </c>
      <c r="K177" s="145">
        <f>SUMIFS(Table2[NewPointsAway],Table2[GameDate], "&lt;=" &amp; $A177, Table2[AwayTeam], K$1)+SUMIFS(Table2[NewPointsHome],Table2[GameDate], "&lt;=" &amp; $A177, Table2[HomeTeam], K$1)</f>
        <v>39</v>
      </c>
      <c r="L177" s="145">
        <f>SUMIFS(Table2[NewPointsAway],Table2[GameDate], "&lt;=" &amp; $A177, Table2[AwayTeam], L$1)+SUMIFS(Table2[NewPointsHome],Table2[GameDate], "&lt;=" &amp; $A177, Table2[HomeTeam], L$1)</f>
        <v>36</v>
      </c>
      <c r="M177" s="145">
        <f>SUMIFS(Table2[NewPointsAway],Table2[GameDate], "&lt;=" &amp; $A177, Table2[AwayTeam], M$1)+SUMIFS(Table2[NewPointsHome],Table2[GameDate], "&lt;=" &amp; $A177, Table2[HomeTeam], M$1)</f>
        <v>36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43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30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34</v>
      </c>
      <c r="V177" s="145">
        <f>SUMIFS(Table2[NewPointsAway],Table2[GameDate], "&lt;=" &amp; $A177, Table2[AwayTeam], V$1)+SUMIFS(Table2[NewPointsHome],Table2[GameDate], "&lt;=" &amp; $A177, Table2[HomeTeam], V$1)</f>
        <v>37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35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33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27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32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41</v>
      </c>
      <c r="C178" s="145">
        <f>SUMIFS(Table2[NewPointsAway],Table2[GameDate], "&lt;=" &amp; $A178, Table2[AwayTeam], C$1)+SUMIFS(Table2[NewPointsHome],Table2[GameDate], "&lt;=" &amp; $A178, Table2[HomeTeam], C$1)</f>
        <v>38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53</v>
      </c>
      <c r="J178" s="145">
        <f>SUMIFS(Table2[NewPointsAway],Table2[GameDate], "&lt;=" &amp; $A178, Table2[AwayTeam], J$1)+SUMIFS(Table2[NewPointsHome],Table2[GameDate], "&lt;=" &amp; $A178, Table2[HomeTeam], J$1)</f>
        <v>49</v>
      </c>
      <c r="K178" s="145">
        <f>SUMIFS(Table2[NewPointsAway],Table2[GameDate], "&lt;=" &amp; $A178, Table2[AwayTeam], K$1)+SUMIFS(Table2[NewPointsHome],Table2[GameDate], "&lt;=" &amp; $A178, Table2[HomeTeam], K$1)</f>
        <v>39</v>
      </c>
      <c r="L178" s="145">
        <f>SUMIFS(Table2[NewPointsAway],Table2[GameDate], "&lt;=" &amp; $A178, Table2[AwayTeam], L$1)+SUMIFS(Table2[NewPointsHome],Table2[GameDate], "&lt;=" &amp; $A178, Table2[HomeTeam], L$1)</f>
        <v>36</v>
      </c>
      <c r="M178" s="145">
        <f>SUMIFS(Table2[NewPointsAway],Table2[GameDate], "&lt;=" &amp; $A178, Table2[AwayTeam], M$1)+SUMIFS(Table2[NewPointsHome],Table2[GameDate], "&lt;=" &amp; $A178, Table2[HomeTeam], M$1)</f>
        <v>36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43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30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34</v>
      </c>
      <c r="V178" s="145">
        <f>SUMIFS(Table2[NewPointsAway],Table2[GameDate], "&lt;=" &amp; $A178, Table2[AwayTeam], V$1)+SUMIFS(Table2[NewPointsHome],Table2[GameDate], "&lt;=" &amp; $A178, Table2[HomeTeam], V$1)</f>
        <v>37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35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33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27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32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41</v>
      </c>
      <c r="C179" s="145">
        <f>SUMIFS(Table2[NewPointsAway],Table2[GameDate], "&lt;=" &amp; $A179, Table2[AwayTeam], C$1)+SUMIFS(Table2[NewPointsHome],Table2[GameDate], "&lt;=" &amp; $A179, Table2[HomeTeam], C$1)</f>
        <v>38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53</v>
      </c>
      <c r="J179" s="145">
        <f>SUMIFS(Table2[NewPointsAway],Table2[GameDate], "&lt;=" &amp; $A179, Table2[AwayTeam], J$1)+SUMIFS(Table2[NewPointsHome],Table2[GameDate], "&lt;=" &amp; $A179, Table2[HomeTeam], J$1)</f>
        <v>49</v>
      </c>
      <c r="K179" s="145">
        <f>SUMIFS(Table2[NewPointsAway],Table2[GameDate], "&lt;=" &amp; $A179, Table2[AwayTeam], K$1)+SUMIFS(Table2[NewPointsHome],Table2[GameDate], "&lt;=" &amp; $A179, Table2[HomeTeam], K$1)</f>
        <v>39</v>
      </c>
      <c r="L179" s="145">
        <f>SUMIFS(Table2[NewPointsAway],Table2[GameDate], "&lt;=" &amp; $A179, Table2[AwayTeam], L$1)+SUMIFS(Table2[NewPointsHome],Table2[GameDate], "&lt;=" &amp; $A179, Table2[HomeTeam], L$1)</f>
        <v>36</v>
      </c>
      <c r="M179" s="145">
        <f>SUMIFS(Table2[NewPointsAway],Table2[GameDate], "&lt;=" &amp; $A179, Table2[AwayTeam], M$1)+SUMIFS(Table2[NewPointsHome],Table2[GameDate], "&lt;=" &amp; $A179, Table2[HomeTeam], M$1)</f>
        <v>36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43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30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34</v>
      </c>
      <c r="V179" s="145">
        <f>SUMIFS(Table2[NewPointsAway],Table2[GameDate], "&lt;=" &amp; $A179, Table2[AwayTeam], V$1)+SUMIFS(Table2[NewPointsHome],Table2[GameDate], "&lt;=" &amp; $A179, Table2[HomeTeam], V$1)</f>
        <v>37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35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33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27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32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41</v>
      </c>
      <c r="C180" s="145">
        <f>SUMIFS(Table2[NewPointsAway],Table2[GameDate], "&lt;=" &amp; $A180, Table2[AwayTeam], C$1)+SUMIFS(Table2[NewPointsHome],Table2[GameDate], "&lt;=" &amp; $A180, Table2[HomeTeam], C$1)</f>
        <v>38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53</v>
      </c>
      <c r="J180" s="145">
        <f>SUMIFS(Table2[NewPointsAway],Table2[GameDate], "&lt;=" &amp; $A180, Table2[AwayTeam], J$1)+SUMIFS(Table2[NewPointsHome],Table2[GameDate], "&lt;=" &amp; $A180, Table2[HomeTeam], J$1)</f>
        <v>49</v>
      </c>
      <c r="K180" s="145">
        <f>SUMIFS(Table2[NewPointsAway],Table2[GameDate], "&lt;=" &amp; $A180, Table2[AwayTeam], K$1)+SUMIFS(Table2[NewPointsHome],Table2[GameDate], "&lt;=" &amp; $A180, Table2[HomeTeam], K$1)</f>
        <v>39</v>
      </c>
      <c r="L180" s="145">
        <f>SUMIFS(Table2[NewPointsAway],Table2[GameDate], "&lt;=" &amp; $A180, Table2[AwayTeam], L$1)+SUMIFS(Table2[NewPointsHome],Table2[GameDate], "&lt;=" &amp; $A180, Table2[HomeTeam], L$1)</f>
        <v>36</v>
      </c>
      <c r="M180" s="145">
        <f>SUMIFS(Table2[NewPointsAway],Table2[GameDate], "&lt;=" &amp; $A180, Table2[AwayTeam], M$1)+SUMIFS(Table2[NewPointsHome],Table2[GameDate], "&lt;=" &amp; $A180, Table2[HomeTeam], M$1)</f>
        <v>36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43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30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34</v>
      </c>
      <c r="V180" s="145">
        <f>SUMIFS(Table2[NewPointsAway],Table2[GameDate], "&lt;=" &amp; $A180, Table2[AwayTeam], V$1)+SUMIFS(Table2[NewPointsHome],Table2[GameDate], "&lt;=" &amp; $A180, Table2[HomeTeam], V$1)</f>
        <v>37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35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33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27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32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41</v>
      </c>
      <c r="C181" s="145">
        <f>SUMIFS(Table2[NewPointsAway],Table2[GameDate], "&lt;=" &amp; $A181, Table2[AwayTeam], C$1)+SUMIFS(Table2[NewPointsHome],Table2[GameDate], "&lt;=" &amp; $A181, Table2[HomeTeam], C$1)</f>
        <v>38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53</v>
      </c>
      <c r="J181" s="145">
        <f>SUMIFS(Table2[NewPointsAway],Table2[GameDate], "&lt;=" &amp; $A181, Table2[AwayTeam], J$1)+SUMIFS(Table2[NewPointsHome],Table2[GameDate], "&lt;=" &amp; $A181, Table2[HomeTeam], J$1)</f>
        <v>49</v>
      </c>
      <c r="K181" s="145">
        <f>SUMIFS(Table2[NewPointsAway],Table2[GameDate], "&lt;=" &amp; $A181, Table2[AwayTeam], K$1)+SUMIFS(Table2[NewPointsHome],Table2[GameDate], "&lt;=" &amp; $A181, Table2[HomeTeam], K$1)</f>
        <v>39</v>
      </c>
      <c r="L181" s="145">
        <f>SUMIFS(Table2[NewPointsAway],Table2[GameDate], "&lt;=" &amp; $A181, Table2[AwayTeam], L$1)+SUMIFS(Table2[NewPointsHome],Table2[GameDate], "&lt;=" &amp; $A181, Table2[HomeTeam], L$1)</f>
        <v>36</v>
      </c>
      <c r="M181" s="145">
        <f>SUMIFS(Table2[NewPointsAway],Table2[GameDate], "&lt;=" &amp; $A181, Table2[AwayTeam], M$1)+SUMIFS(Table2[NewPointsHome],Table2[GameDate], "&lt;=" &amp; $A181, Table2[HomeTeam], M$1)</f>
        <v>36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43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30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34</v>
      </c>
      <c r="V181" s="145">
        <f>SUMIFS(Table2[NewPointsAway],Table2[GameDate], "&lt;=" &amp; $A181, Table2[AwayTeam], V$1)+SUMIFS(Table2[NewPointsHome],Table2[GameDate], "&lt;=" &amp; $A181, Table2[HomeTeam], V$1)</f>
        <v>37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35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33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27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32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41</v>
      </c>
      <c r="C182" s="145">
        <f>SUMIFS(Table2[NewPointsAway],Table2[GameDate], "&lt;=" &amp; $A182, Table2[AwayTeam], C$1)+SUMIFS(Table2[NewPointsHome],Table2[GameDate], "&lt;=" &amp; $A182, Table2[HomeTeam], C$1)</f>
        <v>38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53</v>
      </c>
      <c r="J182" s="145">
        <f>SUMIFS(Table2[NewPointsAway],Table2[GameDate], "&lt;=" &amp; $A182, Table2[AwayTeam], J$1)+SUMIFS(Table2[NewPointsHome],Table2[GameDate], "&lt;=" &amp; $A182, Table2[HomeTeam], J$1)</f>
        <v>49</v>
      </c>
      <c r="K182" s="145">
        <f>SUMIFS(Table2[NewPointsAway],Table2[GameDate], "&lt;=" &amp; $A182, Table2[AwayTeam], K$1)+SUMIFS(Table2[NewPointsHome],Table2[GameDate], "&lt;=" &amp; $A182, Table2[HomeTeam], K$1)</f>
        <v>39</v>
      </c>
      <c r="L182" s="145">
        <f>SUMIFS(Table2[NewPointsAway],Table2[GameDate], "&lt;=" &amp; $A182, Table2[AwayTeam], L$1)+SUMIFS(Table2[NewPointsHome],Table2[GameDate], "&lt;=" &amp; $A182, Table2[HomeTeam], L$1)</f>
        <v>36</v>
      </c>
      <c r="M182" s="145">
        <f>SUMIFS(Table2[NewPointsAway],Table2[GameDate], "&lt;=" &amp; $A182, Table2[AwayTeam], M$1)+SUMIFS(Table2[NewPointsHome],Table2[GameDate], "&lt;=" &amp; $A182, Table2[HomeTeam], M$1)</f>
        <v>36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43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30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34</v>
      </c>
      <c r="V182" s="145">
        <f>SUMIFS(Table2[NewPointsAway],Table2[GameDate], "&lt;=" &amp; $A182, Table2[AwayTeam], V$1)+SUMIFS(Table2[NewPointsHome],Table2[GameDate], "&lt;=" &amp; $A182, Table2[HomeTeam], V$1)</f>
        <v>37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35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33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27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32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41</v>
      </c>
      <c r="C183" s="145">
        <f>SUMIFS(Table2[NewPointsAway],Table2[GameDate], "&lt;=" &amp; $A183, Table2[AwayTeam], C$1)+SUMIFS(Table2[NewPointsHome],Table2[GameDate], "&lt;=" &amp; $A183, Table2[HomeTeam], C$1)</f>
        <v>38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53</v>
      </c>
      <c r="J183" s="145">
        <f>SUMIFS(Table2[NewPointsAway],Table2[GameDate], "&lt;=" &amp; $A183, Table2[AwayTeam], J$1)+SUMIFS(Table2[NewPointsHome],Table2[GameDate], "&lt;=" &amp; $A183, Table2[HomeTeam], J$1)</f>
        <v>49</v>
      </c>
      <c r="K183" s="145">
        <f>SUMIFS(Table2[NewPointsAway],Table2[GameDate], "&lt;=" &amp; $A183, Table2[AwayTeam], K$1)+SUMIFS(Table2[NewPointsHome],Table2[GameDate], "&lt;=" &amp; $A183, Table2[HomeTeam], K$1)</f>
        <v>39</v>
      </c>
      <c r="L183" s="145">
        <f>SUMIFS(Table2[NewPointsAway],Table2[GameDate], "&lt;=" &amp; $A183, Table2[AwayTeam], L$1)+SUMIFS(Table2[NewPointsHome],Table2[GameDate], "&lt;=" &amp; $A183, Table2[HomeTeam], L$1)</f>
        <v>36</v>
      </c>
      <c r="M183" s="145">
        <f>SUMIFS(Table2[NewPointsAway],Table2[GameDate], "&lt;=" &amp; $A183, Table2[AwayTeam], M$1)+SUMIFS(Table2[NewPointsHome],Table2[GameDate], "&lt;=" &amp; $A183, Table2[HomeTeam], M$1)</f>
        <v>36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43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30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34</v>
      </c>
      <c r="V183" s="145">
        <f>SUMIFS(Table2[NewPointsAway],Table2[GameDate], "&lt;=" &amp; $A183, Table2[AwayTeam], V$1)+SUMIFS(Table2[NewPointsHome],Table2[GameDate], "&lt;=" &amp; $A183, Table2[HomeTeam], V$1)</f>
        <v>37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35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33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27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32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41</v>
      </c>
      <c r="C184" s="145">
        <f>SUMIFS(Table2[NewPointsAway],Table2[GameDate], "&lt;=" &amp; $A184, Table2[AwayTeam], C$1)+SUMIFS(Table2[NewPointsHome],Table2[GameDate], "&lt;=" &amp; $A184, Table2[HomeTeam], C$1)</f>
        <v>38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53</v>
      </c>
      <c r="J184" s="145">
        <f>SUMIFS(Table2[NewPointsAway],Table2[GameDate], "&lt;=" &amp; $A184, Table2[AwayTeam], J$1)+SUMIFS(Table2[NewPointsHome],Table2[GameDate], "&lt;=" &amp; $A184, Table2[HomeTeam], J$1)</f>
        <v>49</v>
      </c>
      <c r="K184" s="145">
        <f>SUMIFS(Table2[NewPointsAway],Table2[GameDate], "&lt;=" &amp; $A184, Table2[AwayTeam], K$1)+SUMIFS(Table2[NewPointsHome],Table2[GameDate], "&lt;=" &amp; $A184, Table2[HomeTeam], K$1)</f>
        <v>39</v>
      </c>
      <c r="L184" s="145">
        <f>SUMIFS(Table2[NewPointsAway],Table2[GameDate], "&lt;=" &amp; $A184, Table2[AwayTeam], L$1)+SUMIFS(Table2[NewPointsHome],Table2[GameDate], "&lt;=" &amp; $A184, Table2[HomeTeam], L$1)</f>
        <v>36</v>
      </c>
      <c r="M184" s="145">
        <f>SUMIFS(Table2[NewPointsAway],Table2[GameDate], "&lt;=" &amp; $A184, Table2[AwayTeam], M$1)+SUMIFS(Table2[NewPointsHome],Table2[GameDate], "&lt;=" &amp; $A184, Table2[HomeTeam], M$1)</f>
        <v>36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43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30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34</v>
      </c>
      <c r="V184" s="145">
        <f>SUMIFS(Table2[NewPointsAway],Table2[GameDate], "&lt;=" &amp; $A184, Table2[AwayTeam], V$1)+SUMIFS(Table2[NewPointsHome],Table2[GameDate], "&lt;=" &amp; $A184, Table2[HomeTeam], V$1)</f>
        <v>37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35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33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27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32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41</v>
      </c>
      <c r="C185" s="145">
        <f>SUMIFS(Table2[NewPointsAway],Table2[GameDate], "&lt;=" &amp; $A185, Table2[AwayTeam], C$1)+SUMIFS(Table2[NewPointsHome],Table2[GameDate], "&lt;=" &amp; $A185, Table2[HomeTeam], C$1)</f>
        <v>38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53</v>
      </c>
      <c r="J185" s="145">
        <f>SUMIFS(Table2[NewPointsAway],Table2[GameDate], "&lt;=" &amp; $A185, Table2[AwayTeam], J$1)+SUMIFS(Table2[NewPointsHome],Table2[GameDate], "&lt;=" &amp; $A185, Table2[HomeTeam], J$1)</f>
        <v>49</v>
      </c>
      <c r="K185" s="145">
        <f>SUMIFS(Table2[NewPointsAway],Table2[GameDate], "&lt;=" &amp; $A185, Table2[AwayTeam], K$1)+SUMIFS(Table2[NewPointsHome],Table2[GameDate], "&lt;=" &amp; $A185, Table2[HomeTeam], K$1)</f>
        <v>39</v>
      </c>
      <c r="L185" s="145">
        <f>SUMIFS(Table2[NewPointsAway],Table2[GameDate], "&lt;=" &amp; $A185, Table2[AwayTeam], L$1)+SUMIFS(Table2[NewPointsHome],Table2[GameDate], "&lt;=" &amp; $A185, Table2[HomeTeam], L$1)</f>
        <v>36</v>
      </c>
      <c r="M185" s="145">
        <f>SUMIFS(Table2[NewPointsAway],Table2[GameDate], "&lt;=" &amp; $A185, Table2[AwayTeam], M$1)+SUMIFS(Table2[NewPointsHome],Table2[GameDate], "&lt;=" &amp; $A185, Table2[HomeTeam], M$1)</f>
        <v>36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43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30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34</v>
      </c>
      <c r="V185" s="145">
        <f>SUMIFS(Table2[NewPointsAway],Table2[GameDate], "&lt;=" &amp; $A185, Table2[AwayTeam], V$1)+SUMIFS(Table2[NewPointsHome],Table2[GameDate], "&lt;=" &amp; $A185, Table2[HomeTeam], V$1)</f>
        <v>37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35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33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27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32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41</v>
      </c>
      <c r="C186" s="145">
        <f>SUMIFS(Table2[NewPointsAway],Table2[GameDate], "&lt;=" &amp; $A186, Table2[AwayTeam], C$1)+SUMIFS(Table2[NewPointsHome],Table2[GameDate], "&lt;=" &amp; $A186, Table2[HomeTeam], C$1)</f>
        <v>38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53</v>
      </c>
      <c r="J186" s="145">
        <f>SUMIFS(Table2[NewPointsAway],Table2[GameDate], "&lt;=" &amp; $A186, Table2[AwayTeam], J$1)+SUMIFS(Table2[NewPointsHome],Table2[GameDate], "&lt;=" &amp; $A186, Table2[HomeTeam], J$1)</f>
        <v>49</v>
      </c>
      <c r="K186" s="145">
        <f>SUMIFS(Table2[NewPointsAway],Table2[GameDate], "&lt;=" &amp; $A186, Table2[AwayTeam], K$1)+SUMIFS(Table2[NewPointsHome],Table2[GameDate], "&lt;=" &amp; $A186, Table2[HomeTeam], K$1)</f>
        <v>39</v>
      </c>
      <c r="L186" s="145">
        <f>SUMIFS(Table2[NewPointsAway],Table2[GameDate], "&lt;=" &amp; $A186, Table2[AwayTeam], L$1)+SUMIFS(Table2[NewPointsHome],Table2[GameDate], "&lt;=" &amp; $A186, Table2[HomeTeam], L$1)</f>
        <v>36</v>
      </c>
      <c r="M186" s="145">
        <f>SUMIFS(Table2[NewPointsAway],Table2[GameDate], "&lt;=" &amp; $A186, Table2[AwayTeam], M$1)+SUMIFS(Table2[NewPointsHome],Table2[GameDate], "&lt;=" &amp; $A186, Table2[HomeTeam], M$1)</f>
        <v>36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43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30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34</v>
      </c>
      <c r="V186" s="145">
        <f>SUMIFS(Table2[NewPointsAway],Table2[GameDate], "&lt;=" &amp; $A186, Table2[AwayTeam], V$1)+SUMIFS(Table2[NewPointsHome],Table2[GameDate], "&lt;=" &amp; $A186, Table2[HomeTeam], V$1)</f>
        <v>37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35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33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27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32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41</v>
      </c>
      <c r="C187" s="145">
        <f>SUMIFS(Table2[NewPointsAway],Table2[GameDate], "&lt;=" &amp; $A187, Table2[AwayTeam], C$1)+SUMIFS(Table2[NewPointsHome],Table2[GameDate], "&lt;=" &amp; $A187, Table2[HomeTeam], C$1)</f>
        <v>38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53</v>
      </c>
      <c r="J187" s="145">
        <f>SUMIFS(Table2[NewPointsAway],Table2[GameDate], "&lt;=" &amp; $A187, Table2[AwayTeam], J$1)+SUMIFS(Table2[NewPointsHome],Table2[GameDate], "&lt;=" &amp; $A187, Table2[HomeTeam], J$1)</f>
        <v>49</v>
      </c>
      <c r="K187" s="145">
        <f>SUMIFS(Table2[NewPointsAway],Table2[GameDate], "&lt;=" &amp; $A187, Table2[AwayTeam], K$1)+SUMIFS(Table2[NewPointsHome],Table2[GameDate], "&lt;=" &amp; $A187, Table2[HomeTeam], K$1)</f>
        <v>39</v>
      </c>
      <c r="L187" s="145">
        <f>SUMIFS(Table2[NewPointsAway],Table2[GameDate], "&lt;=" &amp; $A187, Table2[AwayTeam], L$1)+SUMIFS(Table2[NewPointsHome],Table2[GameDate], "&lt;=" &amp; $A187, Table2[HomeTeam], L$1)</f>
        <v>36</v>
      </c>
      <c r="M187" s="145">
        <f>SUMIFS(Table2[NewPointsAway],Table2[GameDate], "&lt;=" &amp; $A187, Table2[AwayTeam], M$1)+SUMIFS(Table2[NewPointsHome],Table2[GameDate], "&lt;=" &amp; $A187, Table2[HomeTeam], M$1)</f>
        <v>36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43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30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34</v>
      </c>
      <c r="V187" s="145">
        <f>SUMIFS(Table2[NewPointsAway],Table2[GameDate], "&lt;=" &amp; $A187, Table2[AwayTeam], V$1)+SUMIFS(Table2[NewPointsHome],Table2[GameDate], "&lt;=" &amp; $A187, Table2[HomeTeam], V$1)</f>
        <v>37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35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33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27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32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41</v>
      </c>
      <c r="C188" s="145">
        <f>SUMIFS(Table2[NewPointsAway],Table2[GameDate], "&lt;=" &amp; $A188, Table2[AwayTeam], C$1)+SUMIFS(Table2[NewPointsHome],Table2[GameDate], "&lt;=" &amp; $A188, Table2[HomeTeam], C$1)</f>
        <v>38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53</v>
      </c>
      <c r="J188" s="145">
        <f>SUMIFS(Table2[NewPointsAway],Table2[GameDate], "&lt;=" &amp; $A188, Table2[AwayTeam], J$1)+SUMIFS(Table2[NewPointsHome],Table2[GameDate], "&lt;=" &amp; $A188, Table2[HomeTeam], J$1)</f>
        <v>49</v>
      </c>
      <c r="K188" s="145">
        <f>SUMIFS(Table2[NewPointsAway],Table2[GameDate], "&lt;=" &amp; $A188, Table2[AwayTeam], K$1)+SUMIFS(Table2[NewPointsHome],Table2[GameDate], "&lt;=" &amp; $A188, Table2[HomeTeam], K$1)</f>
        <v>39</v>
      </c>
      <c r="L188" s="145">
        <f>SUMIFS(Table2[NewPointsAway],Table2[GameDate], "&lt;=" &amp; $A188, Table2[AwayTeam], L$1)+SUMIFS(Table2[NewPointsHome],Table2[GameDate], "&lt;=" &amp; $A188, Table2[HomeTeam], L$1)</f>
        <v>36</v>
      </c>
      <c r="M188" s="145">
        <f>SUMIFS(Table2[NewPointsAway],Table2[GameDate], "&lt;=" &amp; $A188, Table2[AwayTeam], M$1)+SUMIFS(Table2[NewPointsHome],Table2[GameDate], "&lt;=" &amp; $A188, Table2[HomeTeam], M$1)</f>
        <v>36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43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30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34</v>
      </c>
      <c r="V188" s="145">
        <f>SUMIFS(Table2[NewPointsAway],Table2[GameDate], "&lt;=" &amp; $A188, Table2[AwayTeam], V$1)+SUMIFS(Table2[NewPointsHome],Table2[GameDate], "&lt;=" &amp; $A188, Table2[HomeTeam], V$1)</f>
        <v>37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35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33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27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32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41</v>
      </c>
      <c r="C189" s="145">
        <f>SUMIFS(Table2[NewPointsAway],Table2[GameDate], "&lt;=" &amp; $A189, Table2[AwayTeam], C$1)+SUMIFS(Table2[NewPointsHome],Table2[GameDate], "&lt;=" &amp; $A189, Table2[HomeTeam], C$1)</f>
        <v>38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53</v>
      </c>
      <c r="J189" s="145">
        <f>SUMIFS(Table2[NewPointsAway],Table2[GameDate], "&lt;=" &amp; $A189, Table2[AwayTeam], J$1)+SUMIFS(Table2[NewPointsHome],Table2[GameDate], "&lt;=" &amp; $A189, Table2[HomeTeam], J$1)</f>
        <v>49</v>
      </c>
      <c r="K189" s="145">
        <f>SUMIFS(Table2[NewPointsAway],Table2[GameDate], "&lt;=" &amp; $A189, Table2[AwayTeam], K$1)+SUMIFS(Table2[NewPointsHome],Table2[GameDate], "&lt;=" &amp; $A189, Table2[HomeTeam], K$1)</f>
        <v>39</v>
      </c>
      <c r="L189" s="145">
        <f>SUMIFS(Table2[NewPointsAway],Table2[GameDate], "&lt;=" &amp; $A189, Table2[AwayTeam], L$1)+SUMIFS(Table2[NewPointsHome],Table2[GameDate], "&lt;=" &amp; $A189, Table2[HomeTeam], L$1)</f>
        <v>36</v>
      </c>
      <c r="M189" s="145">
        <f>SUMIFS(Table2[NewPointsAway],Table2[GameDate], "&lt;=" &amp; $A189, Table2[AwayTeam], M$1)+SUMIFS(Table2[NewPointsHome],Table2[GameDate], "&lt;=" &amp; $A189, Table2[HomeTeam], M$1)</f>
        <v>36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43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30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34</v>
      </c>
      <c r="V189" s="145">
        <f>SUMIFS(Table2[NewPointsAway],Table2[GameDate], "&lt;=" &amp; $A189, Table2[AwayTeam], V$1)+SUMIFS(Table2[NewPointsHome],Table2[GameDate], "&lt;=" &amp; $A189, Table2[HomeTeam], V$1)</f>
        <v>37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35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33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27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32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41</v>
      </c>
      <c r="C190" s="145">
        <f>SUMIFS(Table2[NewPointsAway],Table2[GameDate], "&lt;=" &amp; $A190, Table2[AwayTeam], C$1)+SUMIFS(Table2[NewPointsHome],Table2[GameDate], "&lt;=" &amp; $A190, Table2[HomeTeam], C$1)</f>
        <v>38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53</v>
      </c>
      <c r="J190" s="145">
        <f>SUMIFS(Table2[NewPointsAway],Table2[GameDate], "&lt;=" &amp; $A190, Table2[AwayTeam], J$1)+SUMIFS(Table2[NewPointsHome],Table2[GameDate], "&lt;=" &amp; $A190, Table2[HomeTeam], J$1)</f>
        <v>49</v>
      </c>
      <c r="K190" s="145">
        <f>SUMIFS(Table2[NewPointsAway],Table2[GameDate], "&lt;=" &amp; $A190, Table2[AwayTeam], K$1)+SUMIFS(Table2[NewPointsHome],Table2[GameDate], "&lt;=" &amp; $A190, Table2[HomeTeam], K$1)</f>
        <v>39</v>
      </c>
      <c r="L190" s="145">
        <f>SUMIFS(Table2[NewPointsAway],Table2[GameDate], "&lt;=" &amp; $A190, Table2[AwayTeam], L$1)+SUMIFS(Table2[NewPointsHome],Table2[GameDate], "&lt;=" &amp; $A190, Table2[HomeTeam], L$1)</f>
        <v>36</v>
      </c>
      <c r="M190" s="145">
        <f>SUMIFS(Table2[NewPointsAway],Table2[GameDate], "&lt;=" &amp; $A190, Table2[AwayTeam], M$1)+SUMIFS(Table2[NewPointsHome],Table2[GameDate], "&lt;=" &amp; $A190, Table2[HomeTeam], M$1)</f>
        <v>36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43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30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34</v>
      </c>
      <c r="V190" s="145">
        <f>SUMIFS(Table2[NewPointsAway],Table2[GameDate], "&lt;=" &amp; $A190, Table2[AwayTeam], V$1)+SUMIFS(Table2[NewPointsHome],Table2[GameDate], "&lt;=" &amp; $A190, Table2[HomeTeam], V$1)</f>
        <v>37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35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33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27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32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41</v>
      </c>
      <c r="C191" s="145">
        <f>SUMIFS(Table2[NewPointsAway],Table2[GameDate], "&lt;=" &amp; $A191, Table2[AwayTeam], C$1)+SUMIFS(Table2[NewPointsHome],Table2[GameDate], "&lt;=" &amp; $A191, Table2[HomeTeam], C$1)</f>
        <v>38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53</v>
      </c>
      <c r="J191" s="145">
        <f>SUMIFS(Table2[NewPointsAway],Table2[GameDate], "&lt;=" &amp; $A191, Table2[AwayTeam], J$1)+SUMIFS(Table2[NewPointsHome],Table2[GameDate], "&lt;=" &amp; $A191, Table2[HomeTeam], J$1)</f>
        <v>49</v>
      </c>
      <c r="K191" s="145">
        <f>SUMIFS(Table2[NewPointsAway],Table2[GameDate], "&lt;=" &amp; $A191, Table2[AwayTeam], K$1)+SUMIFS(Table2[NewPointsHome],Table2[GameDate], "&lt;=" &amp; $A191, Table2[HomeTeam], K$1)</f>
        <v>39</v>
      </c>
      <c r="L191" s="145">
        <f>SUMIFS(Table2[NewPointsAway],Table2[GameDate], "&lt;=" &amp; $A191, Table2[AwayTeam], L$1)+SUMIFS(Table2[NewPointsHome],Table2[GameDate], "&lt;=" &amp; $A191, Table2[HomeTeam], L$1)</f>
        <v>36</v>
      </c>
      <c r="M191" s="145">
        <f>SUMIFS(Table2[NewPointsAway],Table2[GameDate], "&lt;=" &amp; $A191, Table2[AwayTeam], M$1)+SUMIFS(Table2[NewPointsHome],Table2[GameDate], "&lt;=" &amp; $A191, Table2[HomeTeam], M$1)</f>
        <v>36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43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30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34</v>
      </c>
      <c r="V191" s="145">
        <f>SUMIFS(Table2[NewPointsAway],Table2[GameDate], "&lt;=" &amp; $A191, Table2[AwayTeam], V$1)+SUMIFS(Table2[NewPointsHome],Table2[GameDate], "&lt;=" &amp; $A191, Table2[HomeTeam], V$1)</f>
        <v>37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35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33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27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32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41</v>
      </c>
      <c r="C192" s="145">
        <f>SUMIFS(Table2[NewPointsAway],Table2[GameDate], "&lt;=" &amp; $A192, Table2[AwayTeam], C$1)+SUMIFS(Table2[NewPointsHome],Table2[GameDate], "&lt;=" &amp; $A192, Table2[HomeTeam], C$1)</f>
        <v>38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53</v>
      </c>
      <c r="J192" s="145">
        <f>SUMIFS(Table2[NewPointsAway],Table2[GameDate], "&lt;=" &amp; $A192, Table2[AwayTeam], J$1)+SUMIFS(Table2[NewPointsHome],Table2[GameDate], "&lt;=" &amp; $A192, Table2[HomeTeam], J$1)</f>
        <v>49</v>
      </c>
      <c r="K192" s="145">
        <f>SUMIFS(Table2[NewPointsAway],Table2[GameDate], "&lt;=" &amp; $A192, Table2[AwayTeam], K$1)+SUMIFS(Table2[NewPointsHome],Table2[GameDate], "&lt;=" &amp; $A192, Table2[HomeTeam], K$1)</f>
        <v>39</v>
      </c>
      <c r="L192" s="145">
        <f>SUMIFS(Table2[NewPointsAway],Table2[GameDate], "&lt;=" &amp; $A192, Table2[AwayTeam], L$1)+SUMIFS(Table2[NewPointsHome],Table2[GameDate], "&lt;=" &amp; $A192, Table2[HomeTeam], L$1)</f>
        <v>36</v>
      </c>
      <c r="M192" s="145">
        <f>SUMIFS(Table2[NewPointsAway],Table2[GameDate], "&lt;=" &amp; $A192, Table2[AwayTeam], M$1)+SUMIFS(Table2[NewPointsHome],Table2[GameDate], "&lt;=" &amp; $A192, Table2[HomeTeam], M$1)</f>
        <v>36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43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30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34</v>
      </c>
      <c r="V192" s="145">
        <f>SUMIFS(Table2[NewPointsAway],Table2[GameDate], "&lt;=" &amp; $A192, Table2[AwayTeam], V$1)+SUMIFS(Table2[NewPointsHome],Table2[GameDate], "&lt;=" &amp; $A192, Table2[HomeTeam], V$1)</f>
        <v>37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35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33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27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32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41</v>
      </c>
      <c r="C193" s="145">
        <f>SUMIFS(Table2[NewPointsAway],Table2[GameDate], "&lt;=" &amp; $A193, Table2[AwayTeam], C$1)+SUMIFS(Table2[NewPointsHome],Table2[GameDate], "&lt;=" &amp; $A193, Table2[HomeTeam], C$1)</f>
        <v>38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53</v>
      </c>
      <c r="J193" s="145">
        <f>SUMIFS(Table2[NewPointsAway],Table2[GameDate], "&lt;=" &amp; $A193, Table2[AwayTeam], J$1)+SUMIFS(Table2[NewPointsHome],Table2[GameDate], "&lt;=" &amp; $A193, Table2[HomeTeam], J$1)</f>
        <v>49</v>
      </c>
      <c r="K193" s="145">
        <f>SUMIFS(Table2[NewPointsAway],Table2[GameDate], "&lt;=" &amp; $A193, Table2[AwayTeam], K$1)+SUMIFS(Table2[NewPointsHome],Table2[GameDate], "&lt;=" &amp; $A193, Table2[HomeTeam], K$1)</f>
        <v>39</v>
      </c>
      <c r="L193" s="145">
        <f>SUMIFS(Table2[NewPointsAway],Table2[GameDate], "&lt;=" &amp; $A193, Table2[AwayTeam], L$1)+SUMIFS(Table2[NewPointsHome],Table2[GameDate], "&lt;=" &amp; $A193, Table2[HomeTeam], L$1)</f>
        <v>36</v>
      </c>
      <c r="M193" s="145">
        <f>SUMIFS(Table2[NewPointsAway],Table2[GameDate], "&lt;=" &amp; $A193, Table2[AwayTeam], M$1)+SUMIFS(Table2[NewPointsHome],Table2[GameDate], "&lt;=" &amp; $A193, Table2[HomeTeam], M$1)</f>
        <v>36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43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30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34</v>
      </c>
      <c r="V193" s="145">
        <f>SUMIFS(Table2[NewPointsAway],Table2[GameDate], "&lt;=" &amp; $A193, Table2[AwayTeam], V$1)+SUMIFS(Table2[NewPointsHome],Table2[GameDate], "&lt;=" &amp; $A193, Table2[HomeTeam], V$1)</f>
        <v>37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35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33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27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32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41</v>
      </c>
      <c r="C194" s="145">
        <f>SUMIFS(Table2[NewPointsAway],Table2[GameDate], "&lt;=" &amp; $A194, Table2[AwayTeam], C$1)+SUMIFS(Table2[NewPointsHome],Table2[GameDate], "&lt;=" &amp; $A194, Table2[HomeTeam], C$1)</f>
        <v>38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53</v>
      </c>
      <c r="J194" s="145">
        <f>SUMIFS(Table2[NewPointsAway],Table2[GameDate], "&lt;=" &amp; $A194, Table2[AwayTeam], J$1)+SUMIFS(Table2[NewPointsHome],Table2[GameDate], "&lt;=" &amp; $A194, Table2[HomeTeam], J$1)</f>
        <v>49</v>
      </c>
      <c r="K194" s="145">
        <f>SUMIFS(Table2[NewPointsAway],Table2[GameDate], "&lt;=" &amp; $A194, Table2[AwayTeam], K$1)+SUMIFS(Table2[NewPointsHome],Table2[GameDate], "&lt;=" &amp; $A194, Table2[HomeTeam], K$1)</f>
        <v>39</v>
      </c>
      <c r="L194" s="145">
        <f>SUMIFS(Table2[NewPointsAway],Table2[GameDate], "&lt;=" &amp; $A194, Table2[AwayTeam], L$1)+SUMIFS(Table2[NewPointsHome],Table2[GameDate], "&lt;=" &amp; $A194, Table2[HomeTeam], L$1)</f>
        <v>36</v>
      </c>
      <c r="M194" s="145">
        <f>SUMIFS(Table2[NewPointsAway],Table2[GameDate], "&lt;=" &amp; $A194, Table2[AwayTeam], M$1)+SUMIFS(Table2[NewPointsHome],Table2[GameDate], "&lt;=" &amp; $A194, Table2[HomeTeam], M$1)</f>
        <v>36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43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30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34</v>
      </c>
      <c r="V194" s="145">
        <f>SUMIFS(Table2[NewPointsAway],Table2[GameDate], "&lt;=" &amp; $A194, Table2[AwayTeam], V$1)+SUMIFS(Table2[NewPointsHome],Table2[GameDate], "&lt;=" &amp; $A194, Table2[HomeTeam], V$1)</f>
        <v>37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35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33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27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32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41</v>
      </c>
      <c r="C195" s="145">
        <f>SUMIFS(Table2[NewPointsAway],Table2[GameDate], "&lt;=" &amp; $A195, Table2[AwayTeam], C$1)+SUMIFS(Table2[NewPointsHome],Table2[GameDate], "&lt;=" &amp; $A195, Table2[HomeTeam], C$1)</f>
        <v>38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53</v>
      </c>
      <c r="J195" s="145">
        <f>SUMIFS(Table2[NewPointsAway],Table2[GameDate], "&lt;=" &amp; $A195, Table2[AwayTeam], J$1)+SUMIFS(Table2[NewPointsHome],Table2[GameDate], "&lt;=" &amp; $A195, Table2[HomeTeam], J$1)</f>
        <v>49</v>
      </c>
      <c r="K195" s="145">
        <f>SUMIFS(Table2[NewPointsAway],Table2[GameDate], "&lt;=" &amp; $A195, Table2[AwayTeam], K$1)+SUMIFS(Table2[NewPointsHome],Table2[GameDate], "&lt;=" &amp; $A195, Table2[HomeTeam], K$1)</f>
        <v>39</v>
      </c>
      <c r="L195" s="145">
        <f>SUMIFS(Table2[NewPointsAway],Table2[GameDate], "&lt;=" &amp; $A195, Table2[AwayTeam], L$1)+SUMIFS(Table2[NewPointsHome],Table2[GameDate], "&lt;=" &amp; $A195, Table2[HomeTeam], L$1)</f>
        <v>36</v>
      </c>
      <c r="M195" s="145">
        <f>SUMIFS(Table2[NewPointsAway],Table2[GameDate], "&lt;=" &amp; $A195, Table2[AwayTeam], M$1)+SUMIFS(Table2[NewPointsHome],Table2[GameDate], "&lt;=" &amp; $A195, Table2[HomeTeam], M$1)</f>
        <v>36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43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30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34</v>
      </c>
      <c r="V195" s="145">
        <f>SUMIFS(Table2[NewPointsAway],Table2[GameDate], "&lt;=" &amp; $A195, Table2[AwayTeam], V$1)+SUMIFS(Table2[NewPointsHome],Table2[GameDate], "&lt;=" &amp; $A195, Table2[HomeTeam], V$1)</f>
        <v>37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35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33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27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32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41</v>
      </c>
      <c r="C196" s="145">
        <f>SUMIFS(Table2[NewPointsAway],Table2[GameDate], "&lt;=" &amp; $A196, Table2[AwayTeam], C$1)+SUMIFS(Table2[NewPointsHome],Table2[GameDate], "&lt;=" &amp; $A196, Table2[HomeTeam], C$1)</f>
        <v>38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53</v>
      </c>
      <c r="J196" s="145">
        <f>SUMIFS(Table2[NewPointsAway],Table2[GameDate], "&lt;=" &amp; $A196, Table2[AwayTeam], J$1)+SUMIFS(Table2[NewPointsHome],Table2[GameDate], "&lt;=" &amp; $A196, Table2[HomeTeam], J$1)</f>
        <v>49</v>
      </c>
      <c r="K196" s="145">
        <f>SUMIFS(Table2[NewPointsAway],Table2[GameDate], "&lt;=" &amp; $A196, Table2[AwayTeam], K$1)+SUMIFS(Table2[NewPointsHome],Table2[GameDate], "&lt;=" &amp; $A196, Table2[HomeTeam], K$1)</f>
        <v>39</v>
      </c>
      <c r="L196" s="145">
        <f>SUMIFS(Table2[NewPointsAway],Table2[GameDate], "&lt;=" &amp; $A196, Table2[AwayTeam], L$1)+SUMIFS(Table2[NewPointsHome],Table2[GameDate], "&lt;=" &amp; $A196, Table2[HomeTeam], L$1)</f>
        <v>36</v>
      </c>
      <c r="M196" s="145">
        <f>SUMIFS(Table2[NewPointsAway],Table2[GameDate], "&lt;=" &amp; $A196, Table2[AwayTeam], M$1)+SUMIFS(Table2[NewPointsHome],Table2[GameDate], "&lt;=" &amp; $A196, Table2[HomeTeam], M$1)</f>
        <v>36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43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30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34</v>
      </c>
      <c r="V196" s="145">
        <f>SUMIFS(Table2[NewPointsAway],Table2[GameDate], "&lt;=" &amp; $A196, Table2[AwayTeam], V$1)+SUMIFS(Table2[NewPointsHome],Table2[GameDate], "&lt;=" &amp; $A196, Table2[HomeTeam], V$1)</f>
        <v>37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35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33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27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32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41</v>
      </c>
      <c r="C197" s="145">
        <f>SUMIFS(Table2[NewPointsAway],Table2[GameDate], "&lt;=" &amp; $A197, Table2[AwayTeam], C$1)+SUMIFS(Table2[NewPointsHome],Table2[GameDate], "&lt;=" &amp; $A197, Table2[HomeTeam], C$1)</f>
        <v>38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53</v>
      </c>
      <c r="J197" s="145">
        <f>SUMIFS(Table2[NewPointsAway],Table2[GameDate], "&lt;=" &amp; $A197, Table2[AwayTeam], J$1)+SUMIFS(Table2[NewPointsHome],Table2[GameDate], "&lt;=" &amp; $A197, Table2[HomeTeam], J$1)</f>
        <v>49</v>
      </c>
      <c r="K197" s="145">
        <f>SUMIFS(Table2[NewPointsAway],Table2[GameDate], "&lt;=" &amp; $A197, Table2[AwayTeam], K$1)+SUMIFS(Table2[NewPointsHome],Table2[GameDate], "&lt;=" &amp; $A197, Table2[HomeTeam], K$1)</f>
        <v>39</v>
      </c>
      <c r="L197" s="145">
        <f>SUMIFS(Table2[NewPointsAway],Table2[GameDate], "&lt;=" &amp; $A197, Table2[AwayTeam], L$1)+SUMIFS(Table2[NewPointsHome],Table2[GameDate], "&lt;=" &amp; $A197, Table2[HomeTeam], L$1)</f>
        <v>36</v>
      </c>
      <c r="M197" s="145">
        <f>SUMIFS(Table2[NewPointsAway],Table2[GameDate], "&lt;=" &amp; $A197, Table2[AwayTeam], M$1)+SUMIFS(Table2[NewPointsHome],Table2[GameDate], "&lt;=" &amp; $A197, Table2[HomeTeam], M$1)</f>
        <v>36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43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30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34</v>
      </c>
      <c r="V197" s="145">
        <f>SUMIFS(Table2[NewPointsAway],Table2[GameDate], "&lt;=" &amp; $A197, Table2[AwayTeam], V$1)+SUMIFS(Table2[NewPointsHome],Table2[GameDate], "&lt;=" &amp; $A197, Table2[HomeTeam], V$1)</f>
        <v>37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35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33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27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32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41</v>
      </c>
      <c r="C198" s="145">
        <f>SUMIFS(Table2[NewPointsAway],Table2[GameDate], "&lt;=" &amp; $A198, Table2[AwayTeam], C$1)+SUMIFS(Table2[NewPointsHome],Table2[GameDate], "&lt;=" &amp; $A198, Table2[HomeTeam], C$1)</f>
        <v>38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53</v>
      </c>
      <c r="J198" s="145">
        <f>SUMIFS(Table2[NewPointsAway],Table2[GameDate], "&lt;=" &amp; $A198, Table2[AwayTeam], J$1)+SUMIFS(Table2[NewPointsHome],Table2[GameDate], "&lt;=" &amp; $A198, Table2[HomeTeam], J$1)</f>
        <v>49</v>
      </c>
      <c r="K198" s="145">
        <f>SUMIFS(Table2[NewPointsAway],Table2[GameDate], "&lt;=" &amp; $A198, Table2[AwayTeam], K$1)+SUMIFS(Table2[NewPointsHome],Table2[GameDate], "&lt;=" &amp; $A198, Table2[HomeTeam], K$1)</f>
        <v>39</v>
      </c>
      <c r="L198" s="145">
        <f>SUMIFS(Table2[NewPointsAway],Table2[GameDate], "&lt;=" &amp; $A198, Table2[AwayTeam], L$1)+SUMIFS(Table2[NewPointsHome],Table2[GameDate], "&lt;=" &amp; $A198, Table2[HomeTeam], L$1)</f>
        <v>36</v>
      </c>
      <c r="M198" s="145">
        <f>SUMIFS(Table2[NewPointsAway],Table2[GameDate], "&lt;=" &amp; $A198, Table2[AwayTeam], M$1)+SUMIFS(Table2[NewPointsHome],Table2[GameDate], "&lt;=" &amp; $A198, Table2[HomeTeam], M$1)</f>
        <v>36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43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30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34</v>
      </c>
      <c r="V198" s="145">
        <f>SUMIFS(Table2[NewPointsAway],Table2[GameDate], "&lt;=" &amp; $A198, Table2[AwayTeam], V$1)+SUMIFS(Table2[NewPointsHome],Table2[GameDate], "&lt;=" &amp; $A198, Table2[HomeTeam], V$1)</f>
        <v>37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35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33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27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32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41</v>
      </c>
      <c r="C199" s="145">
        <f>SUMIFS(Table2[NewPointsAway],Table2[GameDate], "&lt;=" &amp; $A199, Table2[AwayTeam], C$1)+SUMIFS(Table2[NewPointsHome],Table2[GameDate], "&lt;=" &amp; $A199, Table2[HomeTeam], C$1)</f>
        <v>38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53</v>
      </c>
      <c r="J199" s="145">
        <f>SUMIFS(Table2[NewPointsAway],Table2[GameDate], "&lt;=" &amp; $A199, Table2[AwayTeam], J$1)+SUMIFS(Table2[NewPointsHome],Table2[GameDate], "&lt;=" &amp; $A199, Table2[HomeTeam], J$1)</f>
        <v>49</v>
      </c>
      <c r="K199" s="145">
        <f>SUMIFS(Table2[NewPointsAway],Table2[GameDate], "&lt;=" &amp; $A199, Table2[AwayTeam], K$1)+SUMIFS(Table2[NewPointsHome],Table2[GameDate], "&lt;=" &amp; $A199, Table2[HomeTeam], K$1)</f>
        <v>39</v>
      </c>
      <c r="L199" s="145">
        <f>SUMIFS(Table2[NewPointsAway],Table2[GameDate], "&lt;=" &amp; $A199, Table2[AwayTeam], L$1)+SUMIFS(Table2[NewPointsHome],Table2[GameDate], "&lt;=" &amp; $A199, Table2[HomeTeam], L$1)</f>
        <v>36</v>
      </c>
      <c r="M199" s="145">
        <f>SUMIFS(Table2[NewPointsAway],Table2[GameDate], "&lt;=" &amp; $A199, Table2[AwayTeam], M$1)+SUMIFS(Table2[NewPointsHome],Table2[GameDate], "&lt;=" &amp; $A199, Table2[HomeTeam], M$1)</f>
        <v>36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43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30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34</v>
      </c>
      <c r="V199" s="145">
        <f>SUMIFS(Table2[NewPointsAway],Table2[GameDate], "&lt;=" &amp; $A199, Table2[AwayTeam], V$1)+SUMIFS(Table2[NewPointsHome],Table2[GameDate], "&lt;=" &amp; $A199, Table2[HomeTeam], V$1)</f>
        <v>37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35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33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27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32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41</v>
      </c>
      <c r="C200" s="145">
        <f>SUMIFS(Table2[NewPointsAway],Table2[GameDate], "&lt;=" &amp; $A200, Table2[AwayTeam], C$1)+SUMIFS(Table2[NewPointsHome],Table2[GameDate], "&lt;=" &amp; $A200, Table2[HomeTeam], C$1)</f>
        <v>38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53</v>
      </c>
      <c r="J200" s="145">
        <f>SUMIFS(Table2[NewPointsAway],Table2[GameDate], "&lt;=" &amp; $A200, Table2[AwayTeam], J$1)+SUMIFS(Table2[NewPointsHome],Table2[GameDate], "&lt;=" &amp; $A200, Table2[HomeTeam], J$1)</f>
        <v>49</v>
      </c>
      <c r="K200" s="145">
        <f>SUMIFS(Table2[NewPointsAway],Table2[GameDate], "&lt;=" &amp; $A200, Table2[AwayTeam], K$1)+SUMIFS(Table2[NewPointsHome],Table2[GameDate], "&lt;=" &amp; $A200, Table2[HomeTeam], K$1)</f>
        <v>39</v>
      </c>
      <c r="L200" s="145">
        <f>SUMIFS(Table2[NewPointsAway],Table2[GameDate], "&lt;=" &amp; $A200, Table2[AwayTeam], L$1)+SUMIFS(Table2[NewPointsHome],Table2[GameDate], "&lt;=" &amp; $A200, Table2[HomeTeam], L$1)</f>
        <v>36</v>
      </c>
      <c r="M200" s="145">
        <f>SUMIFS(Table2[NewPointsAway],Table2[GameDate], "&lt;=" &amp; $A200, Table2[AwayTeam], M$1)+SUMIFS(Table2[NewPointsHome],Table2[GameDate], "&lt;=" &amp; $A200, Table2[HomeTeam], M$1)</f>
        <v>36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43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30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34</v>
      </c>
      <c r="V200" s="145">
        <f>SUMIFS(Table2[NewPointsAway],Table2[GameDate], "&lt;=" &amp; $A200, Table2[AwayTeam], V$1)+SUMIFS(Table2[NewPointsHome],Table2[GameDate], "&lt;=" &amp; $A200, Table2[HomeTeam], V$1)</f>
        <v>37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35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33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27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32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41</v>
      </c>
      <c r="C201" s="145">
        <f>SUMIFS(Table2[NewPointsAway],Table2[GameDate], "&lt;=" &amp; $A201, Table2[AwayTeam], C$1)+SUMIFS(Table2[NewPointsHome],Table2[GameDate], "&lt;=" &amp; $A201, Table2[HomeTeam], C$1)</f>
        <v>38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53</v>
      </c>
      <c r="J201" s="145">
        <f>SUMIFS(Table2[NewPointsAway],Table2[GameDate], "&lt;=" &amp; $A201, Table2[AwayTeam], J$1)+SUMIFS(Table2[NewPointsHome],Table2[GameDate], "&lt;=" &amp; $A201, Table2[HomeTeam], J$1)</f>
        <v>49</v>
      </c>
      <c r="K201" s="145">
        <f>SUMIFS(Table2[NewPointsAway],Table2[GameDate], "&lt;=" &amp; $A201, Table2[AwayTeam], K$1)+SUMIFS(Table2[NewPointsHome],Table2[GameDate], "&lt;=" &amp; $A201, Table2[HomeTeam], K$1)</f>
        <v>39</v>
      </c>
      <c r="L201" s="145">
        <f>SUMIFS(Table2[NewPointsAway],Table2[GameDate], "&lt;=" &amp; $A201, Table2[AwayTeam], L$1)+SUMIFS(Table2[NewPointsHome],Table2[GameDate], "&lt;=" &amp; $A201, Table2[HomeTeam], L$1)</f>
        <v>36</v>
      </c>
      <c r="M201" s="145">
        <f>SUMIFS(Table2[NewPointsAway],Table2[GameDate], "&lt;=" &amp; $A201, Table2[AwayTeam], M$1)+SUMIFS(Table2[NewPointsHome],Table2[GameDate], "&lt;=" &amp; $A201, Table2[HomeTeam], M$1)</f>
        <v>36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43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30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34</v>
      </c>
      <c r="V201" s="145">
        <f>SUMIFS(Table2[NewPointsAway],Table2[GameDate], "&lt;=" &amp; $A201, Table2[AwayTeam], V$1)+SUMIFS(Table2[NewPointsHome],Table2[GameDate], "&lt;=" &amp; $A201, Table2[HomeTeam], V$1)</f>
        <v>37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35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33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27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32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CC29" sqref="CC2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43</v>
      </c>
      <c r="B4" t="s">
        <v>91</v>
      </c>
      <c r="C4" s="106" t="s">
        <v>92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8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12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12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13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13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17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17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17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17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18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18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30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32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32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37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37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40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40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40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40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40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40</v>
      </c>
    </row>
    <row r="5" spans="1:275" x14ac:dyDescent="0.25">
      <c r="A5" t="s">
        <v>40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0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0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3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3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3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4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4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4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4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6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12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16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16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20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20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30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30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39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39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39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39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39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39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39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39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39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39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39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39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39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39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39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39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39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39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39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39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39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39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39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39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39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39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39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39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39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39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39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39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39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39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39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39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39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39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39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39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39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39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39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39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39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39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39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39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39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39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39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39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39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39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39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39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39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39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39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39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39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39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39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39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39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39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39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39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39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39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39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39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39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39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39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39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39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39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39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39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39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39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39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39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39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39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39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39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39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39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39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39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39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39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39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39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39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39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39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39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39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39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39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39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39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39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39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39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39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39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39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39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39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39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39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39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39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39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39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39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39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39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39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39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39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39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39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39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39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31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31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33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33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37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37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37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39</v>
      </c>
    </row>
    <row r="7" spans="1:275" x14ac:dyDescent="0.25">
      <c r="A7" t="s">
        <v>15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6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6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6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6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8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16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16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18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18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20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20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20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22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22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26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30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30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30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32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32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38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38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38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38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38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38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38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38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38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38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38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38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38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38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38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38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38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38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38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38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38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38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38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38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38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38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38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38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38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38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38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38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38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38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38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38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38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38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38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38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38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38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38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38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38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38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38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38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38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38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38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38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38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38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38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38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38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38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38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38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38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38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38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38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38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38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38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38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38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38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38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38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38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38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38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38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38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38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38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38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38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38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38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38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38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38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38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38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38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38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38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38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38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38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38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38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38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38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38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38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38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38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38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38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38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38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38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38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38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38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38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38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38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38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38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38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38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38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38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38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38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38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38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38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38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38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38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38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38</v>
      </c>
    </row>
    <row r="8" spans="1:275" x14ac:dyDescent="0.25">
      <c r="A8" t="s">
        <v>18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4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4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4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8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8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8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8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10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10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12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12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12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14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14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14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16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16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16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16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18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18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18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19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19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20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20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22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22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22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22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22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22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22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22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22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25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25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29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29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29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29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29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31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31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31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38</v>
      </c>
    </row>
    <row r="9" spans="1:275" x14ac:dyDescent="0.25">
      <c r="A9" t="s">
        <v>31</v>
      </c>
      <c r="B9" t="s">
        <v>91</v>
      </c>
      <c r="C9" s="106" t="s">
        <v>92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8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14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16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16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18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18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25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25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25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27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27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27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27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27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27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27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27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27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29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29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31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31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33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33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33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33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33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37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37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37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37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37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37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37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37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37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37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37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37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37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37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37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37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37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37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37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37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37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37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37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37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37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37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37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37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37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37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37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37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37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37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37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37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37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37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37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37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37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37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37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37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37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37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37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37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37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37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37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37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37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37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37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37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37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37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37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37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37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37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37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37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37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37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37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37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37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37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37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37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37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37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37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37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37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37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37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37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37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37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37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37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37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37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37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37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37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37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37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37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37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37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37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37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37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37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37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37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37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37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37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37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37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37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37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37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37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37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37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37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37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37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37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37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37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37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37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37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37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37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37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37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37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37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37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37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37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21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21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21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21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21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21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22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22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24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24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24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24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25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25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25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25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29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29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29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31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31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42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1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1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3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3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3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3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3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5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5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7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7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7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7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7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9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9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9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11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11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13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13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15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15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17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17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19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19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20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20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20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20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20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20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24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24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24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24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26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26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30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30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30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36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33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33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33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33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33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33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33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33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33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33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33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33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33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33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33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33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33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33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33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33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33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33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33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33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33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33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33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33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33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33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33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33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33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33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33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33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33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33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33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33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33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33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33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33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33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33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33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33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33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33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33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33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33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33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33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33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33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33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33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33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33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33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33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33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33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33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33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33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33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33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33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33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33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33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33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33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33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33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33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33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33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33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33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33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33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33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33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33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33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33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33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33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33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33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33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33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33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33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33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33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33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33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33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33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33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33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33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33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33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33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33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33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33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33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33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33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33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33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33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33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33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33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33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33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33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33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53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53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53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53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53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53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53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53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53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53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53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53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53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53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53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53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53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53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53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53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53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53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53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53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53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53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53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53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53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53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53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53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53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53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53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53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53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53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53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53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53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53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53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53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53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53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53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53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53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53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53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53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53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53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53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53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53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53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53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53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53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53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53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53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53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53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53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53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53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53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53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53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53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53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53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53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53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53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53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53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53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53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53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53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53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53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53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53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53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53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53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53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53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53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53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53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53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53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53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53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53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53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53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53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53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53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53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53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53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53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53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53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53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53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53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53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53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53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53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53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53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53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53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53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53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53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43</v>
      </c>
    </row>
    <row r="21" spans="1:203" x14ac:dyDescent="0.25">
      <c r="A21" t="s">
        <v>26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1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3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3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8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8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10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10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12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12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12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13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13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15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15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15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15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17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18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19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19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26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26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27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27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28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28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28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30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30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30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36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36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41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41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41</v>
      </c>
    </row>
    <row r="22" spans="1:203" x14ac:dyDescent="0.25">
      <c r="A22" t="s">
        <v>44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4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5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9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9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9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9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9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11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11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11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13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19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19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21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23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23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25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25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27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27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27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29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29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29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29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29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29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31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31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31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35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35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39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39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39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39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41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41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41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41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41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41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41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41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41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41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41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41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41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41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41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41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41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41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41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41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41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41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41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41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41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41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41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41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41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41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41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41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41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41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41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41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41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41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41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41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41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41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41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41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41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41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41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41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41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41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41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41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41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41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41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41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41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41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41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41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41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41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41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41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41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41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41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41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41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41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41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41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41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41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41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41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41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41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41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41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41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41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41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41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41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41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41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41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41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41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41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41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41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41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41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41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41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41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41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41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41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41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41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41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41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41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41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41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41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41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41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41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41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41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41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41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41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41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41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41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41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41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41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41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41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41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41</v>
      </c>
    </row>
    <row r="23" spans="1:203" x14ac:dyDescent="0.25">
      <c r="A23" t="s">
        <v>27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2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3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3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3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4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4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4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11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11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13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13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14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14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14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14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14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24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24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24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25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26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26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26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29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31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31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31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31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31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31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31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35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35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37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37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37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37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37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37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37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37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37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37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37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37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37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37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37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37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37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37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37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37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37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37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37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37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37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37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37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37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37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37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37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37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37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37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37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37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37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37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37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37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37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37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37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37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37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37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37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37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37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37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37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37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37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37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37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37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37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37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37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37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37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37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37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37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37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37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37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37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37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37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37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37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37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37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37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37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37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37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37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37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37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37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37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37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37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37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37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37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37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37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37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37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37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37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37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37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37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37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37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37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37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37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37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37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37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37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37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37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37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37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37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37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37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37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37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37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37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37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37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37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37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37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37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37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37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37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37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37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37</v>
      </c>
    </row>
    <row r="24" spans="1:203" x14ac:dyDescent="0.25">
      <c r="A24" t="s">
        <v>22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1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1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1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3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3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5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5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5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5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5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9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9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10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10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12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12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13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13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15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15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15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16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18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22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22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23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23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29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32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32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34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34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36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35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35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35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35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35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35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35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35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35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35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35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35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35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35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35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35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35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35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35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35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35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35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35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35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35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35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35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35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35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35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35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35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35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35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35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35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35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35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35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35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35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35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35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35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35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35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35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35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35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35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35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35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35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35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35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35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35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35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35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35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35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35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35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35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35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35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35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35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35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35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35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35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35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35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35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35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35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35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35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35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35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35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35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35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35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35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35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35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35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35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35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35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35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35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35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35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35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35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35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35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35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35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35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35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35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35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35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35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35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35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35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35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35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35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35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35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35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35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35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35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35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35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35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35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35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35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30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30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30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30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30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30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30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30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30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30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30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30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30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30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30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30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30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30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30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30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30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30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30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30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30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30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30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30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30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30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30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30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30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30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30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30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30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30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30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30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30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30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30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30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30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30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30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30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30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30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30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30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30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30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30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30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30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30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30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30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30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30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30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30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30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30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30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30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30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30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30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30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30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30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30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30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30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30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30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30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30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30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30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30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30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30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30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30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30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30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30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30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30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30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30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30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30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30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30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30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30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30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30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30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30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30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30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30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30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30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30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30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30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30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30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30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30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30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30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30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30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30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30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30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30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30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30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27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27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27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27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27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27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27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27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27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27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27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27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27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27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27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27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27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27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27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27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27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27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27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27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27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27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27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27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27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27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27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27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27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27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27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27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27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27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27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27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27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27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27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27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27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27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27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27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27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27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27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27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27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27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27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27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27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27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27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27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27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27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27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27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27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27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27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27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27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27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27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27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27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27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27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27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27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27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27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27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27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27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27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27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27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27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27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27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27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27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27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27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27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27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27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27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27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27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27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27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27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27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27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27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27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27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27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27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27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27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27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27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27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27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27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27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27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27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27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27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27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27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27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27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27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27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36.75</v>
      </c>
      <c r="BZ34">
        <f>SUBTOTAL(101,Table4[2025-12-16])</f>
        <v>36.75</v>
      </c>
      <c r="CA34">
        <f>SUBTOTAL(101,Table4[2025-12-17])</f>
        <v>36.75</v>
      </c>
      <c r="CB34">
        <f>SUBTOTAL(101,Table4[2025-12-18])</f>
        <v>36.75</v>
      </c>
      <c r="CC34">
        <f>SUBTOTAL(101,Table4[2025-12-19])</f>
        <v>36.75</v>
      </c>
      <c r="CD34">
        <f>SUBTOTAL(101,Table4[2025-12-20])</f>
        <v>36.75</v>
      </c>
      <c r="CE34">
        <f>SUBTOTAL(101,Table4[2025-12-21])</f>
        <v>36.75</v>
      </c>
      <c r="CF34">
        <f>SUBTOTAL(101,Table4[2025-12-22])</f>
        <v>36.75</v>
      </c>
      <c r="CG34">
        <f>SUBTOTAL(101,Table4[2025-12-23])</f>
        <v>36.75</v>
      </c>
      <c r="CH34">
        <f>SUBTOTAL(101,Table4[2025-12-24])</f>
        <v>36.75</v>
      </c>
      <c r="CI34">
        <f>SUBTOTAL(101,Table4[2025-12-25])</f>
        <v>36.75</v>
      </c>
      <c r="CJ34">
        <f>SUBTOTAL(101,Table4[2025-12-26])</f>
        <v>36.75</v>
      </c>
      <c r="CK34">
        <f>SUBTOTAL(101,Table4[2025-12-27])</f>
        <v>36.75</v>
      </c>
      <c r="CL34">
        <f>SUBTOTAL(101,Table4[2025-12-28])</f>
        <v>36.75</v>
      </c>
      <c r="CM34">
        <f>SUBTOTAL(101,Table4[2025-12-29])</f>
        <v>36.75</v>
      </c>
      <c r="CN34">
        <f>SUBTOTAL(101,Table4[2025-12-30])</f>
        <v>36.75</v>
      </c>
      <c r="CO34">
        <f>SUBTOTAL(101,Table4[2025-12-31])</f>
        <v>36.75</v>
      </c>
      <c r="CP34">
        <f>SUBTOTAL(101,Table4[2026-01-01])</f>
        <v>36.75</v>
      </c>
      <c r="CQ34">
        <f>SUBTOTAL(101,Table4[2026-01-02])</f>
        <v>36.75</v>
      </c>
      <c r="CR34">
        <f>SUBTOTAL(101,Table4[2026-01-03])</f>
        <v>36.75</v>
      </c>
      <c r="CS34">
        <f>SUBTOTAL(101,Table4[2026-01-04])</f>
        <v>36.75</v>
      </c>
      <c r="CT34">
        <f>SUBTOTAL(101,Table4[2026-01-05])</f>
        <v>36.75</v>
      </c>
      <c r="CU34">
        <f>SUBTOTAL(101,Table4[2026-01-06])</f>
        <v>36.75</v>
      </c>
      <c r="CV34">
        <f>SUBTOTAL(101,Table4[2026-01-07])</f>
        <v>36.75</v>
      </c>
      <c r="CW34">
        <f>SUBTOTAL(101,Table4[2026-01-08])</f>
        <v>36.75</v>
      </c>
      <c r="CX34">
        <f>SUBTOTAL(101,Table4[2026-01-09])</f>
        <v>36.75</v>
      </c>
      <c r="CY34">
        <f>SUBTOTAL(101,Table4[2026-01-10])</f>
        <v>36.75</v>
      </c>
      <c r="CZ34">
        <f>SUBTOTAL(101,Table4[2026-01-11])</f>
        <v>36.75</v>
      </c>
      <c r="DA34">
        <f>SUBTOTAL(101,Table4[2026-01-12])</f>
        <v>36.75</v>
      </c>
      <c r="DB34">
        <f>SUBTOTAL(101,Table4[2026-01-13])</f>
        <v>36.75</v>
      </c>
      <c r="DC34">
        <f>SUBTOTAL(101,Table4[2026-01-14])</f>
        <v>36.75</v>
      </c>
      <c r="DD34">
        <f>SUBTOTAL(101,Table4[2026-01-15])</f>
        <v>36.75</v>
      </c>
      <c r="DE34">
        <f>SUBTOTAL(101,Table4[2026-01-16])</f>
        <v>36.75</v>
      </c>
      <c r="DF34">
        <f>SUBTOTAL(101,Table4[2026-01-17])</f>
        <v>36.75</v>
      </c>
      <c r="DG34">
        <f>SUBTOTAL(101,Table4[2026-01-18])</f>
        <v>36.75</v>
      </c>
      <c r="DH34">
        <f>SUBTOTAL(101,Table4[2026-01-19])</f>
        <v>36.75</v>
      </c>
      <c r="DI34">
        <f>SUBTOTAL(101,Table4[2026-01-20])</f>
        <v>36.75</v>
      </c>
      <c r="DJ34">
        <f>SUBTOTAL(101,Table4[2026-01-21])</f>
        <v>36.75</v>
      </c>
      <c r="DK34">
        <f>SUBTOTAL(101,Table4[2026-01-22])</f>
        <v>36.75</v>
      </c>
      <c r="DL34">
        <f>SUBTOTAL(101,Table4[2026-01-23])</f>
        <v>36.75</v>
      </c>
      <c r="DM34">
        <f>SUBTOTAL(101,Table4[2026-01-24])</f>
        <v>36.75</v>
      </c>
      <c r="DN34">
        <f>SUBTOTAL(101,Table4[2026-01-25])</f>
        <v>36.75</v>
      </c>
      <c r="DO34">
        <f>SUBTOTAL(101,Table4[2026-01-26])</f>
        <v>36.75</v>
      </c>
      <c r="DP34">
        <f>SUBTOTAL(101,Table4[2026-01-27])</f>
        <v>36.75</v>
      </c>
      <c r="DQ34">
        <f>SUBTOTAL(101,Table4[2026-01-28])</f>
        <v>36.75</v>
      </c>
      <c r="DR34">
        <f>SUBTOTAL(101,Table4[2026-01-29])</f>
        <v>36.75</v>
      </c>
      <c r="DS34">
        <f>SUBTOTAL(101,Table4[2026-01-30])</f>
        <v>36.75</v>
      </c>
      <c r="DT34">
        <f>SUBTOTAL(101,Table4[2026-01-31])</f>
        <v>36.75</v>
      </c>
      <c r="DU34">
        <f>SUBTOTAL(101,Table4[2026-02-01])</f>
        <v>36.75</v>
      </c>
      <c r="DV34">
        <f>SUBTOTAL(101,Table4[2026-02-02])</f>
        <v>36.75</v>
      </c>
      <c r="DW34">
        <f>SUBTOTAL(101,Table4[2026-02-03])</f>
        <v>36.75</v>
      </c>
      <c r="DX34">
        <f>SUBTOTAL(101,Table4[2026-02-04])</f>
        <v>36.75</v>
      </c>
      <c r="DY34">
        <f>SUBTOTAL(101,Table4[2026-02-05])</f>
        <v>36.75</v>
      </c>
      <c r="DZ34">
        <f>SUBTOTAL(101,Table4[2026-02-06])</f>
        <v>36.75</v>
      </c>
      <c r="EA34">
        <f>SUBTOTAL(101,Table4[2026-02-07])</f>
        <v>36.75</v>
      </c>
      <c r="EB34">
        <f>SUBTOTAL(101,Table4[2026-02-08])</f>
        <v>36.75</v>
      </c>
      <c r="EC34">
        <f>SUBTOTAL(101,Table4[2026-02-09])</f>
        <v>36.75</v>
      </c>
      <c r="ED34">
        <f>SUBTOTAL(101,Table4[2026-02-10])</f>
        <v>36.75</v>
      </c>
      <c r="EE34">
        <f>SUBTOTAL(101,Table4[2026-02-11])</f>
        <v>36.75</v>
      </c>
      <c r="EF34">
        <f>SUBTOTAL(101,Table4[2026-02-12])</f>
        <v>36.75</v>
      </c>
      <c r="EG34">
        <f>SUBTOTAL(101,Table4[2026-02-13])</f>
        <v>36.75</v>
      </c>
      <c r="EH34">
        <f>SUBTOTAL(101,Table4[2026-02-14])</f>
        <v>36.75</v>
      </c>
      <c r="EI34">
        <f>SUBTOTAL(101,Table4[2026-02-15])</f>
        <v>36.75</v>
      </c>
      <c r="EJ34">
        <f>SUBTOTAL(101,Table4[2026-02-16])</f>
        <v>36.75</v>
      </c>
      <c r="EK34">
        <f>SUBTOTAL(101,Table4[2026-02-17])</f>
        <v>36.75</v>
      </c>
      <c r="EL34">
        <f>SUBTOTAL(101,Table4[2026-02-18])</f>
        <v>36.75</v>
      </c>
      <c r="EM34">
        <f>SUBTOTAL(101,Table4[2026-02-19])</f>
        <v>36.75</v>
      </c>
      <c r="EN34">
        <f>SUBTOTAL(101,Table4[2026-02-20])</f>
        <v>36.75</v>
      </c>
      <c r="EO34">
        <f>SUBTOTAL(101,Table4[2026-02-21])</f>
        <v>36.75</v>
      </c>
      <c r="EP34">
        <f>SUBTOTAL(101,Table4[2026-02-22])</f>
        <v>36.75</v>
      </c>
      <c r="EQ34">
        <f>SUBTOTAL(101,Table4[2026-02-23])</f>
        <v>36.75</v>
      </c>
      <c r="ER34">
        <f>SUBTOTAL(101,Table4[2026-02-24])</f>
        <v>36.75</v>
      </c>
      <c r="ES34">
        <f>SUBTOTAL(101,Table4[2026-02-25])</f>
        <v>36.75</v>
      </c>
      <c r="ET34">
        <f>SUBTOTAL(101,Table4[2026-02-26])</f>
        <v>36.75</v>
      </c>
      <c r="EU34">
        <f>SUBTOTAL(101,Table4[2026-02-27])</f>
        <v>36.75</v>
      </c>
      <c r="EV34">
        <f>SUBTOTAL(101,Table4[2026-02-28])</f>
        <v>36.75</v>
      </c>
      <c r="EW34">
        <f>SUBTOTAL(101,Table4[2026-03-01])</f>
        <v>36.75</v>
      </c>
      <c r="EX34">
        <f>SUBTOTAL(101,Table4[2026-03-02])</f>
        <v>36.75</v>
      </c>
      <c r="EY34">
        <f>SUBTOTAL(101,Table4[2026-03-03])</f>
        <v>36.75</v>
      </c>
      <c r="EZ34">
        <f>SUBTOTAL(101,Table4[2026-03-04])</f>
        <v>36.75</v>
      </c>
      <c r="FA34">
        <f>SUBTOTAL(101,Table4[2026-03-05])</f>
        <v>36.75</v>
      </c>
      <c r="FB34">
        <f>SUBTOTAL(101,Table4[2026-03-06])</f>
        <v>36.75</v>
      </c>
      <c r="FC34">
        <f>SUBTOTAL(101,Table4[2026-03-07])</f>
        <v>36.75</v>
      </c>
      <c r="FD34">
        <f>SUBTOTAL(101,Table4[2026-03-08])</f>
        <v>36.75</v>
      </c>
      <c r="FE34">
        <f>SUBTOTAL(101,Table4[2026-03-09])</f>
        <v>36.75</v>
      </c>
      <c r="FF34">
        <f>SUBTOTAL(101,Table4[2026-03-10])</f>
        <v>36.75</v>
      </c>
      <c r="FG34">
        <f>SUBTOTAL(101,Table4[2026-03-11])</f>
        <v>36.75</v>
      </c>
      <c r="FH34">
        <f>SUBTOTAL(101,Table4[2026-03-12])</f>
        <v>36.75</v>
      </c>
      <c r="FI34">
        <f>SUBTOTAL(101,Table4[2026-03-13])</f>
        <v>36.75</v>
      </c>
      <c r="FJ34">
        <f>SUBTOTAL(101,Table4[2026-03-14])</f>
        <v>36.75</v>
      </c>
      <c r="FK34">
        <f>SUBTOTAL(101,Table4[2026-03-15])</f>
        <v>36.75</v>
      </c>
      <c r="FL34">
        <f>SUBTOTAL(101,Table4[2026-03-16])</f>
        <v>36.75</v>
      </c>
      <c r="FM34">
        <f>SUBTOTAL(101,Table4[2026-03-17])</f>
        <v>36.75</v>
      </c>
      <c r="FN34">
        <f>SUBTOTAL(101,Table4[2026-03-18])</f>
        <v>36.75</v>
      </c>
      <c r="FO34">
        <f>SUBTOTAL(101,Table4[2026-03-19])</f>
        <v>36.75</v>
      </c>
      <c r="FP34">
        <f>SUBTOTAL(101,Table4[2026-03-20])</f>
        <v>36.75</v>
      </c>
      <c r="FQ34">
        <f>SUBTOTAL(101,Table4[2026-03-21])</f>
        <v>36.75</v>
      </c>
      <c r="FR34">
        <f>SUBTOTAL(101,Table4[2026-03-22])</f>
        <v>36.75</v>
      </c>
      <c r="FS34">
        <f>SUBTOTAL(101,Table4[2026-03-23])</f>
        <v>36.75</v>
      </c>
      <c r="FT34">
        <f>SUBTOTAL(101,Table4[2026-03-24])</f>
        <v>36.75</v>
      </c>
      <c r="FU34">
        <f>SUBTOTAL(101,Table4[2026-03-25])</f>
        <v>36.75</v>
      </c>
      <c r="FV34">
        <f>SUBTOTAL(101,Table4[2026-03-26])</f>
        <v>36.75</v>
      </c>
      <c r="FW34">
        <f>SUBTOTAL(101,Table4[2026-03-27])</f>
        <v>36.75</v>
      </c>
      <c r="FX34">
        <f>SUBTOTAL(101,Table4[2026-03-28])</f>
        <v>36.75</v>
      </c>
      <c r="FY34">
        <f>SUBTOTAL(101,Table4[2026-03-29])</f>
        <v>36.75</v>
      </c>
      <c r="FZ34">
        <f>SUBTOTAL(101,Table4[2026-03-30])</f>
        <v>36.75</v>
      </c>
      <c r="GA34">
        <f>SUBTOTAL(101,Table4[2026-03-31])</f>
        <v>36.75</v>
      </c>
      <c r="GB34">
        <f>SUBTOTAL(101,Table4[2026-04-01])</f>
        <v>36.75</v>
      </c>
      <c r="GC34">
        <f>SUBTOTAL(101,Table4[2026-04-02])</f>
        <v>36.75</v>
      </c>
      <c r="GD34">
        <f>SUBTOTAL(101,Table4[2026-04-03])</f>
        <v>36.75</v>
      </c>
      <c r="GE34">
        <f>SUBTOTAL(101,Table4[2026-04-04])</f>
        <v>36.75</v>
      </c>
      <c r="GF34">
        <f>SUBTOTAL(101,Table4[2026-04-05])</f>
        <v>36.75</v>
      </c>
      <c r="GG34">
        <f>SUBTOTAL(101,Table4[2026-04-06])</f>
        <v>36.75</v>
      </c>
      <c r="GH34">
        <f>SUBTOTAL(101,Table4[2026-04-07])</f>
        <v>36.75</v>
      </c>
      <c r="GI34">
        <f>SUBTOTAL(101,Table4[2026-04-08])</f>
        <v>36.75</v>
      </c>
      <c r="GJ34">
        <f>SUBTOTAL(101,Table4[2026-04-09])</f>
        <v>36.75</v>
      </c>
      <c r="GK34">
        <f>SUBTOTAL(101,Table4[2026-04-10])</f>
        <v>36.75</v>
      </c>
      <c r="GL34">
        <f>SUBTOTAL(101,Table4[2026-04-11])</f>
        <v>36.75</v>
      </c>
      <c r="GM34">
        <f>SUBTOTAL(101,Table4[2026-04-12])</f>
        <v>36.75</v>
      </c>
      <c r="GN34">
        <f>SUBTOTAL(101,Table4[2026-04-13])</f>
        <v>36.75</v>
      </c>
      <c r="GO34">
        <f>SUBTOTAL(101,Table4[2026-04-14])</f>
        <v>36.75</v>
      </c>
      <c r="GP34">
        <f>SUBTOTAL(101,Table4[2026-04-15])</f>
        <v>36.75</v>
      </c>
      <c r="GQ34">
        <f>SUBTOTAL(101,Table4[2026-04-16])</f>
        <v>36.75</v>
      </c>
      <c r="GR34">
        <f>SUBTOTAL(101,Table4[2026-04-17])</f>
        <v>36.75</v>
      </c>
      <c r="GS34">
        <f>SUBTOTAL(101,Table4[2026-04-18])</f>
        <v>36.75</v>
      </c>
      <c r="GT34">
        <f>SUBTOTAL(101,Table4[2026-04-19])</f>
        <v>36.75</v>
      </c>
      <c r="GU34">
        <f>SUBTOTAL(101,Table4[2026-04-20])</f>
        <v>36.75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39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39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39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39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39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39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39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39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39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39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39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39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39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39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39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39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39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39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39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39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39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39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39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39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39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39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39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39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39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39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39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39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39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39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39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39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39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39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39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39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39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39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39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39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39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39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39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39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39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39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39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39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39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39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39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39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39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39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39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39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39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39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39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39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39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39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39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39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39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39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39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39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39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39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39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39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39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39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39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39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39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39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39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39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39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39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39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39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39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39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39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39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39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39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39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39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39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39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39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39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39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39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39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39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39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39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39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39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39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39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39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39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39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39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39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39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39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39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39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39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39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39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39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39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39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39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36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36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36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36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36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36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36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36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36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36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36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36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36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36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36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36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36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36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36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36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36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36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36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36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36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36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36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36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36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36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36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36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36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36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36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36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36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36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36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36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36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36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36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36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36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36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36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36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36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36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36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36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36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36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36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36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36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36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36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36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36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36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36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36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36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36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36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36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36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36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36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36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36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36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36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36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36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36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36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36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36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36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36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36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36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36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36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36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36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36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36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36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36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36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36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36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36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36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36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36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36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36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36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36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36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36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36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36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36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36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36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36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36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36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36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36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36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36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36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36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36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36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36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36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36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36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36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38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38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38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38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38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38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38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38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38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38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38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38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38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38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38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38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38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38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38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38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38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38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38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38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38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38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38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38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38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38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38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38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38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38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38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38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38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38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38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38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38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38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38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38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38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38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38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38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38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38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38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38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38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38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38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38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38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38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38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38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38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38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38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38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38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38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38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38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38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38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38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38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38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38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38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38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38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38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38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38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38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38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38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38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38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38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38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38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38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38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38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38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38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38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38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38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38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38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38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38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38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38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38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38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38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38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38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38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38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38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38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38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38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38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38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38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38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38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38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38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38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38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38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38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38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38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37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37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37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37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37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37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37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37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37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37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37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37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37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37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37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37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37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37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37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37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37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37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37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37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37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37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37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37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37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37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37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37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37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37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37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37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37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37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37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37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37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37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37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37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37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37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37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37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37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37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37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37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37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37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37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37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37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37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37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37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37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37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37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37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37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37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37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37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37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37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37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37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37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37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37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37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37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37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37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37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37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37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37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37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37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37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37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37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37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37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37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37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37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37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37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37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37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37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37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37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37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37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37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37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37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37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37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37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37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37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37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37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37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37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37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37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37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37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37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37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37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37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37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37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37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37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53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53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53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53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53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53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53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53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53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53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53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53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53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53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53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53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53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53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53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53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53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53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53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53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53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53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53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53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53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53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53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53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53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53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53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53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53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53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53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53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53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53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53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53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53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53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53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53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53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53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53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53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53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53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53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53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53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53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53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53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53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53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53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53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53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53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53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53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53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53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53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53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53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53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53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53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53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53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53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53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53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53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53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53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53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53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53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53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53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53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53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53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53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53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53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53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53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53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53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53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53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53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53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53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53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53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53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53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53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53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53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53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53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53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53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53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53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53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53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53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53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53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53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53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53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53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30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30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30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30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30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30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30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30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30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30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30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30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30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30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30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30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30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30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30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30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30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30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30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30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30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30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30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30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30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30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30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30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30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30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30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30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30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30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30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30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30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30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30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30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30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30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30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30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30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30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30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30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30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30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30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30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30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30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30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30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30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30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30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30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30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30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30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30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30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30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30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30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30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30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30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30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30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30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30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30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30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30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30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30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30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30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30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30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30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30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30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30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30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30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30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30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30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30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30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30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30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30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30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30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30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30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30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30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30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30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30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30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30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30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30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30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30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30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30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30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30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30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30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30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30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30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30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36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36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36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36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36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36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36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36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36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36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36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36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36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36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36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36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36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36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36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36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36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36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36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36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36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36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36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36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36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36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36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36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36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36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36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36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36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36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36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36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36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36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36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36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36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36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36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36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36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36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36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36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36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36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36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36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36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36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36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36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36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36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36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36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36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36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36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36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36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36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36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36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36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36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36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36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36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36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36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36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36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36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36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36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36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36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36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36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36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36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36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36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36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36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36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36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36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36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36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36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36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36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36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36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36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36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36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36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36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36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36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36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36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36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36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36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36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36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36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36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36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36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36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36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36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36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41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41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41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41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41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41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41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41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41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41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41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41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41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41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41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41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41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41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41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41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41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41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41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41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41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41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41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41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41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41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41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41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41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41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41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41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41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41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41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41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41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41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41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41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41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41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41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41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41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41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41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41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41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41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41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41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41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41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41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41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41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41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41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41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41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41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41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41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41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41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41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41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41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41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41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41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41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41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41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41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41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41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41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41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41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41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41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41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41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41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41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41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41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41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41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41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41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41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41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41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41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41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41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41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41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41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41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41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41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41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41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41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41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41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41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41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41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41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41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41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41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41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41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41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41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41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41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36.75</v>
      </c>
      <c r="BZ70">
        <f>SUBTOTAL(101,Table46[2024-12-16])</f>
        <v>36.75</v>
      </c>
      <c r="CA70">
        <f>SUBTOTAL(101,Table46[2024-12-17])</f>
        <v>36.75</v>
      </c>
      <c r="CB70">
        <f>SUBTOTAL(101,Table46[2024-12-18])</f>
        <v>36.75</v>
      </c>
      <c r="CC70">
        <f>SUBTOTAL(101,Table46[2024-12-19])</f>
        <v>36.75</v>
      </c>
      <c r="CD70">
        <f>SUBTOTAL(101,Table46[2024-12-20])</f>
        <v>36.75</v>
      </c>
      <c r="CE70">
        <f>SUBTOTAL(101,Table46[2024-12-21])</f>
        <v>36.75</v>
      </c>
      <c r="CF70">
        <f>SUBTOTAL(101,Table46[2024-12-22])</f>
        <v>36.75</v>
      </c>
      <c r="CG70">
        <f>SUBTOTAL(101,Table46[2024-12-23])</f>
        <v>36.75</v>
      </c>
      <c r="CH70">
        <f>SUBTOTAL(101,Table46[2024-12-24])</f>
        <v>36.75</v>
      </c>
      <c r="CI70">
        <f>SUBTOTAL(101,Table46[2024-12-25])</f>
        <v>36.75</v>
      </c>
      <c r="CJ70">
        <f>SUBTOTAL(101,Table46[2024-12-26])</f>
        <v>36.75</v>
      </c>
      <c r="CK70">
        <f>SUBTOTAL(101,Table46[2024-12-27])</f>
        <v>36.75</v>
      </c>
      <c r="CL70">
        <f>SUBTOTAL(101,Table46[2024-12-28])</f>
        <v>36.75</v>
      </c>
      <c r="CM70">
        <f>SUBTOTAL(101,Table46[2024-12-29])</f>
        <v>36.75</v>
      </c>
      <c r="CN70">
        <f>SUBTOTAL(101,Table46[2024-12-30])</f>
        <v>36.75</v>
      </c>
      <c r="CO70">
        <f>SUBTOTAL(101,Table46[2024-12-31])</f>
        <v>36.75</v>
      </c>
      <c r="CP70">
        <f>SUBTOTAL(101,Table46[2025-01-01])</f>
        <v>36.75</v>
      </c>
      <c r="CQ70">
        <f>SUBTOTAL(101,Table46[2025-01-02])</f>
        <v>36.75</v>
      </c>
      <c r="CR70">
        <f>SUBTOTAL(101,Table46[2025-01-03])</f>
        <v>36.75</v>
      </c>
      <c r="CS70">
        <f>SUBTOTAL(101,Table46[2025-01-04])</f>
        <v>36.75</v>
      </c>
      <c r="CT70">
        <f>SUBTOTAL(101,Table46[2025-01-05])</f>
        <v>36.75</v>
      </c>
      <c r="CU70">
        <f>SUBTOTAL(101,Table46[2025-01-06])</f>
        <v>36.75</v>
      </c>
      <c r="CV70">
        <f>SUBTOTAL(101,Table46[2025-01-07])</f>
        <v>36.75</v>
      </c>
      <c r="CW70">
        <f>SUBTOTAL(101,Table46[2025-01-08])</f>
        <v>36.75</v>
      </c>
      <c r="CX70">
        <f>SUBTOTAL(101,Table46[2025-01-09])</f>
        <v>36.75</v>
      </c>
      <c r="CY70">
        <f>SUBTOTAL(101,Table46[2025-01-10])</f>
        <v>36.75</v>
      </c>
      <c r="CZ70">
        <f>SUBTOTAL(101,Table46[2025-01-11])</f>
        <v>36.75</v>
      </c>
      <c r="DA70">
        <f>SUBTOTAL(101,Table46[2025-01-12])</f>
        <v>36.75</v>
      </c>
      <c r="DB70">
        <f>SUBTOTAL(101,Table46[2025-01-13])</f>
        <v>36.75</v>
      </c>
      <c r="DC70">
        <f>SUBTOTAL(101,Table46[2025-01-14])</f>
        <v>36.75</v>
      </c>
      <c r="DD70">
        <f>SUBTOTAL(101,Table46[2025-01-15])</f>
        <v>36.75</v>
      </c>
      <c r="DE70">
        <f>SUBTOTAL(101,Table46[2025-01-16])</f>
        <v>36.75</v>
      </c>
      <c r="DF70">
        <f>SUBTOTAL(101,Table46[2025-01-17])</f>
        <v>36.75</v>
      </c>
      <c r="DG70">
        <f>SUBTOTAL(101,Table46[2025-01-18])</f>
        <v>36.75</v>
      </c>
      <c r="DH70">
        <f>SUBTOTAL(101,Table46[2025-01-19])</f>
        <v>36.75</v>
      </c>
      <c r="DI70">
        <f>SUBTOTAL(101,Table46[2025-01-20])</f>
        <v>36.75</v>
      </c>
      <c r="DJ70">
        <f>SUBTOTAL(101,Table46[2025-01-21])</f>
        <v>36.75</v>
      </c>
      <c r="DK70">
        <f>SUBTOTAL(101,Table46[2025-01-22])</f>
        <v>36.75</v>
      </c>
      <c r="DL70">
        <f>SUBTOTAL(101,Table46[2025-01-23])</f>
        <v>36.75</v>
      </c>
      <c r="DM70">
        <f>SUBTOTAL(101,Table46[2025-01-24])</f>
        <v>36.75</v>
      </c>
      <c r="DN70">
        <f>SUBTOTAL(101,Table46[2025-01-25])</f>
        <v>36.75</v>
      </c>
      <c r="DO70">
        <f>SUBTOTAL(101,Table46[2025-01-26])</f>
        <v>36.75</v>
      </c>
      <c r="DP70">
        <f>SUBTOTAL(101,Table46[2025-01-27])</f>
        <v>36.75</v>
      </c>
      <c r="DQ70">
        <f>SUBTOTAL(101,Table46[2025-01-28])</f>
        <v>36.75</v>
      </c>
      <c r="DR70">
        <f>SUBTOTAL(101,Table46[2025-01-29])</f>
        <v>36.75</v>
      </c>
      <c r="DS70">
        <f>SUBTOTAL(101,Table46[2025-01-30])</f>
        <v>36.75</v>
      </c>
      <c r="DT70">
        <f>SUBTOTAL(101,Table46[2025-01-31])</f>
        <v>36.75</v>
      </c>
      <c r="DU70">
        <f>SUBTOTAL(101,Table46[2025-02-01])</f>
        <v>36.75</v>
      </c>
      <c r="DV70">
        <f>SUBTOTAL(101,Table46[2025-02-02])</f>
        <v>36.75</v>
      </c>
      <c r="DW70">
        <f>SUBTOTAL(101,Table46[2025-02-03])</f>
        <v>36.75</v>
      </c>
      <c r="DX70">
        <f>SUBTOTAL(101,Table46[2025-02-04])</f>
        <v>36.75</v>
      </c>
      <c r="DY70">
        <f>SUBTOTAL(101,Table46[2025-02-05])</f>
        <v>36.75</v>
      </c>
      <c r="DZ70">
        <f>SUBTOTAL(101,Table46[2025-02-06])</f>
        <v>36.75</v>
      </c>
      <c r="EA70">
        <f>SUBTOTAL(101,Table46[2025-02-07])</f>
        <v>36.75</v>
      </c>
      <c r="EB70">
        <f>SUBTOTAL(101,Table46[2025-02-08])</f>
        <v>36.75</v>
      </c>
      <c r="EC70">
        <f>SUBTOTAL(101,Table46[2025-02-09])</f>
        <v>36.75</v>
      </c>
      <c r="ED70">
        <f>SUBTOTAL(101,Table46[2025-02-10])</f>
        <v>36.75</v>
      </c>
      <c r="EE70">
        <f>SUBTOTAL(101,Table46[2025-02-11])</f>
        <v>36.75</v>
      </c>
      <c r="EF70">
        <f>SUBTOTAL(101,Table46[2025-02-12])</f>
        <v>36.75</v>
      </c>
      <c r="EG70">
        <f>SUBTOTAL(101,Table46[2025-02-13])</f>
        <v>36.75</v>
      </c>
      <c r="EH70">
        <f>SUBTOTAL(101,Table46[2025-02-14])</f>
        <v>36.75</v>
      </c>
      <c r="EI70">
        <f>SUBTOTAL(101,Table46[2025-02-15])</f>
        <v>36.75</v>
      </c>
      <c r="EJ70">
        <f>SUBTOTAL(101,Table46[2025-02-16])</f>
        <v>36.75</v>
      </c>
      <c r="EK70">
        <f>SUBTOTAL(101,Table46[2025-02-17])</f>
        <v>36.75</v>
      </c>
      <c r="EL70">
        <f>SUBTOTAL(101,Table46[2025-02-18])</f>
        <v>36.75</v>
      </c>
      <c r="EM70">
        <f>SUBTOTAL(101,Table46[2025-02-19])</f>
        <v>36.75</v>
      </c>
      <c r="EN70">
        <f>SUBTOTAL(101,Table46[2025-02-20])</f>
        <v>36.75</v>
      </c>
      <c r="EO70">
        <f>SUBTOTAL(101,Table46[2025-02-21])</f>
        <v>36.75</v>
      </c>
      <c r="EP70">
        <f>SUBTOTAL(101,Table46[2025-02-22])</f>
        <v>36.75</v>
      </c>
      <c r="EQ70">
        <f>SUBTOTAL(101,Table46[2025-02-23])</f>
        <v>36.75</v>
      </c>
      <c r="ER70">
        <f>SUBTOTAL(101,Table46[2025-02-24])</f>
        <v>36.75</v>
      </c>
      <c r="ES70">
        <f>SUBTOTAL(101,Table46[2025-02-25])</f>
        <v>36.75</v>
      </c>
      <c r="ET70">
        <f>SUBTOTAL(101,Table46[2025-02-26])</f>
        <v>36.75</v>
      </c>
      <c r="EU70">
        <f>SUBTOTAL(101,Table46[2025-02-27])</f>
        <v>36.75</v>
      </c>
      <c r="EV70">
        <f>SUBTOTAL(101,Table46[2025-02-28])</f>
        <v>36.75</v>
      </c>
      <c r="EW70">
        <f>SUBTOTAL(101,Table46[2025-03-01])</f>
        <v>36.75</v>
      </c>
      <c r="EX70">
        <f>SUBTOTAL(101,Table46[2025-03-02])</f>
        <v>36.75</v>
      </c>
      <c r="EY70">
        <f>SUBTOTAL(101,Table46[2025-03-03])</f>
        <v>36.75</v>
      </c>
      <c r="EZ70">
        <f>SUBTOTAL(101,Table46[2025-03-04])</f>
        <v>36.75</v>
      </c>
      <c r="FA70">
        <f>SUBTOTAL(101,Table46[2025-03-05])</f>
        <v>36.75</v>
      </c>
      <c r="FB70">
        <f>SUBTOTAL(101,Table46[2025-03-06])</f>
        <v>36.75</v>
      </c>
      <c r="FC70">
        <f>SUBTOTAL(101,Table46[2025-03-07])</f>
        <v>36.75</v>
      </c>
      <c r="FD70">
        <f>SUBTOTAL(101,Table46[2025-03-08])</f>
        <v>36.75</v>
      </c>
      <c r="FE70">
        <f>SUBTOTAL(101,Table46[2025-03-09])</f>
        <v>36.75</v>
      </c>
      <c r="FF70">
        <f>SUBTOTAL(101,Table46[2025-03-10])</f>
        <v>36.75</v>
      </c>
      <c r="FG70">
        <f>SUBTOTAL(101,Table46[2025-03-11])</f>
        <v>36.75</v>
      </c>
      <c r="FH70">
        <f>SUBTOTAL(101,Table46[2025-03-12])</f>
        <v>36.75</v>
      </c>
      <c r="FI70">
        <f>SUBTOTAL(101,Table46[2025-03-13])</f>
        <v>36.75</v>
      </c>
      <c r="FJ70">
        <f>SUBTOTAL(101,Table46[2025-03-14])</f>
        <v>36.75</v>
      </c>
      <c r="FK70">
        <f>SUBTOTAL(101,Table46[2025-03-15])</f>
        <v>36.75</v>
      </c>
      <c r="FL70">
        <f>SUBTOTAL(101,Table46[2025-03-16])</f>
        <v>36.75</v>
      </c>
      <c r="FM70">
        <f>SUBTOTAL(101,Table46[2025-03-17])</f>
        <v>36.75</v>
      </c>
      <c r="FN70">
        <f>SUBTOTAL(101,Table46[2025-03-18])</f>
        <v>36.75</v>
      </c>
      <c r="FO70">
        <f>SUBTOTAL(101,Table46[2025-03-19])</f>
        <v>36.75</v>
      </c>
      <c r="FP70">
        <f>SUBTOTAL(101,Table46[2025-03-20])</f>
        <v>36.75</v>
      </c>
      <c r="FQ70">
        <f>SUBTOTAL(101,Table46[2025-03-21])</f>
        <v>36.75</v>
      </c>
      <c r="FR70">
        <f>SUBTOTAL(101,Table46[2025-03-22])</f>
        <v>36.75</v>
      </c>
      <c r="FS70">
        <f>SUBTOTAL(101,Table46[2025-03-23])</f>
        <v>36.75</v>
      </c>
      <c r="FT70">
        <f>SUBTOTAL(101,Table46[2025-03-24])</f>
        <v>36.75</v>
      </c>
      <c r="FU70">
        <f>SUBTOTAL(101,Table46[2025-03-25])</f>
        <v>36.75</v>
      </c>
      <c r="FV70">
        <f>SUBTOTAL(101,Table46[2025-03-26])</f>
        <v>36.75</v>
      </c>
      <c r="FW70">
        <f>SUBTOTAL(101,Table46[2025-03-27])</f>
        <v>36.75</v>
      </c>
      <c r="FX70">
        <f>SUBTOTAL(101,Table46[2025-03-28])</f>
        <v>36.75</v>
      </c>
      <c r="FY70">
        <f>SUBTOTAL(101,Table46[2025-03-29])</f>
        <v>36.75</v>
      </c>
      <c r="FZ70">
        <f>SUBTOTAL(101,Table46[2025-03-30])</f>
        <v>36.75</v>
      </c>
      <c r="GA70">
        <f>SUBTOTAL(101,Table46[2025-03-31])</f>
        <v>36.75</v>
      </c>
      <c r="GB70">
        <f>SUBTOTAL(101,Table46[2025-04-01])</f>
        <v>36.75</v>
      </c>
      <c r="GC70">
        <f>SUBTOTAL(101,Table46[2025-04-02])</f>
        <v>36.75</v>
      </c>
      <c r="GD70">
        <f>SUBTOTAL(101,Table46[2025-04-03])</f>
        <v>36.75</v>
      </c>
      <c r="GE70">
        <f>SUBTOTAL(101,Table46[2025-04-04])</f>
        <v>36.75</v>
      </c>
      <c r="GF70">
        <f>SUBTOTAL(101,Table46[2025-04-05])</f>
        <v>36.75</v>
      </c>
      <c r="GG70">
        <f>SUBTOTAL(101,Table46[2025-04-06])</f>
        <v>36.75</v>
      </c>
      <c r="GH70">
        <f>SUBTOTAL(101,Table46[2025-04-07])</f>
        <v>36.75</v>
      </c>
      <c r="GI70">
        <f>SUBTOTAL(101,Table46[2025-04-08])</f>
        <v>36.75</v>
      </c>
      <c r="GJ70">
        <f>SUBTOTAL(101,Table46[2025-04-09])</f>
        <v>36.75</v>
      </c>
      <c r="GK70">
        <f>SUBTOTAL(101,Table46[2025-04-10])</f>
        <v>36.75</v>
      </c>
      <c r="GL70">
        <f>SUBTOTAL(101,Table46[2025-04-11])</f>
        <v>36.75</v>
      </c>
      <c r="GM70">
        <f>SUBTOTAL(101,Table46[2025-04-12])</f>
        <v>36.75</v>
      </c>
      <c r="GN70">
        <f>SUBTOTAL(101,Table46[2025-04-13])</f>
        <v>36.75</v>
      </c>
      <c r="GO70">
        <f>SUBTOTAL(101,Table46[2025-04-14])</f>
        <v>36.75</v>
      </c>
      <c r="GP70">
        <f>SUBTOTAL(101,Table46[2025-04-15])</f>
        <v>36.75</v>
      </c>
      <c r="GQ70">
        <f>SUBTOTAL(101,Table46[2025-04-16])</f>
        <v>36.75</v>
      </c>
      <c r="GR70">
        <f>SUBTOTAL(101,Table46[2025-04-17])</f>
        <v>36.75</v>
      </c>
      <c r="GS70">
        <f>SUBTOTAL(101,Table46[2025-04-18])</f>
        <v>36.75</v>
      </c>
      <c r="GT70">
        <f>SUBTOTAL(101,Table46[2025-04-19])</f>
        <v>36.75</v>
      </c>
      <c r="GU70">
        <f>SUBTOTAL(101,Table46[2025-04-20])</f>
        <v>36.75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7">
        <f>BO3+BO4</f>
        <v>82</v>
      </c>
    </row>
    <row r="4" spans="1:68" ht="9.9499999999999993" customHeight="1" x14ac:dyDescent="0.25">
      <c r="A4" s="174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7"/>
    </row>
    <row r="5" spans="1:68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7">
        <f t="shared" ref="BP5" si="1">BO5+BO6</f>
        <v>82</v>
      </c>
    </row>
    <row r="6" spans="1:68" ht="9.9499999999999993" customHeight="1" x14ac:dyDescent="0.25">
      <c r="A6" s="174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7"/>
    </row>
    <row r="7" spans="1:68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7">
        <f t="shared" ref="BP7" si="2">BO7+BO8</f>
        <v>82</v>
      </c>
    </row>
    <row r="8" spans="1:68" ht="9.9499999999999993" customHeight="1" x14ac:dyDescent="0.25">
      <c r="A8" s="174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7"/>
    </row>
    <row r="9" spans="1:68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7">
        <f t="shared" ref="BP9" si="3">BO9+BO10</f>
        <v>82</v>
      </c>
    </row>
    <row r="10" spans="1:68" ht="9.9499999999999993" customHeight="1" x14ac:dyDescent="0.25">
      <c r="A10" s="174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7"/>
    </row>
    <row r="11" spans="1:68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7">
        <f t="shared" ref="BP11" si="4">BO11+BO12</f>
        <v>82</v>
      </c>
    </row>
    <row r="12" spans="1:68" ht="9.9499999999999993" customHeight="1" x14ac:dyDescent="0.25">
      <c r="A12" s="174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7"/>
    </row>
    <row r="13" spans="1:68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7">
        <f t="shared" ref="BP13" si="5">BO13+BO14</f>
        <v>82</v>
      </c>
    </row>
    <row r="14" spans="1:68" ht="9.9499999999999993" customHeight="1" x14ac:dyDescent="0.25">
      <c r="A14" s="174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7"/>
    </row>
    <row r="15" spans="1:68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7">
        <f t="shared" ref="BP15" si="6">BO15+BO16</f>
        <v>82</v>
      </c>
    </row>
    <row r="16" spans="1:68" ht="9.9499999999999993" customHeight="1" x14ac:dyDescent="0.25">
      <c r="A16" s="174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7"/>
    </row>
    <row r="17" spans="1:68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7">
        <f t="shared" ref="BP17" si="7">BO17+BO18</f>
        <v>82</v>
      </c>
    </row>
    <row r="18" spans="1:68" ht="9.9499999999999993" customHeight="1" x14ac:dyDescent="0.25">
      <c r="A18" s="174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7"/>
    </row>
    <row r="19" spans="1:68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7">
        <f t="shared" ref="BP19" si="8">BO19+BO20</f>
        <v>82</v>
      </c>
    </row>
    <row r="20" spans="1:68" ht="9.9499999999999993" customHeight="1" x14ac:dyDescent="0.25">
      <c r="A20" s="174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7"/>
    </row>
    <row r="21" spans="1:68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7">
        <f t="shared" ref="BP21" si="9">BO21+BO22</f>
        <v>82</v>
      </c>
    </row>
    <row r="22" spans="1:68" ht="9.9499999999999993" customHeight="1" x14ac:dyDescent="0.25">
      <c r="A22" s="174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7"/>
    </row>
    <row r="23" spans="1:68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7">
        <f t="shared" ref="BP23" si="10">BO23+BO24</f>
        <v>82</v>
      </c>
    </row>
    <row r="24" spans="1:68" ht="9.9499999999999993" customHeight="1" x14ac:dyDescent="0.25">
      <c r="A24" s="174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7"/>
    </row>
    <row r="25" spans="1:68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7">
        <f t="shared" ref="BP25" si="11">BO25+BO26</f>
        <v>82</v>
      </c>
    </row>
    <row r="26" spans="1:68" ht="9.9499999999999993" customHeight="1" x14ac:dyDescent="0.25">
      <c r="A26" s="174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7"/>
    </row>
    <row r="27" spans="1:68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7">
        <f t="shared" ref="BP27" si="12">BO27+BO28</f>
        <v>82</v>
      </c>
    </row>
    <row r="28" spans="1:68" ht="9.9499999999999993" customHeight="1" x14ac:dyDescent="0.25">
      <c r="A28" s="174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7"/>
    </row>
    <row r="29" spans="1:68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7">
        <f t="shared" ref="BP29" si="13">BO29+BO30</f>
        <v>82</v>
      </c>
    </row>
    <row r="30" spans="1:68" ht="9.9499999999999993" customHeight="1" x14ac:dyDescent="0.25">
      <c r="A30" s="174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7"/>
    </row>
    <row r="31" spans="1:68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7">
        <f t="shared" ref="BP31" si="14">BO31+BO32</f>
        <v>82</v>
      </c>
    </row>
    <row r="32" spans="1:68" ht="9.9499999999999993" customHeight="1" x14ac:dyDescent="0.25">
      <c r="A32" s="174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7"/>
    </row>
    <row r="33" spans="1:68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7">
        <f t="shared" ref="BP33" si="15">BO33+BO34</f>
        <v>82</v>
      </c>
    </row>
    <row r="34" spans="1:68" ht="9.9499999999999993" customHeight="1" x14ac:dyDescent="0.25">
      <c r="A34" s="174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7"/>
    </row>
    <row r="35" spans="1:68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7">
        <f t="shared" ref="BP35" si="16">BO35+BO36</f>
        <v>82</v>
      </c>
    </row>
    <row r="36" spans="1:68" ht="9.9499999999999993" customHeight="1" x14ac:dyDescent="0.25">
      <c r="A36" s="174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7"/>
    </row>
    <row r="37" spans="1:68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7">
        <f t="shared" ref="BP37" si="17">BO37+BO38</f>
        <v>82</v>
      </c>
    </row>
    <row r="38" spans="1:68" ht="9.9499999999999993" customHeight="1" x14ac:dyDescent="0.25">
      <c r="A38" s="174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7"/>
    </row>
    <row r="39" spans="1:68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7">
        <f t="shared" ref="BP39" si="18">BO39+BO40</f>
        <v>82</v>
      </c>
    </row>
    <row r="40" spans="1:68" ht="9.9499999999999993" customHeight="1" x14ac:dyDescent="0.25">
      <c r="A40" s="174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7"/>
    </row>
    <row r="41" spans="1:68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7">
        <f t="shared" ref="BP41" si="19">BO41+BO42</f>
        <v>82</v>
      </c>
    </row>
    <row r="42" spans="1:68" ht="9.9499999999999993" customHeight="1" x14ac:dyDescent="0.25">
      <c r="A42" s="174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7"/>
    </row>
    <row r="43" spans="1:68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7">
        <f t="shared" ref="BP43" si="20">BO43+BO44</f>
        <v>82</v>
      </c>
    </row>
    <row r="44" spans="1:68" ht="9.9499999999999993" customHeight="1" x14ac:dyDescent="0.25">
      <c r="A44" s="174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7"/>
    </row>
    <row r="45" spans="1:68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7">
        <f t="shared" ref="BP45" si="21">BO45+BO46</f>
        <v>82</v>
      </c>
    </row>
    <row r="46" spans="1:68" ht="9.9499999999999993" customHeight="1" x14ac:dyDescent="0.25">
      <c r="A46" s="174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7"/>
    </row>
    <row r="47" spans="1:68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7">
        <f t="shared" ref="BP47" si="22">BO47+BO48</f>
        <v>82</v>
      </c>
    </row>
    <row r="48" spans="1:68" ht="9.9499999999999993" customHeight="1" x14ac:dyDescent="0.25">
      <c r="A48" s="174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7"/>
    </row>
    <row r="49" spans="1:68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7">
        <f t="shared" ref="BP49" si="23">BO49+BO50</f>
        <v>82</v>
      </c>
    </row>
    <row r="50" spans="1:68" ht="9.9499999999999993" customHeight="1" x14ac:dyDescent="0.25">
      <c r="A50" s="174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7"/>
    </row>
    <row r="51" spans="1:68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7">
        <f t="shared" ref="BP51" si="24">BO51+BO52</f>
        <v>82</v>
      </c>
    </row>
    <row r="52" spans="1:68" ht="9.9499999999999993" customHeight="1" x14ac:dyDescent="0.25">
      <c r="A52" s="174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7"/>
    </row>
    <row r="53" spans="1:68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7">
        <f t="shared" ref="BP53" si="25">BO53+BO54</f>
        <v>82</v>
      </c>
    </row>
    <row r="54" spans="1:68" ht="9.9499999999999993" customHeight="1" x14ac:dyDescent="0.25">
      <c r="A54" s="174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7"/>
    </row>
    <row r="55" spans="1:68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7">
        <f t="shared" ref="BP55" si="26">BO55+BO56</f>
        <v>82</v>
      </c>
    </row>
    <row r="56" spans="1:68" ht="9.9499999999999993" customHeight="1" x14ac:dyDescent="0.25">
      <c r="A56" s="174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7"/>
    </row>
    <row r="57" spans="1:68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7">
        <f t="shared" ref="BP57" si="27">BO57+BO58</f>
        <v>82</v>
      </c>
    </row>
    <row r="58" spans="1:68" ht="9.9499999999999993" customHeight="1" x14ac:dyDescent="0.25">
      <c r="A58" s="174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7"/>
    </row>
    <row r="59" spans="1:68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7">
        <f t="shared" ref="BP59" si="28">BO59+BO60</f>
        <v>82</v>
      </c>
    </row>
    <row r="60" spans="1:68" ht="9.9499999999999993" customHeight="1" x14ac:dyDescent="0.25">
      <c r="A60" s="174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7"/>
    </row>
    <row r="61" spans="1:68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7">
        <f t="shared" ref="BP61" si="29">BO61+BO62</f>
        <v>82</v>
      </c>
    </row>
    <row r="62" spans="1:68" ht="9.9499999999999993" customHeight="1" x14ac:dyDescent="0.25">
      <c r="A62" s="174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7"/>
    </row>
    <row r="63" spans="1:68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7">
        <f t="shared" ref="BP63" si="30">BO63+BO64</f>
        <v>82</v>
      </c>
    </row>
    <row r="64" spans="1:68" ht="9.9499999999999993" customHeight="1" x14ac:dyDescent="0.25">
      <c r="A64" s="174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7"/>
    </row>
    <row r="65" spans="1:68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7">
        <f t="shared" ref="BP65" si="31">BO65+BO66</f>
        <v>82</v>
      </c>
    </row>
    <row r="66" spans="1:68" ht="9.9499999999999993" customHeight="1" x14ac:dyDescent="0.25">
      <c r="A66" s="174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7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1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18</v>
      </c>
      <c r="BP3" s="177">
        <f>BO3+BO4</f>
        <v>33</v>
      </c>
      <c r="BQ3" s="173">
        <f>82-BP3</f>
        <v>49</v>
      </c>
    </row>
    <row r="4" spans="1:69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7"/>
      <c r="BQ4" s="173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7">
        <f t="shared" ref="BP5" si="1">BO5+BO6</f>
        <v>33</v>
      </c>
      <c r="BQ5" s="173">
        <f t="shared" ref="BQ5" si="2">82-BP5</f>
        <v>49</v>
      </c>
    </row>
    <row r="6" spans="1:69" ht="9.9499999999999993" customHeight="1" x14ac:dyDescent="0.25">
      <c r="A6" s="174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7"/>
      <c r="BQ6" s="173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7">
        <f t="shared" ref="BP7" si="3">BO7+BO8</f>
        <v>32</v>
      </c>
      <c r="BQ7" s="173">
        <f t="shared" ref="BQ7" si="4">82-BP7</f>
        <v>50</v>
      </c>
    </row>
    <row r="8" spans="1:69" ht="9.9499999999999993" customHeight="1" x14ac:dyDescent="0.25">
      <c r="A8" s="174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7"/>
      <c r="BQ8" s="173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7">
        <f t="shared" ref="BP9" si="5">BO9+BO10</f>
        <v>32</v>
      </c>
      <c r="BQ9" s="173">
        <f t="shared" ref="BQ9" si="6">82-BP9</f>
        <v>50</v>
      </c>
    </row>
    <row r="10" spans="1:69" ht="9.9499999999999993" customHeight="1" x14ac:dyDescent="0.25">
      <c r="A10" s="174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7"/>
      <c r="BQ10" s="173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7">
        <f t="shared" ref="BP11" si="7">BO11+BO12</f>
        <v>32</v>
      </c>
      <c r="BQ11" s="173">
        <f t="shared" ref="BQ11" si="8">82-BP11</f>
        <v>50</v>
      </c>
    </row>
    <row r="12" spans="1:69" ht="9.9499999999999993" customHeight="1" x14ac:dyDescent="0.25">
      <c r="A12" s="174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14</v>
      </c>
      <c r="BP12" s="177"/>
      <c r="BQ12" s="173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19</v>
      </c>
      <c r="BP13" s="177">
        <f t="shared" ref="BP13" si="9">BO13+BO14</f>
        <v>33</v>
      </c>
      <c r="BQ13" s="173">
        <f t="shared" ref="BQ13" si="10">82-BP13</f>
        <v>49</v>
      </c>
    </row>
    <row r="14" spans="1:69" ht="9.9499999999999993" customHeight="1" x14ac:dyDescent="0.25">
      <c r="A14" s="174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7"/>
      <c r="BQ14" s="173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16</v>
      </c>
      <c r="BP15" s="177">
        <f t="shared" ref="BP15" si="11">BO15+BO16</f>
        <v>32</v>
      </c>
      <c r="BQ15" s="173">
        <f t="shared" ref="BQ15" si="12">82-BP15</f>
        <v>50</v>
      </c>
    </row>
    <row r="16" spans="1:69" ht="9.9499999999999993" customHeight="1" x14ac:dyDescent="0.25">
      <c r="A16" s="174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7"/>
      <c r="BQ16" s="173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7">
        <f t="shared" ref="BP17" si="13">BO17+BO18</f>
        <v>32</v>
      </c>
      <c r="BQ17" s="173">
        <f t="shared" ref="BQ17" si="14">82-BP17</f>
        <v>50</v>
      </c>
    </row>
    <row r="18" spans="1:69" ht="9.9499999999999993" customHeight="1" x14ac:dyDescent="0.25">
      <c r="A18" s="174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7"/>
      <c r="BQ18" s="173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7">
        <f t="shared" ref="BP19" si="15">BO19+BO20</f>
        <v>34</v>
      </c>
      <c r="BQ19" s="173">
        <f t="shared" ref="BQ19" si="16">82-BP19</f>
        <v>48</v>
      </c>
    </row>
    <row r="20" spans="1:69" ht="9.9499999999999993" customHeight="1" x14ac:dyDescent="0.25">
      <c r="A20" s="174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2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17</v>
      </c>
      <c r="BP20" s="177"/>
      <c r="BQ20" s="173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7">
        <f t="shared" ref="BP21" si="17">BO21+BO22</f>
        <v>33</v>
      </c>
      <c r="BQ21" s="173">
        <f t="shared" ref="BQ21" si="18">82-BP21</f>
        <v>49</v>
      </c>
    </row>
    <row r="22" spans="1:69" ht="9.9499999999999993" customHeight="1" x14ac:dyDescent="0.25">
      <c r="A22" s="174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7"/>
      <c r="BQ22" s="173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19</v>
      </c>
      <c r="BP23" s="177">
        <f t="shared" ref="BP23" si="19">BO23+BO24</f>
        <v>33</v>
      </c>
      <c r="BQ23" s="173">
        <f t="shared" ref="BQ23" si="20">82-BP23</f>
        <v>49</v>
      </c>
    </row>
    <row r="24" spans="1:69" ht="9.9499999999999993" customHeight="1" x14ac:dyDescent="0.25">
      <c r="A24" s="174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7"/>
      <c r="BQ24" s="173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1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14</v>
      </c>
      <c r="BP25" s="177">
        <f t="shared" ref="BP25" si="21">BO25+BO26</f>
        <v>32</v>
      </c>
      <c r="BQ25" s="173">
        <f t="shared" ref="BQ25" si="22">82-BP25</f>
        <v>50</v>
      </c>
    </row>
    <row r="26" spans="1:69" ht="9.9499999999999993" customHeight="1" x14ac:dyDescent="0.25">
      <c r="A26" s="174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7"/>
      <c r="BQ26" s="173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2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18</v>
      </c>
      <c r="BP27" s="177">
        <f t="shared" ref="BP27" si="23">BO27+BO28</f>
        <v>32</v>
      </c>
      <c r="BQ27" s="173">
        <f t="shared" ref="BQ27" si="24">82-BP27</f>
        <v>50</v>
      </c>
    </row>
    <row r="28" spans="1:69" ht="9.9499999999999993" customHeight="1" x14ac:dyDescent="0.25">
      <c r="A28" s="174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7"/>
      <c r="BQ28" s="173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7">
        <f t="shared" ref="BP29" si="25">BO29+BO30</f>
        <v>33</v>
      </c>
      <c r="BQ29" s="173">
        <f t="shared" ref="BQ29" si="26">82-BP29</f>
        <v>49</v>
      </c>
    </row>
    <row r="30" spans="1:69" ht="9.9499999999999993" customHeight="1" x14ac:dyDescent="0.25">
      <c r="A30" s="174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18</v>
      </c>
      <c r="BP30" s="177"/>
      <c r="BQ30" s="173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7">
        <f t="shared" ref="BP31" si="27">BO31+BO32</f>
        <v>32</v>
      </c>
      <c r="BQ31" s="173">
        <f t="shared" ref="BQ31" si="28">82-BP31</f>
        <v>50</v>
      </c>
    </row>
    <row r="32" spans="1:69" ht="9.9499999999999993" customHeight="1" x14ac:dyDescent="0.25">
      <c r="A32" s="174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17</v>
      </c>
      <c r="BP32" s="177"/>
      <c r="BQ32" s="173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7">
        <f t="shared" ref="BP33" si="29">BO33+BO34</f>
        <v>33</v>
      </c>
      <c r="BQ33" s="173">
        <f t="shared" ref="BQ33" si="30">82-BP33</f>
        <v>49</v>
      </c>
    </row>
    <row r="34" spans="1:69" ht="9.9499999999999993" customHeight="1" x14ac:dyDescent="0.25">
      <c r="A34" s="174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7"/>
      <c r="BQ34" s="173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1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14</v>
      </c>
      <c r="BP35" s="177">
        <f t="shared" ref="BP35" si="31">BO35+BO36</f>
        <v>32</v>
      </c>
      <c r="BQ35" s="173">
        <f t="shared" ref="BQ35" si="32">82-BP35</f>
        <v>50</v>
      </c>
    </row>
    <row r="36" spans="1:69" ht="9.9499999999999993" customHeight="1" x14ac:dyDescent="0.25">
      <c r="A36" s="174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7"/>
      <c r="BQ36" s="173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7">
        <f t="shared" ref="BP37" si="33">BO37+BO38</f>
        <v>33</v>
      </c>
      <c r="BQ37" s="173">
        <f t="shared" ref="BQ37" si="34">82-BP37</f>
        <v>49</v>
      </c>
    </row>
    <row r="38" spans="1:69" ht="9.9499999999999993" customHeight="1" x14ac:dyDescent="0.25">
      <c r="A38" s="174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7"/>
      <c r="BQ38" s="173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7">
        <f t="shared" ref="BP39" si="35">BO39+BO40</f>
        <v>34</v>
      </c>
      <c r="BQ39" s="173">
        <f t="shared" ref="BQ39" si="36">82-BP39</f>
        <v>48</v>
      </c>
    </row>
    <row r="40" spans="1:69" ht="9.9499999999999993" customHeight="1" x14ac:dyDescent="0.25">
      <c r="A40" s="174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1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16</v>
      </c>
      <c r="BP40" s="177"/>
      <c r="BQ40" s="173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1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18</v>
      </c>
      <c r="BP41" s="177">
        <f t="shared" ref="BP41" si="37">BO41+BO42</f>
        <v>32</v>
      </c>
      <c r="BQ41" s="173">
        <f t="shared" ref="BQ41" si="38">82-BP41</f>
        <v>50</v>
      </c>
    </row>
    <row r="42" spans="1:69" ht="9.9499999999999993" customHeight="1" x14ac:dyDescent="0.25">
      <c r="A42" s="174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7"/>
      <c r="BQ42" s="173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12</v>
      </c>
      <c r="BP43" s="177">
        <f t="shared" ref="BP43" si="39">BO43+BO44</f>
        <v>31</v>
      </c>
      <c r="BQ43" s="173">
        <f t="shared" ref="BQ43" si="40">82-BP43</f>
        <v>51</v>
      </c>
    </row>
    <row r="44" spans="1:69" ht="9.9499999999999993" customHeight="1" x14ac:dyDescent="0.25">
      <c r="A44" s="174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7"/>
      <c r="BQ44" s="173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7">
        <f t="shared" ref="BP45" si="41">BO45+BO46</f>
        <v>31</v>
      </c>
      <c r="BQ45" s="173">
        <f t="shared" ref="BQ45" si="42">82-BP45</f>
        <v>51</v>
      </c>
    </row>
    <row r="46" spans="1:69" ht="9.9499999999999993" customHeight="1" x14ac:dyDescent="0.25">
      <c r="A46" s="174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16</v>
      </c>
      <c r="BP46" s="177"/>
      <c r="BQ46" s="173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7">
        <f t="shared" ref="BP47" si="43">BO47+BO48</f>
        <v>30</v>
      </c>
      <c r="BQ47" s="173">
        <f t="shared" ref="BQ47" si="44">82-BP47</f>
        <v>52</v>
      </c>
    </row>
    <row r="48" spans="1:69" ht="9.9499999999999993" customHeight="1" x14ac:dyDescent="0.25">
      <c r="A48" s="174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16</v>
      </c>
      <c r="BP48" s="177"/>
      <c r="BQ48" s="173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7">
        <f t="shared" ref="BP49" si="45">BO49+BO50</f>
        <v>33</v>
      </c>
      <c r="BQ49" s="173">
        <f t="shared" ref="BQ49" si="46">82-BP49</f>
        <v>49</v>
      </c>
    </row>
    <row r="50" spans="1:69" ht="9.9499999999999993" customHeight="1" x14ac:dyDescent="0.25">
      <c r="A50" s="174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7"/>
      <c r="BQ50" s="173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7">
        <f t="shared" ref="BP51" si="47">BO51+BO52</f>
        <v>34</v>
      </c>
      <c r="BQ51" s="173">
        <f t="shared" ref="BQ51" si="48">82-BP51</f>
        <v>48</v>
      </c>
    </row>
    <row r="52" spans="1:69" ht="9.9499999999999993" customHeight="1" x14ac:dyDescent="0.25">
      <c r="A52" s="174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1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18</v>
      </c>
      <c r="BP52" s="177"/>
      <c r="BQ52" s="173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7">
        <f t="shared" ref="BP53" si="49">BO53+BO54</f>
        <v>33</v>
      </c>
      <c r="BQ53" s="173">
        <f t="shared" ref="BQ53" si="50">82-BP53</f>
        <v>49</v>
      </c>
    </row>
    <row r="54" spans="1:69" ht="9.9499999999999993" customHeight="1" x14ac:dyDescent="0.25">
      <c r="A54" s="174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1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7">
        <f t="shared" ref="BP55" si="51">BO55+BO56</f>
        <v>31</v>
      </c>
      <c r="BQ55" s="173">
        <f t="shared" ref="BQ55" si="52">82-BP55</f>
        <v>51</v>
      </c>
    </row>
    <row r="56" spans="1:69" ht="9.9499999999999993" customHeight="1" x14ac:dyDescent="0.25">
      <c r="A56" s="174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19</v>
      </c>
      <c r="BP56" s="177"/>
      <c r="BQ56" s="173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20</v>
      </c>
      <c r="BP57" s="177">
        <f t="shared" ref="BP57" si="53">BO57+BO58</f>
        <v>34</v>
      </c>
      <c r="BQ57" s="173">
        <f t="shared" ref="BQ57" si="54">82-BP57</f>
        <v>48</v>
      </c>
    </row>
    <row r="58" spans="1:69" ht="9.9499999999999993" customHeight="1" x14ac:dyDescent="0.25">
      <c r="A58" s="174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7"/>
      <c r="BQ58" s="173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17</v>
      </c>
      <c r="BP59" s="177">
        <f t="shared" ref="BP59" si="55">BO59+BO60</f>
        <v>32</v>
      </c>
      <c r="BQ59" s="173">
        <f t="shared" ref="BQ59" si="56">82-BP59</f>
        <v>50</v>
      </c>
    </row>
    <row r="60" spans="1:69" ht="9.9499999999999993" customHeight="1" x14ac:dyDescent="0.25">
      <c r="A60" s="174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7"/>
      <c r="BQ60" s="173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7">
        <f t="shared" ref="BP61" si="57">BO61+BO62</f>
        <v>31</v>
      </c>
      <c r="BQ61" s="173">
        <f t="shared" ref="BQ61" si="58">82-BP61</f>
        <v>51</v>
      </c>
    </row>
    <row r="62" spans="1:69" ht="9.9499999999999993" customHeight="1" x14ac:dyDescent="0.25">
      <c r="A62" s="174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7"/>
      <c r="BQ62" s="173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7">
        <f t="shared" ref="BP63" si="59">BO63+BO64</f>
        <v>32</v>
      </c>
      <c r="BQ63" s="173">
        <f t="shared" ref="BQ63" si="60">82-BP63</f>
        <v>50</v>
      </c>
    </row>
    <row r="64" spans="1:69" ht="9.9499999999999993" customHeight="1" x14ac:dyDescent="0.25">
      <c r="A64" s="174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1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16</v>
      </c>
      <c r="BP64" s="177"/>
      <c r="BQ64" s="173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15</v>
      </c>
      <c r="BP65" s="177">
        <f t="shared" ref="BP65" si="61">BO65+BO66</f>
        <v>32</v>
      </c>
      <c r="BQ65" s="173">
        <f t="shared" ref="BQ65" si="62">82-BP65</f>
        <v>50</v>
      </c>
    </row>
    <row r="66" spans="1:69" ht="9.9499999999999993" customHeight="1" x14ac:dyDescent="0.25">
      <c r="A66" s="174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69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18</v>
      </c>
      <c r="BP3" s="177">
        <f>BO3+BO4</f>
        <v>33</v>
      </c>
      <c r="BQ3" s="173">
        <f>82-BP3</f>
        <v>49</v>
      </c>
      <c r="BR3" s="183">
        <f t="shared" ref="BR3" si="0">BP3/(BP3+BQ3)</f>
        <v>0.40243902439024393</v>
      </c>
    </row>
    <row r="4" spans="1:70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  <c r="BR4" s="183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19</v>
      </c>
      <c r="BP5" s="177">
        <f t="shared" ref="BP5" si="2">BO5+BO6</f>
        <v>33</v>
      </c>
      <c r="BQ5" s="173">
        <f t="shared" ref="BQ5" si="3">82-BP5</f>
        <v>49</v>
      </c>
      <c r="BR5" s="183">
        <f t="shared" ref="BR5" si="4">BP5/(BP5+BQ5)</f>
        <v>0.40243902439024393</v>
      </c>
    </row>
    <row r="6" spans="1:70" ht="9.9499999999999993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7"/>
      <c r="BQ6" s="173"/>
      <c r="BR6" s="183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19</v>
      </c>
      <c r="BP7" s="177">
        <f t="shared" ref="BP7" si="5">BO7+BO8</f>
        <v>33</v>
      </c>
      <c r="BQ7" s="173">
        <f t="shared" ref="BQ7" si="6">82-BP7</f>
        <v>49</v>
      </c>
      <c r="BR7" s="183">
        <f t="shared" ref="BR7" si="7">BP7/(BP7+BQ7)</f>
        <v>0.40243902439024393</v>
      </c>
    </row>
    <row r="8" spans="1:70" ht="9.9499999999999993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7"/>
      <c r="BQ8" s="173"/>
      <c r="BR8" s="183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18</v>
      </c>
      <c r="BP9" s="177">
        <f t="shared" ref="BP9" si="8">BO9+BO10</f>
        <v>32</v>
      </c>
      <c r="BQ9" s="173">
        <f t="shared" ref="BQ9" si="9">82-BP9</f>
        <v>50</v>
      </c>
      <c r="BR9" s="183">
        <f t="shared" ref="BR9" si="10">BP9/(BP9+BQ9)</f>
        <v>0.3902439024390244</v>
      </c>
    </row>
    <row r="10" spans="1:70" ht="9.9499999999999993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7"/>
      <c r="BQ10" s="173"/>
      <c r="BR10" s="183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7">
        <f t="shared" ref="BP11" si="11">BO11+BO12</f>
        <v>30</v>
      </c>
      <c r="BQ11" s="173">
        <f t="shared" ref="BQ11" si="12">82-BP11</f>
        <v>52</v>
      </c>
      <c r="BR11" s="183">
        <f t="shared" ref="BR11" si="13">BP11/(BP11+BQ11)</f>
        <v>0.36585365853658536</v>
      </c>
    </row>
    <row r="12" spans="1:70" ht="9.9499999999999993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16</v>
      </c>
      <c r="BP12" s="177"/>
      <c r="BQ12" s="173"/>
      <c r="BR12" s="183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7">
        <f t="shared" ref="BP13" si="14">BO13+BO14</f>
        <v>33</v>
      </c>
      <c r="BQ13" s="173">
        <f t="shared" ref="BQ13" si="15">82-BP13</f>
        <v>49</v>
      </c>
      <c r="BR13" s="183">
        <f t="shared" ref="BR13" si="16">BP13/(BP13+BQ13)</f>
        <v>0.40243902439024393</v>
      </c>
    </row>
    <row r="14" spans="1:70" ht="9.9499999999999993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7"/>
      <c r="BQ14" s="173"/>
      <c r="BR14" s="183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17</v>
      </c>
      <c r="BP15" s="177">
        <f t="shared" ref="BP15" si="17">BO15+BO16</f>
        <v>32</v>
      </c>
      <c r="BQ15" s="173">
        <f t="shared" ref="BQ15" si="18">82-BP15</f>
        <v>50</v>
      </c>
      <c r="BR15" s="183">
        <f t="shared" ref="BR15" si="19">BP15/(BP15+BQ15)</f>
        <v>0.3902439024390244</v>
      </c>
    </row>
    <row r="16" spans="1:70" ht="9.9499999999999993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7"/>
      <c r="BQ16" s="173"/>
      <c r="BR16" s="183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7">
        <f t="shared" ref="BP17" si="20">BO17+BO18</f>
        <v>31</v>
      </c>
      <c r="BQ17" s="173">
        <f t="shared" ref="BQ17" si="21">82-BP17</f>
        <v>51</v>
      </c>
      <c r="BR17" s="183">
        <f t="shared" ref="BR17" si="22">BP17/(BP17+BQ17)</f>
        <v>0.37804878048780488</v>
      </c>
    </row>
    <row r="18" spans="1:70" ht="9.9499999999999993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7"/>
      <c r="BQ18" s="173"/>
      <c r="BR18" s="183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16</v>
      </c>
      <c r="BP19" s="177">
        <f t="shared" ref="BP19" si="23">BO19+BO20</f>
        <v>32</v>
      </c>
      <c r="BQ19" s="173">
        <f t="shared" ref="BQ19" si="24">82-BP19</f>
        <v>50</v>
      </c>
      <c r="BR19" s="183">
        <f t="shared" ref="BR19" si="25">BP19/(BP19+BQ19)</f>
        <v>0.3902439024390244</v>
      </c>
    </row>
    <row r="20" spans="1:70" ht="9.9499999999999993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7"/>
      <c r="BQ20" s="173"/>
      <c r="BR20" s="183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7">
        <f t="shared" ref="BP21" si="26">BO21+BO22</f>
        <v>32</v>
      </c>
      <c r="BQ21" s="173">
        <f t="shared" ref="BQ21" si="27">82-BP21</f>
        <v>50</v>
      </c>
      <c r="BR21" s="183">
        <f t="shared" ref="BR21" si="28">BP21/(BP21+BQ21)</f>
        <v>0.3902439024390244</v>
      </c>
    </row>
    <row r="22" spans="1:70" ht="9.9499999999999993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7"/>
      <c r="BQ22" s="173"/>
      <c r="BR22" s="183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7">
        <f t="shared" ref="BP23" si="29">BO23+BO24</f>
        <v>34</v>
      </c>
      <c r="BQ23" s="173">
        <f t="shared" ref="BQ23" si="30">82-BP23</f>
        <v>48</v>
      </c>
      <c r="BR23" s="183">
        <f t="shared" ref="BR23" si="31">BP23/(BP23+BQ23)</f>
        <v>0.41463414634146339</v>
      </c>
    </row>
    <row r="24" spans="1:70" ht="9.9499999999999993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17</v>
      </c>
      <c r="BP24" s="177"/>
      <c r="BQ24" s="173"/>
      <c r="BR24" s="183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7">
        <f t="shared" ref="BP25" si="32">BO25+BO26</f>
        <v>33</v>
      </c>
      <c r="BQ25" s="173">
        <f t="shared" ref="BQ25" si="33">82-BP25</f>
        <v>49</v>
      </c>
      <c r="BR25" s="183">
        <f t="shared" ref="BR25" si="34">BP25/(BP25+BQ25)</f>
        <v>0.40243902439024393</v>
      </c>
    </row>
    <row r="26" spans="1:70" ht="9.9499999999999993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18</v>
      </c>
      <c r="BP26" s="177"/>
      <c r="BQ26" s="173"/>
      <c r="BR26" s="183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14</v>
      </c>
      <c r="BP27" s="177">
        <f t="shared" ref="BP27" si="35">BO27+BO28</f>
        <v>32</v>
      </c>
      <c r="BQ27" s="173">
        <f t="shared" ref="BQ27" si="36">82-BP27</f>
        <v>50</v>
      </c>
      <c r="BR27" s="183">
        <f t="shared" ref="BR27" si="37">BP27/(BP27+BQ27)</f>
        <v>0.3902439024390244</v>
      </c>
    </row>
    <row r="28" spans="1:70" ht="9.9499999999999993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7"/>
      <c r="BQ28" s="173"/>
      <c r="BR28" s="183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7">
        <f t="shared" ref="BP29" si="38">BO29+BO30</f>
        <v>34</v>
      </c>
      <c r="BQ29" s="173">
        <f t="shared" ref="BQ29" si="39">82-BP29</f>
        <v>48</v>
      </c>
      <c r="BR29" s="183">
        <f t="shared" ref="BR29" si="40">BP29/(BP29+BQ29)</f>
        <v>0.41463414634146339</v>
      </c>
    </row>
    <row r="30" spans="1:70" ht="9.9499999999999993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18</v>
      </c>
      <c r="BP30" s="177"/>
      <c r="BQ30" s="173"/>
      <c r="BR30" s="183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20</v>
      </c>
      <c r="BP31" s="177">
        <f t="shared" ref="BP31" si="41">BO31+BO32</f>
        <v>34</v>
      </c>
      <c r="BQ31" s="173">
        <f t="shared" ref="BQ31" si="42">82-BP31</f>
        <v>48</v>
      </c>
      <c r="BR31" s="183">
        <f t="shared" ref="BR31" si="43">BP31/(BP31+BQ31)</f>
        <v>0.41463414634146339</v>
      </c>
    </row>
    <row r="32" spans="1:70" ht="9.9499999999999993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7"/>
      <c r="BQ32" s="173"/>
      <c r="BR32" s="183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7">
        <f t="shared" ref="BP33" si="44">BO33+BO34</f>
        <v>32</v>
      </c>
      <c r="BQ33" s="173">
        <f t="shared" ref="BQ33" si="45">82-BP33</f>
        <v>50</v>
      </c>
      <c r="BR33" s="183">
        <f t="shared" ref="BR33" si="46">BP33/(BP33+BQ33)</f>
        <v>0.3902439024390244</v>
      </c>
    </row>
    <row r="34" spans="1:70" ht="9.9499999999999993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16</v>
      </c>
      <c r="BP34" s="177"/>
      <c r="BQ34" s="173"/>
      <c r="BR34" s="183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7">
        <f t="shared" ref="BP35" si="47">BO35+BO36</f>
        <v>32</v>
      </c>
      <c r="BQ35" s="173">
        <f t="shared" ref="BQ35" si="48">82-BP35</f>
        <v>50</v>
      </c>
      <c r="BR35" s="183">
        <f t="shared" ref="BR35" si="49">BP35/(BP35+BQ35)</f>
        <v>0.3902439024390244</v>
      </c>
    </row>
    <row r="36" spans="1:70" ht="9.9499999999999993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7"/>
      <c r="BQ36" s="173"/>
      <c r="BR36" s="183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7">
        <f t="shared" ref="BP37" si="50">BO37+BO38</f>
        <v>32</v>
      </c>
      <c r="BQ37" s="173">
        <f t="shared" ref="BQ37" si="51">82-BP37</f>
        <v>50</v>
      </c>
      <c r="BR37" s="183">
        <f t="shared" ref="BR37" si="52">BP37/(BP37+BQ37)</f>
        <v>0.3902439024390244</v>
      </c>
    </row>
    <row r="38" spans="1:70" ht="9.9499999999999993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14</v>
      </c>
      <c r="BP38" s="177"/>
      <c r="BQ38" s="173"/>
      <c r="BR38" s="183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7">
        <f t="shared" ref="BP39" si="53">BO39+BO40</f>
        <v>33</v>
      </c>
      <c r="BQ39" s="173">
        <f t="shared" ref="BQ39" si="54">82-BP39</f>
        <v>49</v>
      </c>
      <c r="BR39" s="183">
        <f t="shared" ref="BR39" si="55">BP39/(BP39+BQ39)</f>
        <v>0.40243902439024393</v>
      </c>
    </row>
    <row r="40" spans="1:70" ht="9.9499999999999993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7"/>
      <c r="BQ40" s="173"/>
      <c r="BR40" s="183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7">
        <f t="shared" ref="BP41" si="56">BO41+BO42</f>
        <v>33</v>
      </c>
      <c r="BQ41" s="173">
        <f t="shared" ref="BQ41" si="57">82-BP41</f>
        <v>49</v>
      </c>
      <c r="BR41" s="183">
        <f t="shared" ref="BR41" si="58">BP41/(BP41+BQ41)</f>
        <v>0.40243902439024393</v>
      </c>
    </row>
    <row r="42" spans="1:70" ht="9.9499999999999993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7"/>
      <c r="BQ42" s="173"/>
      <c r="BR42" s="183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7">
        <f t="shared" ref="BP43" si="59">BO43+BO44</f>
        <v>34</v>
      </c>
      <c r="BQ43" s="173">
        <f t="shared" ref="BQ43" si="60">82-BP43</f>
        <v>48</v>
      </c>
      <c r="BR43" s="183">
        <f t="shared" ref="BR43" si="61">BP43/(BP43+BQ43)</f>
        <v>0.41463414634146339</v>
      </c>
    </row>
    <row r="44" spans="1:70" ht="9.9499999999999993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16</v>
      </c>
      <c r="BP44" s="177"/>
      <c r="BQ44" s="173"/>
      <c r="BR44" s="183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12</v>
      </c>
      <c r="BP45" s="177">
        <f t="shared" ref="BP45" si="62">BO45+BO46</f>
        <v>31</v>
      </c>
      <c r="BQ45" s="173">
        <f t="shared" ref="BQ45" si="63">82-BP45</f>
        <v>51</v>
      </c>
      <c r="BR45" s="183">
        <f t="shared" ref="BR45" si="64">BP45/(BP45+BQ45)</f>
        <v>0.37804878048780488</v>
      </c>
    </row>
    <row r="46" spans="1:70" ht="9.9499999999999993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7"/>
      <c r="BQ46" s="173"/>
      <c r="BR46" s="183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7">
        <f t="shared" ref="BP47" si="65">BO47+BO48</f>
        <v>31</v>
      </c>
      <c r="BQ47" s="173">
        <f t="shared" ref="BQ47" si="66">82-BP47</f>
        <v>51</v>
      </c>
      <c r="BR47" s="183">
        <f t="shared" ref="BR47" si="67">BP47/(BP47+BQ47)</f>
        <v>0.37804878048780488</v>
      </c>
    </row>
    <row r="48" spans="1:70" ht="9.9499999999999993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16</v>
      </c>
      <c r="BP48" s="177"/>
      <c r="BQ48" s="173"/>
      <c r="BR48" s="183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15</v>
      </c>
      <c r="BP49" s="177">
        <f t="shared" ref="BP49" si="68">BO49+BO50</f>
        <v>32</v>
      </c>
      <c r="BQ49" s="173">
        <f t="shared" ref="BQ49" si="69">82-BP49</f>
        <v>50</v>
      </c>
      <c r="BR49" s="183">
        <f t="shared" ref="BR49" si="70">BP49/(BP49+BQ49)</f>
        <v>0.3902439024390244</v>
      </c>
    </row>
    <row r="50" spans="1:70" ht="9.9499999999999993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7"/>
      <c r="BQ50" s="173"/>
      <c r="BR50" s="183"/>
    </row>
    <row r="51" spans="1:70" ht="9.9499999999999993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7">
        <f t="shared" ref="BP51" si="71">BO51+BO52</f>
        <v>33</v>
      </c>
      <c r="BQ51" s="173">
        <f t="shared" ref="BQ51" si="72">82-BP51</f>
        <v>49</v>
      </c>
      <c r="BR51" s="183">
        <f t="shared" ref="BR51" si="73">BP51/(BP51+BQ51)</f>
        <v>0.40243902439024393</v>
      </c>
    </row>
    <row r="52" spans="1:70" ht="9.9499999999999993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7"/>
      <c r="BQ52" s="173"/>
      <c r="BR52" s="183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7">
        <f t="shared" ref="BP53" si="74">BO53+BO54</f>
        <v>32</v>
      </c>
      <c r="BQ53" s="173">
        <f t="shared" ref="BQ53" si="75">82-BP53</f>
        <v>50</v>
      </c>
      <c r="BR53" s="183">
        <f t="shared" ref="BR53" si="76">BP53/(BP53+BQ53)</f>
        <v>0.3902439024390244</v>
      </c>
    </row>
    <row r="54" spans="1:70" ht="9.9499999999999993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7"/>
      <c r="BQ54" s="173"/>
      <c r="BR54" s="183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7">
        <f t="shared" ref="BP55" si="77">BO55+BO56</f>
        <v>33</v>
      </c>
      <c r="BQ55" s="173">
        <f t="shared" ref="BQ55" si="78">82-BP55</f>
        <v>49</v>
      </c>
      <c r="BR55" s="183">
        <f t="shared" ref="BR55" si="79">BP55/(BP55+BQ55)</f>
        <v>0.40243902439024393</v>
      </c>
    </row>
    <row r="56" spans="1:70" ht="9.9499999999999993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7"/>
      <c r="BQ56" s="173"/>
      <c r="BR56" s="183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14</v>
      </c>
      <c r="BP57" s="177">
        <f t="shared" ref="BP57" si="80">BO57+BO58</f>
        <v>32</v>
      </c>
      <c r="BQ57" s="173">
        <f t="shared" ref="BQ57" si="81">82-BP57</f>
        <v>50</v>
      </c>
      <c r="BR57" s="183">
        <f t="shared" ref="BR57" si="82">BP57/(BP57+BQ57)</f>
        <v>0.3902439024390244</v>
      </c>
    </row>
    <row r="58" spans="1:70" ht="9.9499999999999993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7"/>
      <c r="BQ58" s="173"/>
      <c r="BR58" s="183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7">
        <f t="shared" ref="BP59" si="83">BO59+BO60</f>
        <v>32</v>
      </c>
      <c r="BQ59" s="173">
        <f t="shared" ref="BQ59" si="84">82-BP59</f>
        <v>50</v>
      </c>
      <c r="BR59" s="183">
        <f t="shared" ref="BR59" si="85">BP59/(BP59+BQ59)</f>
        <v>0.3902439024390244</v>
      </c>
    </row>
    <row r="60" spans="1:70" ht="9.9499999999999993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17</v>
      </c>
      <c r="BP60" s="177"/>
      <c r="BQ60" s="173"/>
      <c r="BR60" s="183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18</v>
      </c>
      <c r="BP61" s="177">
        <f t="shared" ref="BP61" si="86">BO61+BO62</f>
        <v>32</v>
      </c>
      <c r="BQ61" s="173">
        <f t="shared" ref="BQ61" si="87">82-BP61</f>
        <v>50</v>
      </c>
      <c r="BR61" s="183">
        <f t="shared" ref="BR61" si="88">BP61/(BP61+BQ61)</f>
        <v>0.3902439024390244</v>
      </c>
    </row>
    <row r="62" spans="1:70" ht="9.9499999999999993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7"/>
      <c r="BQ62" s="173"/>
      <c r="BR62" s="183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7">
        <f t="shared" ref="BP63" si="89">BO63+BO64</f>
        <v>33</v>
      </c>
      <c r="BQ63" s="173">
        <f t="shared" ref="BQ63" si="90">82-BP63</f>
        <v>49</v>
      </c>
      <c r="BR63" s="183">
        <f t="shared" ref="BR63" si="91">BP63/(BP63+BQ63)</f>
        <v>0.40243902439024393</v>
      </c>
    </row>
    <row r="64" spans="1:70" ht="9.9499999999999993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16</v>
      </c>
      <c r="BP64" s="177"/>
      <c r="BQ64" s="173"/>
      <c r="BR64" s="183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7">
        <f t="shared" ref="BP65" si="92">BO65+BO66</f>
        <v>31</v>
      </c>
      <c r="BQ65" s="173">
        <f t="shared" ref="BQ65" si="93">82-BP65</f>
        <v>51</v>
      </c>
      <c r="BR65" s="183">
        <f>BP65/(BP65+BQ65)</f>
        <v>0.37804878048780488</v>
      </c>
    </row>
    <row r="66" spans="1:70" ht="9.9499999999999993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19</v>
      </c>
      <c r="BP66" s="177"/>
      <c r="BQ66" s="173"/>
      <c r="BR66" s="18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70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1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14</v>
      </c>
      <c r="BP3" s="177">
        <f>BO3+BO4</f>
        <v>26</v>
      </c>
      <c r="BQ3" s="173">
        <f>82-BP3</f>
        <v>56</v>
      </c>
      <c r="BR3" s="183">
        <f t="shared" ref="BR3:BR67" si="0">BP3/(BP3+BQ3)</f>
        <v>0.31707317073170732</v>
      </c>
      <c r="BT3" s="37">
        <f>DataRegularSeason20242025!$A$3:$A$8</f>
        <v>45937</v>
      </c>
    </row>
    <row r="4" spans="1:72" s="27" customFormat="1" ht="9.9499999999999993" customHeight="1" x14ac:dyDescent="0.2">
      <c r="A4" s="174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7"/>
      <c r="BQ4" s="173"/>
      <c r="BR4" s="183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7">
        <f t="shared" ref="BP5" si="2">BO5+BO6</f>
        <v>26</v>
      </c>
      <c r="BQ5" s="173">
        <f t="shared" ref="BQ5" si="3">82-BP5</f>
        <v>56</v>
      </c>
      <c r="BR5" s="183">
        <f t="shared" si="0"/>
        <v>0.31707317073170732</v>
      </c>
    </row>
    <row r="6" spans="1:72" s="27" customFormat="1" ht="9.9499999999999993" customHeight="1" x14ac:dyDescent="0.2">
      <c r="A6" s="174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7"/>
      <c r="BQ6" s="173"/>
      <c r="BR6" s="183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7">
        <f t="shared" ref="BP7" si="4">BO7+BO8</f>
        <v>28</v>
      </c>
      <c r="BQ7" s="173">
        <f t="shared" ref="BQ7" si="5">82-BP7</f>
        <v>54</v>
      </c>
      <c r="BR7" s="183">
        <f t="shared" si="0"/>
        <v>0.34146341463414637</v>
      </c>
    </row>
    <row r="8" spans="1:72" s="27" customFormat="1" ht="9.9499999999999993" customHeight="1" x14ac:dyDescent="0.2">
      <c r="A8" s="174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7"/>
      <c r="BQ8" s="173"/>
      <c r="BR8" s="183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7">
        <f t="shared" ref="BP9" si="6">BO9+BO10</f>
        <v>27</v>
      </c>
      <c r="BQ9" s="173">
        <f t="shared" ref="BQ9" si="7">82-BP9</f>
        <v>55</v>
      </c>
      <c r="BR9" s="183">
        <f t="shared" si="0"/>
        <v>0.32926829268292684</v>
      </c>
    </row>
    <row r="10" spans="1:72" s="27" customFormat="1" ht="9.9499999999999993" customHeight="1" x14ac:dyDescent="0.2">
      <c r="A10" s="174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7"/>
      <c r="BQ10" s="173"/>
      <c r="BR10" s="183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7">
        <f t="shared" ref="BP11" si="8">BO11+BO12</f>
        <v>23</v>
      </c>
      <c r="BQ11" s="173">
        <f t="shared" ref="BQ11" si="9">82-BP11</f>
        <v>59</v>
      </c>
      <c r="BR11" s="183">
        <f t="shared" si="0"/>
        <v>0.28048780487804881</v>
      </c>
    </row>
    <row r="12" spans="1:72" s="27" customFormat="1" ht="9.9499999999999993" customHeight="1" x14ac:dyDescent="0.2">
      <c r="A12" s="174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9</v>
      </c>
      <c r="BP12" s="177"/>
      <c r="BQ12" s="173"/>
      <c r="BR12" s="183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19</v>
      </c>
      <c r="BP13" s="177">
        <f t="shared" ref="BP13" si="10">BO13+BO14</f>
        <v>33</v>
      </c>
      <c r="BQ13" s="173">
        <f t="shared" ref="BQ13" si="11">82-BP13</f>
        <v>49</v>
      </c>
      <c r="BR13" s="183">
        <f t="shared" si="0"/>
        <v>0.40243902439024393</v>
      </c>
    </row>
    <row r="14" spans="1:72" s="27" customFormat="1" ht="9.9499999999999993" customHeight="1" x14ac:dyDescent="0.2">
      <c r="A14" s="174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7"/>
      <c r="BQ14" s="173"/>
      <c r="BR14" s="183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15</v>
      </c>
      <c r="BP15" s="177">
        <f t="shared" ref="BP15" si="12">BO15+BO16</f>
        <v>30</v>
      </c>
      <c r="BQ15" s="173">
        <f t="shared" ref="BQ15" si="13">82-BP15</f>
        <v>52</v>
      </c>
      <c r="BR15" s="183">
        <f t="shared" si="0"/>
        <v>0.36585365853658536</v>
      </c>
    </row>
    <row r="16" spans="1:72" s="27" customFormat="1" ht="9.9499999999999993" customHeight="1" x14ac:dyDescent="0.2">
      <c r="A16" s="174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7"/>
      <c r="BQ16" s="173"/>
      <c r="BR16" s="183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7">
        <f t="shared" ref="BP17" si="14">BO17+BO18</f>
        <v>28</v>
      </c>
      <c r="BQ17" s="173">
        <f t="shared" ref="BQ17" si="15">82-BP17</f>
        <v>54</v>
      </c>
      <c r="BR17" s="183">
        <f t="shared" si="0"/>
        <v>0.34146341463414637</v>
      </c>
    </row>
    <row r="18" spans="1:70" s="27" customFormat="1" ht="9.9499999999999993" customHeight="1" x14ac:dyDescent="0.2">
      <c r="A18" s="174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7"/>
      <c r="BQ18" s="173"/>
      <c r="BR18" s="183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7">
        <f t="shared" ref="BP19" si="16">BO19+BO20</f>
        <v>28</v>
      </c>
      <c r="BQ19" s="173">
        <f t="shared" ref="BQ19" si="17">82-BP19</f>
        <v>54</v>
      </c>
      <c r="BR19" s="183">
        <f t="shared" si="0"/>
        <v>0.34146341463414637</v>
      </c>
    </row>
    <row r="20" spans="1:70" s="27" customFormat="1" ht="9.9499999999999993" customHeight="1" x14ac:dyDescent="0.2">
      <c r="A20" s="174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1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12</v>
      </c>
      <c r="BP20" s="177"/>
      <c r="BQ20" s="173"/>
      <c r="BR20" s="183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7">
        <f t="shared" ref="BP21" si="18">BO21+BO22</f>
        <v>32</v>
      </c>
      <c r="BQ21" s="173">
        <f t="shared" ref="BQ21" si="19">82-BP21</f>
        <v>50</v>
      </c>
      <c r="BR21" s="183">
        <f t="shared" si="0"/>
        <v>0.3902439024390244</v>
      </c>
    </row>
    <row r="22" spans="1:70" s="27" customFormat="1" ht="9.9499999999999993" customHeight="1" x14ac:dyDescent="0.2">
      <c r="A22" s="174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7"/>
      <c r="BQ22" s="173"/>
      <c r="BR22" s="183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18</v>
      </c>
      <c r="BP23" s="177">
        <f t="shared" ref="BP23" si="20">BO23+BO24</f>
        <v>32</v>
      </c>
      <c r="BQ23" s="173">
        <f t="shared" ref="BQ23" si="21">82-BP23</f>
        <v>50</v>
      </c>
      <c r="BR23" s="183">
        <f t="shared" si="0"/>
        <v>0.3902439024390244</v>
      </c>
    </row>
    <row r="24" spans="1:70" s="27" customFormat="1" ht="9.9499999999999993" customHeight="1" x14ac:dyDescent="0.2">
      <c r="A24" s="174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7"/>
      <c r="BQ24" s="173"/>
      <c r="BR24" s="183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1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11</v>
      </c>
      <c r="BP25" s="177">
        <f t="shared" ref="BP25" si="22">BO25+BO26</f>
        <v>27</v>
      </c>
      <c r="BQ25" s="173">
        <f t="shared" ref="BQ25" si="23">82-BP25</f>
        <v>55</v>
      </c>
      <c r="BR25" s="183">
        <f t="shared" si="0"/>
        <v>0.32926829268292684</v>
      </c>
    </row>
    <row r="26" spans="1:70" s="27" customFormat="1" ht="9.9499999999999993" customHeight="1" x14ac:dyDescent="0.2">
      <c r="A26" s="174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7"/>
      <c r="BQ26" s="173"/>
      <c r="BR26" s="183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1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13</v>
      </c>
      <c r="BP27" s="177">
        <f t="shared" ref="BP27" si="24">BO27+BO28</f>
        <v>25</v>
      </c>
      <c r="BQ27" s="173">
        <f t="shared" ref="BQ27" si="25">82-BP27</f>
        <v>57</v>
      </c>
      <c r="BR27" s="183">
        <f t="shared" si="0"/>
        <v>0.3048780487804878</v>
      </c>
    </row>
    <row r="28" spans="1:70" s="27" customFormat="1" ht="9.9499999999999993" customHeight="1" x14ac:dyDescent="0.2">
      <c r="A28" s="174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7"/>
      <c r="BQ28" s="173"/>
      <c r="BR28" s="183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7">
        <f t="shared" ref="BP29" si="26">BO29+BO30</f>
        <v>25</v>
      </c>
      <c r="BQ29" s="173">
        <f t="shared" ref="BQ29" si="27">82-BP29</f>
        <v>57</v>
      </c>
      <c r="BR29" s="183">
        <f t="shared" si="0"/>
        <v>0.3048780487804878</v>
      </c>
    </row>
    <row r="30" spans="1:70" s="27" customFormat="1" ht="9.9499999999999993" customHeight="1" x14ac:dyDescent="0.2">
      <c r="A30" s="174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13</v>
      </c>
      <c r="BP30" s="177"/>
      <c r="BQ30" s="173"/>
      <c r="BR30" s="183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7">
        <f t="shared" ref="BP31" si="28">BO31+BO32</f>
        <v>31</v>
      </c>
      <c r="BQ31" s="173">
        <f t="shared" ref="BQ31" si="29">82-BP31</f>
        <v>51</v>
      </c>
      <c r="BR31" s="183">
        <f t="shared" si="0"/>
        <v>0.37804878048780488</v>
      </c>
    </row>
    <row r="32" spans="1:70" s="27" customFormat="1" ht="9.9499999999999993" customHeight="1" x14ac:dyDescent="0.2">
      <c r="A32" s="174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16</v>
      </c>
      <c r="BP32" s="177"/>
      <c r="BQ32" s="173"/>
      <c r="BR32" s="183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7">
        <f t="shared" ref="BP33" si="30">BO33+BO34</f>
        <v>27</v>
      </c>
      <c r="BQ33" s="173">
        <f t="shared" ref="BQ33" si="31">82-BP33</f>
        <v>55</v>
      </c>
      <c r="BR33" s="183">
        <f t="shared" si="0"/>
        <v>0.32926829268292684</v>
      </c>
    </row>
    <row r="34" spans="1:70" s="27" customFormat="1" ht="9.9499999999999993" customHeight="1" x14ac:dyDescent="0.2">
      <c r="A34" s="174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7"/>
      <c r="BQ34" s="173"/>
      <c r="BR34" s="183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1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9</v>
      </c>
      <c r="BP35" s="177">
        <f t="shared" ref="BP35" si="32">BO35+BO36</f>
        <v>24</v>
      </c>
      <c r="BQ35" s="173">
        <f t="shared" ref="BQ35" si="33">82-BP35</f>
        <v>58</v>
      </c>
      <c r="BR35" s="183">
        <f t="shared" si="0"/>
        <v>0.29268292682926828</v>
      </c>
    </row>
    <row r="36" spans="1:70" s="27" customFormat="1" ht="9.9499999999999993" customHeight="1" x14ac:dyDescent="0.2">
      <c r="A36" s="174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7"/>
      <c r="BQ36" s="173"/>
      <c r="BR36" s="183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7">
        <f t="shared" ref="BP37" si="34">BO37+BO38</f>
        <v>25</v>
      </c>
      <c r="BQ37" s="173">
        <f t="shared" ref="BQ37" si="35">82-BP37</f>
        <v>57</v>
      </c>
      <c r="BR37" s="183">
        <f t="shared" si="0"/>
        <v>0.3048780487804878</v>
      </c>
    </row>
    <row r="38" spans="1:70" s="27" customFormat="1" ht="9.9499999999999993" customHeight="1" x14ac:dyDescent="0.2">
      <c r="A38" s="174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7"/>
      <c r="BQ38" s="173"/>
      <c r="BR38" s="183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7">
        <f t="shared" ref="BP39" si="36">BO39+BO40</f>
        <v>31</v>
      </c>
      <c r="BQ39" s="173">
        <f t="shared" ref="BQ39" si="37">82-BP39</f>
        <v>51</v>
      </c>
      <c r="BR39" s="183">
        <f t="shared" si="0"/>
        <v>0.37804878048780488</v>
      </c>
    </row>
    <row r="40" spans="1:70" s="27" customFormat="1" ht="9.9499999999999993" customHeight="1" x14ac:dyDescent="0.2">
      <c r="A40" s="174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1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15</v>
      </c>
      <c r="BP40" s="177"/>
      <c r="BQ40" s="173"/>
      <c r="BR40" s="183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1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16</v>
      </c>
      <c r="BP41" s="177">
        <f t="shared" ref="BP41" si="38">BO41+BO42</f>
        <v>28</v>
      </c>
      <c r="BQ41" s="173">
        <f t="shared" ref="BQ41" si="39">82-BP41</f>
        <v>54</v>
      </c>
      <c r="BR41" s="183">
        <f t="shared" si="0"/>
        <v>0.34146341463414637</v>
      </c>
    </row>
    <row r="42" spans="1:70" s="27" customFormat="1" ht="9.9499999999999993" customHeight="1" x14ac:dyDescent="0.2">
      <c r="A42" s="174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7"/>
      <c r="BQ42" s="173"/>
      <c r="BR42" s="183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9</v>
      </c>
      <c r="BP43" s="177">
        <f t="shared" ref="BP43" si="40">BO43+BO44</f>
        <v>23</v>
      </c>
      <c r="BQ43" s="173">
        <f t="shared" ref="BQ43" si="41">82-BP43</f>
        <v>59</v>
      </c>
      <c r="BR43" s="183">
        <f t="shared" si="0"/>
        <v>0.28048780487804881</v>
      </c>
    </row>
    <row r="44" spans="1:70" s="27" customFormat="1" ht="9.9499999999999993" customHeight="1" x14ac:dyDescent="0.2">
      <c r="A44" s="174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7"/>
      <c r="BQ44" s="173"/>
      <c r="BR44" s="183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7">
        <f t="shared" ref="BP45" si="42">BO45+BO46</f>
        <v>27</v>
      </c>
      <c r="BQ45" s="173">
        <f t="shared" ref="BQ45" si="43">82-BP45</f>
        <v>55</v>
      </c>
      <c r="BR45" s="183">
        <f t="shared" si="0"/>
        <v>0.32926829268292684</v>
      </c>
    </row>
    <row r="46" spans="1:70" s="27" customFormat="1" ht="9.9499999999999993" customHeight="1" x14ac:dyDescent="0.2">
      <c r="A46" s="174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13</v>
      </c>
      <c r="BP46" s="177"/>
      <c r="BQ46" s="173"/>
      <c r="BR46" s="183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7">
        <f t="shared" ref="BP47" si="44">BO47+BO48</f>
        <v>27</v>
      </c>
      <c r="BQ47" s="173">
        <f t="shared" ref="BQ47" si="45">82-BP47</f>
        <v>55</v>
      </c>
      <c r="BR47" s="183">
        <f t="shared" si="0"/>
        <v>0.32926829268292684</v>
      </c>
    </row>
    <row r="48" spans="1:70" s="27" customFormat="1" ht="9.9499999999999993" customHeight="1" x14ac:dyDescent="0.2">
      <c r="A48" s="174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14</v>
      </c>
      <c r="BP48" s="177"/>
      <c r="BQ48" s="173"/>
      <c r="BR48" s="183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7">
        <f t="shared" ref="BP49" si="46">BO49+BO50</f>
        <v>25</v>
      </c>
      <c r="BQ49" s="173">
        <f t="shared" ref="BQ49" si="47">82-BP49</f>
        <v>57</v>
      </c>
      <c r="BR49" s="183">
        <f t="shared" si="0"/>
        <v>0.3048780487804878</v>
      </c>
    </row>
    <row r="50" spans="1:70" s="27" customFormat="1" ht="9.9499999999999993" customHeight="1" x14ac:dyDescent="0.2">
      <c r="A50" s="174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7"/>
      <c r="BQ50" s="173"/>
      <c r="BR50" s="183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7">
        <f t="shared" ref="BP51" si="48">BO51+BO52</f>
        <v>27</v>
      </c>
      <c r="BQ51" s="173">
        <f t="shared" ref="BQ51" si="49">82-BP51</f>
        <v>55</v>
      </c>
      <c r="BR51" s="183">
        <f t="shared" si="0"/>
        <v>0.32926829268292684</v>
      </c>
    </row>
    <row r="52" spans="1:70" s="27" customFormat="1" ht="9.9499999999999993" customHeight="1" x14ac:dyDescent="0.2">
      <c r="A52" s="174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1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17</v>
      </c>
      <c r="BP52" s="177"/>
      <c r="BQ52" s="173"/>
      <c r="BR52" s="183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7">
        <f t="shared" ref="BP53" si="50">BO53+BO54</f>
        <v>27</v>
      </c>
      <c r="BQ53" s="173">
        <f t="shared" ref="BQ53" si="51">82-BP53</f>
        <v>55</v>
      </c>
      <c r="BR53" s="183">
        <f t="shared" si="0"/>
        <v>0.32926829268292684</v>
      </c>
    </row>
    <row r="54" spans="1:70" s="27" customFormat="1" ht="9.9499999999999993" customHeight="1" x14ac:dyDescent="0.2">
      <c r="A54" s="174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1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11</v>
      </c>
      <c r="BP54" s="177"/>
      <c r="BQ54" s="173"/>
      <c r="BR54" s="183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7">
        <f t="shared" ref="BP55" si="52">BO55+BO56</f>
        <v>29</v>
      </c>
      <c r="BQ55" s="173">
        <f t="shared" ref="BQ55" si="53">82-BP55</f>
        <v>53</v>
      </c>
      <c r="BR55" s="183">
        <f t="shared" si="0"/>
        <v>0.35365853658536583</v>
      </c>
    </row>
    <row r="56" spans="1:70" s="27" customFormat="1" ht="9.9499999999999993" customHeight="1" x14ac:dyDescent="0.2">
      <c r="A56" s="174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18</v>
      </c>
      <c r="BP56" s="177"/>
      <c r="BQ56" s="173"/>
      <c r="BR56" s="183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16</v>
      </c>
      <c r="BP57" s="177">
        <f t="shared" ref="BP57" si="54">BO57+BO58</f>
        <v>29</v>
      </c>
      <c r="BQ57" s="173">
        <f t="shared" ref="BQ57" si="55">82-BP57</f>
        <v>53</v>
      </c>
      <c r="BR57" s="183">
        <f t="shared" si="0"/>
        <v>0.35365853658536583</v>
      </c>
    </row>
    <row r="58" spans="1:70" s="27" customFormat="1" ht="9.9499999999999993" customHeight="1" x14ac:dyDescent="0.2">
      <c r="A58" s="174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7"/>
      <c r="BQ58" s="173"/>
      <c r="BR58" s="183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15</v>
      </c>
      <c r="BP59" s="177">
        <f t="shared" ref="BP59" si="56">BO59+BO60</f>
        <v>29</v>
      </c>
      <c r="BQ59" s="173">
        <f t="shared" ref="BQ59" si="57">82-BP59</f>
        <v>53</v>
      </c>
      <c r="BR59" s="183">
        <f t="shared" si="0"/>
        <v>0.35365853658536583</v>
      </c>
    </row>
    <row r="60" spans="1:70" s="27" customFormat="1" ht="9.9499999999999993" customHeight="1" x14ac:dyDescent="0.2">
      <c r="A60" s="174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7"/>
      <c r="BQ60" s="173"/>
      <c r="BR60" s="183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7">
        <f t="shared" ref="BP61" si="58">BO61+BO62</f>
        <v>26</v>
      </c>
      <c r="BQ61" s="173">
        <f t="shared" ref="BQ61" si="59">82-BP61</f>
        <v>56</v>
      </c>
      <c r="BR61" s="183">
        <f t="shared" si="0"/>
        <v>0.31707317073170732</v>
      </c>
    </row>
    <row r="62" spans="1:70" s="27" customFormat="1" ht="9.9499999999999993" customHeight="1" x14ac:dyDescent="0.2">
      <c r="A62" s="174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7"/>
      <c r="BQ62" s="173"/>
      <c r="BR62" s="183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7">
        <f t="shared" ref="BP63" si="60">BO63+BO64</f>
        <v>26</v>
      </c>
      <c r="BQ63" s="173">
        <f t="shared" ref="BQ63" si="61">82-BP63</f>
        <v>56</v>
      </c>
      <c r="BR63" s="183">
        <f t="shared" si="0"/>
        <v>0.31707317073170732</v>
      </c>
    </row>
    <row r="64" spans="1:70" s="27" customFormat="1" ht="9.9499999999999993" customHeight="1" x14ac:dyDescent="0.2">
      <c r="A64" s="174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1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14</v>
      </c>
      <c r="BP64" s="177"/>
      <c r="BQ64" s="173"/>
      <c r="BR64" s="183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11</v>
      </c>
      <c r="BP65" s="177">
        <f t="shared" ref="BP65" si="62">BO65+BO66</f>
        <v>23</v>
      </c>
      <c r="BQ65" s="173">
        <f t="shared" ref="BQ65" si="63">82-BP65</f>
        <v>59</v>
      </c>
      <c r="BR65" s="183">
        <f t="shared" si="0"/>
        <v>0.28048780487804881</v>
      </c>
    </row>
    <row r="66" spans="1:70" s="27" customFormat="1" ht="9.9499999999999993" customHeight="1" x14ac:dyDescent="0.2">
      <c r="A66" s="174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7"/>
      <c r="BQ66" s="173"/>
      <c r="BR66" s="18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437</v>
      </c>
      <c r="BQ67" s="26">
        <f>SUM(BQ3:BQ66)/2</f>
        <v>875</v>
      </c>
      <c r="BR67" s="135">
        <f t="shared" si="0"/>
        <v>0.33307926829268292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zoomScaleNormal="100" workbookViewId="0">
      <pane xSplit="1" topLeftCell="B1" activePane="topRight" state="frozen"/>
      <selection pane="topRight" activeCell="D10" sqref="D1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28</v>
      </c>
      <c r="E2" s="10">
        <f>Table3[[#This Row],[Watched]]/Table3[[#This Row],[GP]]</f>
        <v>0.875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>F2+H2</f>
        <v>32</v>
      </c>
      <c r="K2">
        <f>82-Table3[[#This Row],[GP]]</f>
        <v>50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0.71875</v>
      </c>
      <c r="AC2">
        <f>Table3[[#This Row],[W_A]]+Table3[[#This Row],[W_H]]</f>
        <v>23</v>
      </c>
      <c r="AD2">
        <f>Table3[[#This Row],[L_A]]+Table3[[#This Row],[L_H]]</f>
        <v>9</v>
      </c>
      <c r="AE2">
        <f>Table3[[#This Row],[RW_A]]+Table3[[#This Row],[RW_H]]</f>
        <v>21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0.28125</v>
      </c>
      <c r="AO2">
        <f>(2*(Table3[[#This Row],[W_A]]+Table3[[#This Row],[W_H]]))+Table3[[#This Row],[OTL_A]]+Table3[[#This Row],[SOL_A]]+Table3[[#This Row],[OTL_H]]+Table3[[#This Row],[SOL_H]]</f>
        <v>53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74</v>
      </c>
      <c r="AQ2" s="10">
        <f>Table3[[#This Row],[PTS]]/(2*Table3[[#This Row],[GP]])</f>
        <v>0.828125</v>
      </c>
      <c r="AR2" s="10">
        <f>Table3[[#This Row],[PTS2]]/(3*Table3[[#This Row],[GP]])</f>
        <v>0.77083333333333337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135.8125</v>
      </c>
      <c r="AV2">
        <f>Table3[[#This Row],[PTS2]]+(3 * Table3[[#This Row],[GR]] * Table3[[#This Row],[PTS%2]])</f>
        <v>189.625</v>
      </c>
      <c r="AW2" s="15" t="str">
        <f>_xlfn.CONCAT(TEXT(Table3[[#This Row],[W]], "0"), "-", TEXT(Table3[[#This Row],[RL]],"0"), "-", TEXT(Table3[[#This Row],[OTL]]+Table3[[#This Row],[SOL]], "0"))</f>
        <v>23-2-7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>BC2-BD2</f>
        <v>38</v>
      </c>
      <c r="BF2">
        <f>AY2+BC2</f>
        <v>128</v>
      </c>
      <c r="BG2">
        <f>AZ2+BD2</f>
        <v>74</v>
      </c>
      <c r="BH2">
        <f>BF2-BG2</f>
        <v>54</v>
      </c>
      <c r="BI2" s="12">
        <f>Table3[[#This Row],[GF]]/Table3[[#This Row],[GP]]</f>
        <v>4</v>
      </c>
      <c r="BJ2" s="12">
        <f>Table3[[#This Row],[GA]]/Table3[[#This Row],[GP]]</f>
        <v>2.3125</v>
      </c>
      <c r="BK2" s="12">
        <f>(Table3[[#This Row],[GF]]-Table3[[#This Row],[GA]])/Table3[[#This Row],[GP]]</f>
        <v>1.6875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40.799999999999997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110.15566406250001</v>
      </c>
      <c r="BR2" s="16">
        <f>(Table3[[#This Row],[W]]*0.7) + ((Table3[[#This Row],[GF]] - Table3[[#This Row],[GA]])*0.25)+(Table3[[#This Row],[GF]]*0.1)+(Table3[[#This Row],[GA]]*0.05)+(Table3[[#This Row],[L]]*0.3)</f>
        <v>48.800000000000004</v>
      </c>
      <c r="BS2" s="16">
        <f>Table3[[#This Row],[TeamCost83]]/Table3[[#This Row],[GP]]</f>
        <v>1.5250000000000001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14</v>
      </c>
      <c r="BV2">
        <f>BT2+BU2</f>
        <v>29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0.90625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18.600000000000001</v>
      </c>
      <c r="CL2">
        <f>Table3[[#This Row],[Column5]]/Table3[[#This Row],[GP]]</f>
        <v>0.58125000000000004</v>
      </c>
      <c r="CR2" t="s">
        <v>139</v>
      </c>
      <c r="CS2">
        <f>SUM($J$2:$J$33)/2</f>
        <v>518</v>
      </c>
      <c r="CW2" t="s">
        <v>57</v>
      </c>
      <c r="CX2" s="14" t="s">
        <v>150</v>
      </c>
      <c r="CY2">
        <f>INDEX($J$2:$J$33,MATCH("CGY",$A$2:$A$33,0),1)</f>
        <v>33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28</v>
      </c>
      <c r="E3" s="10">
        <f>Table3[[#This Row],[Watched]]/Table3[[#This Row],[GP]]</f>
        <v>0.82352941176470584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17</v>
      </c>
      <c r="I3">
        <f>41-Table3[[#This Row],[GP_H]]</f>
        <v>24</v>
      </c>
      <c r="J3">
        <f>F3+H3</f>
        <v>34</v>
      </c>
      <c r="K3">
        <f>82-Table3[[#This Row],[GP]]</f>
        <v>48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11</v>
      </c>
      <c r="U3">
        <f>COUNTIFS(DataRegularSeason20242025!$E$3:$E$1315,$A3, DataRegularSeason20242025!$L$3:$L$1315, $A3,DataRegularSeason20242025!$N$3:$N$1315,1,DataRegularSeason20242025!$M$3:$M$1315,"REG")</f>
        <v>9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0.6470588235294118</v>
      </c>
      <c r="AC3">
        <f>Table3[[#This Row],[W_A]]+Table3[[#This Row],[W_H]]</f>
        <v>22</v>
      </c>
      <c r="AD3">
        <f>Table3[[#This Row],[L_A]]+Table3[[#This Row],[L_H]]</f>
        <v>12</v>
      </c>
      <c r="AE3">
        <f>Table3[[#This Row],[RW_A]]+Table3[[#This Row],[RW_H]]</f>
        <v>18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0.26470588235294118</v>
      </c>
      <c r="AO3">
        <f>(2*(Table3[[#This Row],[W_A]]+Table3[[#This Row],[W_H]]))+Table3[[#This Row],[OTL_A]]+Table3[[#This Row],[SOL_A]]+Table3[[#This Row],[OTL_H]]+Table3[[#This Row],[SOL_H]]</f>
        <v>49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3" s="10">
        <f>Table3[[#This Row],[PTS]]/(2*Table3[[#This Row],[GP]])</f>
        <v>0.72058823529411764</v>
      </c>
      <c r="AR3" s="10">
        <f>Table3[[#This Row],[PTS2]]/(3*Table3[[#This Row],[GP]])</f>
        <v>0.65686274509803921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118.17647058823529</v>
      </c>
      <c r="AV3">
        <f>Table3[[#This Row],[PTS2]]+(3 * Table3[[#This Row],[GR]] * Table3[[#This Row],[PTS%2]])</f>
        <v>161.58823529411765</v>
      </c>
      <c r="AW3" s="15" t="str">
        <f>_xlfn.CONCAT(TEXT(Table3[[#This Row],[W]], "0"), "-", TEXT(Table3[[#This Row],[RL]],"0"), "-", TEXT(Table3[[#This Row],[OTL]]+Table3[[#This Row],[SOL]], "0"))</f>
        <v>22-7-5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54</v>
      </c>
      <c r="BD3">
        <f>SUMIF(DataRegularSeason20242025!$E$3:$E$1315,$A3,DataRegularSeason20242025!$J$3:$J$1315)</f>
        <v>44</v>
      </c>
      <c r="BE3">
        <f>BC3-BD3</f>
        <v>10</v>
      </c>
      <c r="BF3">
        <f>AY3+BC3</f>
        <v>115</v>
      </c>
      <c r="BG3">
        <f>AZ3+BD3</f>
        <v>90</v>
      </c>
      <c r="BH3">
        <f>BF3-BG3</f>
        <v>25</v>
      </c>
      <c r="BI3" s="12">
        <f>Table3[[#This Row],[GF]]/Table3[[#This Row],[GP]]</f>
        <v>3.3823529411764706</v>
      </c>
      <c r="BJ3" s="12">
        <f>Table3[[#This Row],[GA]]/Table3[[#This Row],[GP]]</f>
        <v>2.6470588235294117</v>
      </c>
      <c r="BK3" s="12">
        <f>(Table3[[#This Row],[GF]]-Table3[[#This Row],[GA]])/Table3[[#This Row],[GP]]</f>
        <v>0.73529411764705888</v>
      </c>
      <c r="BL3" s="42" t="str">
        <f>_xlfn.CONCAT(TEXT(Table3[[#This Row],[W_H]], "0"), "-", TEXT(Table3[[#This Row],[RL_H]],"0"), "-", TEXT(Table3[[#This Row],[OTL_H]]+Table3[[#This Row],[SOL_H]], "0"))</f>
        <v>11-5-1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0.67647058823529416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40.85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105.22993079584775</v>
      </c>
      <c r="BR3" s="16">
        <f>(Table3[[#This Row],[W]]*0.7) + ((Table3[[#This Row],[GF]] - Table3[[#This Row],[GA]])*0.25)+(Table3[[#This Row],[GF]]*0.1)+(Table3[[#This Row],[GA]]*0.05)+(Table3[[#This Row],[L]]*0.3)</f>
        <v>41.25</v>
      </c>
      <c r="BS3" s="16">
        <f>Table3[[#This Row],[TeamCost83]]/Table3[[#This Row],[GP]]</f>
        <v>1.213235294117647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12</v>
      </c>
      <c r="BV3">
        <f>BT3+BU3</f>
        <v>22</v>
      </c>
      <c r="BW3">
        <f>F3-BT3</f>
        <v>7</v>
      </c>
      <c r="BX3">
        <f>H3-BU3</f>
        <v>5</v>
      </c>
      <c r="BY3">
        <f>BW3+BX3</f>
        <v>12</v>
      </c>
      <c r="BZ3">
        <f>Table3[[#This Row],[TimesPredictedWinner]]/Table3[[#This Row],[GP]]</f>
        <v>0.6470588235294118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8.8000000000000007</v>
      </c>
      <c r="CK3">
        <f>Table3[[#This Row],[Column4]]+Table3[[#This Row],[Column3]]</f>
        <v>17.200000000000003</v>
      </c>
      <c r="CL3">
        <f>Table3[[#This Row],[Column5]]/Table3[[#This Row],[GP]]</f>
        <v>0.50588235294117656</v>
      </c>
      <c r="CR3" t="s">
        <v>137</v>
      </c>
      <c r="CS3">
        <f>SUM($D$2:$D$33)/2</f>
        <v>437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0.18678160919540227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>F4+H4</f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>AY4-AZ4</f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>BC4-BD4</f>
        <v>9</v>
      </c>
      <c r="BF4">
        <f>AY4+BC4</f>
        <v>108</v>
      </c>
      <c r="BG4">
        <f>AZ4+BD4</f>
        <v>90</v>
      </c>
      <c r="BH4">
        <f>BF4-BG4</f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>BT4+BU4</f>
        <v>27</v>
      </c>
      <c r="BW4">
        <f>F4-BT4</f>
        <v>4</v>
      </c>
      <c r="BX4">
        <f>H4-BU4</f>
        <v>1</v>
      </c>
      <c r="BY4">
        <f>BW4+BX4</f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0.17241379310344826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>F5+H5</f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>H5-T5</f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>AY5-AZ5</f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>BC5-BD5</f>
        <v>0</v>
      </c>
      <c r="BF5">
        <f>AY5+BC5</f>
        <v>96</v>
      </c>
      <c r="BG5">
        <f>AZ5+BD5</f>
        <v>90</v>
      </c>
      <c r="BH5">
        <f>BF5-BG5</f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>BT5+BU5</f>
        <v>12</v>
      </c>
      <c r="BW5">
        <f>F5-BT5</f>
        <v>10</v>
      </c>
      <c r="BX5">
        <f>H5-BU5</f>
        <v>9</v>
      </c>
      <c r="BY5">
        <f>BW5+BX5</f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3180</v>
      </c>
      <c r="CW5" t="s">
        <v>67</v>
      </c>
      <c r="CX5" s="16">
        <v>0.15</v>
      </c>
      <c r="CY5">
        <f>INDEX($BF$2:$BF$33,MATCH("CGY",$A$2:$A$33,0),1)</f>
        <v>84</v>
      </c>
      <c r="CZ5">
        <f>CY5/CY2</f>
        <v>2.5454545454545454</v>
      </c>
      <c r="DA5" s="16">
        <f>CX5*CY5</f>
        <v>12.6</v>
      </c>
      <c r="DB5" s="10">
        <f>DA5/$DA$7</f>
        <v>0.36206896551724133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25</v>
      </c>
      <c r="E6" s="10">
        <f>Table3[[#This Row],[Watched]]/Table3[[#This Row],[GP]]</f>
        <v>0.75757575757575757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18</v>
      </c>
      <c r="I6">
        <f>41-Table3[[#This Row],[GP_H]]</f>
        <v>23</v>
      </c>
      <c r="J6">
        <f>F6+H6</f>
        <v>33</v>
      </c>
      <c r="K6">
        <f>82-Table3[[#This Row],[GP]]</f>
        <v>49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11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>H6-T6</f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0.5757575757575758</v>
      </c>
      <c r="AC6">
        <f>Table3[[#This Row],[W_A]]+Table3[[#This Row],[W_H]]</f>
        <v>19</v>
      </c>
      <c r="AD6">
        <f>Table3[[#This Row],[L_A]]+Table3[[#This Row],[L_H]]</f>
        <v>14</v>
      </c>
      <c r="AE6">
        <f>Table3[[#This Row],[RW_A]]+Table3[[#This Row],[RW_H]]</f>
        <v>13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0.33333333333333331</v>
      </c>
      <c r="AO6">
        <f>(2*(Table3[[#This Row],[W_A]]+Table3[[#This Row],[W_H]]))+Table3[[#This Row],[OTL_A]]+Table3[[#This Row],[SOL_A]]+Table3[[#This Row],[OTL_H]]+Table3[[#This Row],[SOL_H]]</f>
        <v>43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6" s="10">
        <f>Table3[[#This Row],[PTS]]/(2*Table3[[#This Row],[GP]])</f>
        <v>0.65151515151515149</v>
      </c>
      <c r="AR6" s="10">
        <f>Table3[[#This Row],[PTS2]]/(3*Table3[[#This Row],[GP]])</f>
        <v>0.56565656565656564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106.84848484848484</v>
      </c>
      <c r="AV6">
        <f>Table3[[#This Row],[PTS2]]+(3 * Table3[[#This Row],[GR]] * Table3[[#This Row],[PTS%2]])</f>
        <v>139.15151515151513</v>
      </c>
      <c r="AW6" s="15" t="str">
        <f>_xlfn.CONCAT(TEXT(Table3[[#This Row],[W]], "0"), "-", TEXT(Table3[[#This Row],[RL]],"0"), "-", TEXT(Table3[[#This Row],[OTL]]+Table3[[#This Row],[SOL]], "0"))</f>
        <v>19-9-5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>AY6-AZ6</f>
        <v>6</v>
      </c>
      <c r="BB6">
        <f>COUNTIFS(DataRegularSeason20242025!$E$3:$E$1315,Table3[[#This Row],[Teams]],DataRegularSeason20242025!$J$3:$J$1315,0)</f>
        <v>2</v>
      </c>
      <c r="BC6">
        <f>SUMIF(DataRegularSeason20242025!$E$3:$E$1315,$A6,DataRegularSeason20242025!$K$3:$K$1315)</f>
        <v>57</v>
      </c>
      <c r="BD6">
        <f>SUMIF(DataRegularSeason20242025!$E$3:$E$1315,$A6,DataRegularSeason20242025!$J$3:$J$1315)</f>
        <v>52</v>
      </c>
      <c r="BE6">
        <f>BC6-BD6</f>
        <v>5</v>
      </c>
      <c r="BF6">
        <f>AY6+BC6</f>
        <v>98</v>
      </c>
      <c r="BG6">
        <f>AZ6+BD6</f>
        <v>87</v>
      </c>
      <c r="BH6">
        <f>BF6-BG6</f>
        <v>11</v>
      </c>
      <c r="BI6" s="12">
        <f>Table3[[#This Row],[GF]]/Table3[[#This Row],[GP]]</f>
        <v>2.9696969696969697</v>
      </c>
      <c r="BJ6" s="12">
        <f>Table3[[#This Row],[GA]]/Table3[[#This Row],[GP]]</f>
        <v>2.6363636363636362</v>
      </c>
      <c r="BK6" s="12">
        <f>(Table3[[#This Row],[GF]]-Table3[[#This Row],[GA]])/Table3[[#This Row],[GP]]</f>
        <v>0.33333333333333331</v>
      </c>
      <c r="BL6" s="42" t="str">
        <f>_xlfn.CONCAT(TEXT(Table3[[#This Row],[W_H]], "0"), "-", TEXT(Table3[[#This Row],[RL_H]],"0"), "-", TEXT(Table3[[#This Row],[OTL_H]]+Table3[[#This Row],[SOL_H]], "0"))</f>
        <v>11-3-4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0.72222222222222221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37.1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96.314692378328743</v>
      </c>
      <c r="BR6" s="16">
        <f>(Table3[[#This Row],[W]]*0.7) + ((Table3[[#This Row],[GF]] - Table3[[#This Row],[GA]])*0.25)+(Table3[[#This Row],[GF]]*0.1)+(Table3[[#This Row],[GA]]*0.05)+(Table3[[#This Row],[L]]*0.3)</f>
        <v>34.4</v>
      </c>
      <c r="BS6" s="16">
        <f>Table3[[#This Row],[TeamCost83]]/Table3[[#This Row],[GP]]</f>
        <v>1.0424242424242425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11</v>
      </c>
      <c r="BV6">
        <f>BT6+BU6</f>
        <v>16</v>
      </c>
      <c r="BW6">
        <f>F6-BT6</f>
        <v>10</v>
      </c>
      <c r="BX6">
        <f>H6-BU6</f>
        <v>7</v>
      </c>
      <c r="BY6">
        <f>BW6+BX6</f>
        <v>17</v>
      </c>
      <c r="BZ6">
        <f>Table3[[#This Row],[TimesPredictedWinner]]/Table3[[#This Row],[GP]]</f>
        <v>0.48484848484848486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7.0999999999999988</v>
      </c>
      <c r="CK6">
        <f>Table3[[#This Row],[Column4]]+Table3[[#This Row],[Column3]]</f>
        <v>14.1</v>
      </c>
      <c r="CL6">
        <f>Table3[[#This Row],[Column5]]/Table3[[#This Row],[GP]]</f>
        <v>0.42727272727272725</v>
      </c>
      <c r="CR6" t="s">
        <v>141</v>
      </c>
      <c r="CS6">
        <f>SUM($AX$2:$AX$33)+SUM($BB$2:$BB$33)</f>
        <v>49</v>
      </c>
      <c r="CW6" t="s">
        <v>68</v>
      </c>
      <c r="CX6" s="16">
        <v>0.1</v>
      </c>
      <c r="CY6">
        <f>INDEX($BG$2:$BG$33,MATCH("CGY",$A$2:$A$33,0),1)</f>
        <v>97</v>
      </c>
      <c r="CZ6">
        <f>CY6/CY2</f>
        <v>2.9393939393939394</v>
      </c>
      <c r="DA6" s="16">
        <f>CX6*CY6</f>
        <v>9.7000000000000011</v>
      </c>
      <c r="DB6" s="10">
        <f>DA6/$DA$7</f>
        <v>0.27873563218390807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0.71875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>F7+H7</f>
        <v>32</v>
      </c>
      <c r="K7">
        <f>82-Table3[[#This Row],[GP]]</f>
        <v>50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0.5625</v>
      </c>
      <c r="AC7">
        <f>Table3[[#This Row],[W_A]]+Table3[[#This Row],[W_H]]</f>
        <v>18</v>
      </c>
      <c r="AD7">
        <f>Table3[[#This Row],[L_A]]+Table3[[#This Row],[L_H]]</f>
        <v>14</v>
      </c>
      <c r="AE7">
        <f>Table3[[#This Row],[RW_A]]+Table3[[#This Row],[RW_H]]</f>
        <v>17</v>
      </c>
      <c r="AF7">
        <f>Table3[[#This Row],[RL_A]]+Table3[[#This Row],[RL_H]]</f>
        <v>10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0.15625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0.625</v>
      </c>
      <c r="AR7" s="10">
        <f>Table3[[#This Row],[PTS2]]/(3*Table3[[#This Row],[GP]])</f>
        <v>0.59375</v>
      </c>
      <c r="AS7">
        <f>(2*Table3[[#This Row],[GR]])+Table3[[#This Row],[PTS]]</f>
        <v>140</v>
      </c>
      <c r="AT7">
        <f>(3*Table3[[#This Row],[GR]])+Table3[[#This Row],[PTS2]]</f>
        <v>207</v>
      </c>
      <c r="AU7">
        <f>Table3[[#This Row],[PTS]]+(2 * Table3[[#This Row],[GR]] * Table3[[#This Row],[PTS%]])</f>
        <v>102.5</v>
      </c>
      <c r="AV7">
        <f>Table3[[#This Row],[PTS2]]+(3 * Table3[[#This Row],[GR]] * Table3[[#This Row],[PTS%2]])</f>
        <v>146.0625</v>
      </c>
      <c r="AW7" s="15" t="str">
        <f>_xlfn.CONCAT(TEXT(Table3[[#This Row],[W]], "0"), "-", TEXT(Table3[[#This Row],[RL]],"0"), "-", TEXT(Table3[[#This Row],[OTL]]+Table3[[#This Row],[SOL]], "0"))</f>
        <v>18-10-4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39</v>
      </c>
      <c r="BA7">
        <f>AY7-AZ7</f>
        <v>12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>BC7-BD7</f>
        <v>11</v>
      </c>
      <c r="BF7">
        <f>AY7+BC7</f>
        <v>106</v>
      </c>
      <c r="BG7">
        <f>AZ7+BD7</f>
        <v>83</v>
      </c>
      <c r="BH7">
        <f>BF7-BG7</f>
        <v>23</v>
      </c>
      <c r="BI7" s="12">
        <f>Table3[[#This Row],[GF]]/Table3[[#This Row],[GP]]</f>
        <v>3.3125</v>
      </c>
      <c r="BJ7" s="12">
        <f>Table3[[#This Row],[GA]]/Table3[[#This Row],[GP]]</f>
        <v>2.59375</v>
      </c>
      <c r="BK7" s="12">
        <f>(Table3[[#This Row],[GF]]-Table3[[#This Row],[GA]])/Table3[[#This Row],[GP]]</f>
        <v>0.71875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8-5-2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0.6</v>
      </c>
      <c r="BP7" s="16">
        <f>(Table3[[#This Row],[W]]*$CX$3)+(Table3[[#This Row],[L]]*$CX$4)+(Table3[[#This Row],[GF]]*$CX$5)+(Table3[[#This Row],[GA]]*$CX$6)</f>
        <v>37.4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100.50156249999999</v>
      </c>
      <c r="BR7" s="16">
        <f>(Table3[[#This Row],[W]]*0.7) + ((Table3[[#This Row],[GF]] - Table3[[#This Row],[GA]])*0.25)+(Table3[[#This Row],[GF]]*0.1)+(Table3[[#This Row],[GA]]*0.05)+(Table3[[#This Row],[L]]*0.3)</f>
        <v>37.300000000000004</v>
      </c>
      <c r="BS7" s="16">
        <f>Table3[[#This Row],[TeamCost83]]/Table3[[#This Row],[GP]]</f>
        <v>1.1656250000000001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>BT7+BU7</f>
        <v>23</v>
      </c>
      <c r="BW7">
        <f>F7-BT7</f>
        <v>7</v>
      </c>
      <c r="BX7">
        <f>H7-BU7</f>
        <v>2</v>
      </c>
      <c r="BY7">
        <f>BW7+BX7</f>
        <v>9</v>
      </c>
      <c r="BZ7">
        <f>Table3[[#This Row],[TimesPredictedWinner]]/Table3[[#This Row],[GP]]</f>
        <v>0.71875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7.7000000000000011</v>
      </c>
      <c r="CJ7">
        <f>SUMIFS(Table2[GamePredictionScore], Table2[HomeTeam], Table3[[#This Row],[Teams]])</f>
        <v>8.9</v>
      </c>
      <c r="CK7">
        <f>Table3[[#This Row],[Column4]]+Table3[[#This Row],[Column3]]</f>
        <v>16.600000000000001</v>
      </c>
      <c r="CL7">
        <f>Table3[[#This Row],[Column5]]/Table3[[#This Row],[GP]]</f>
        <v>0.51875000000000004</v>
      </c>
      <c r="CR7" t="s">
        <v>142</v>
      </c>
      <c r="CS7">
        <f>SUM($AG$2:$AG$33)</f>
        <v>89</v>
      </c>
      <c r="CW7" t="s">
        <v>543</v>
      </c>
      <c r="CX7">
        <f>INDEX($AQ$2:$AQ$33,MATCH("CGY",$A$2:$A$33,0),1)</f>
        <v>0.45454545454545453</v>
      </c>
      <c r="CZ7" s="17">
        <f>(CX4+(ABS(CX3-CX4)*CX7))+(CX5*CZ5)+(CX6*CZ6)</f>
        <v>1.0666666666666667</v>
      </c>
      <c r="DA7" s="88">
        <f>SUM(DA3:DA6)</f>
        <v>34.800000000000004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25</v>
      </c>
      <c r="E8" s="10">
        <f>Table3[[#This Row],[Watched]]/Table3[[#This Row],[GP]]</f>
        <v>0.75757575757575757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>F8+H8</f>
        <v>33</v>
      </c>
      <c r="K8">
        <f>82-Table3[[#This Row],[GP]]</f>
        <v>49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6</v>
      </c>
      <c r="Q8">
        <f>COUNTIFS(DataRegularSeason20242025!$D$3:$D$1315,$A8, DataRegularSeason20242025!$S$3:$S$1315, $A8,DataRegularSeason20242025!$M$3:$M$1315,"REG")</f>
        <v>5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>H8-T8</f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0.5757575757575758</v>
      </c>
      <c r="AC8">
        <f>Table3[[#This Row],[W_A]]+Table3[[#This Row],[W_H]]</f>
        <v>19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11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0.62121212121212122</v>
      </c>
      <c r="AR8" s="10">
        <f>Table3[[#This Row],[PTS2]]/(3*Table3[[#This Row],[GP]])</f>
        <v>0.54545454545454541</v>
      </c>
      <c r="AS8">
        <f>(2*Table3[[#This Row],[GR]])+Table3[[#This Row],[PTS]]</f>
        <v>139</v>
      </c>
      <c r="AT8">
        <f>(3*Table3[[#This Row],[GR]])+Table3[[#This Row],[PTS2]]</f>
        <v>201</v>
      </c>
      <c r="AU8">
        <f>Table3[[#This Row],[PTS]]+(2 * Table3[[#This Row],[GR]] * Table3[[#This Row],[PTS%]])</f>
        <v>101.87878787878788</v>
      </c>
      <c r="AV8">
        <f>Table3[[#This Row],[PTS2]]+(3 * Table3[[#This Row],[GR]] * Table3[[#This Row],[PTS%2]])</f>
        <v>134.18181818181819</v>
      </c>
      <c r="AW8" s="15" t="str">
        <f>_xlfn.CONCAT(TEXT(Table3[[#This Row],[W]], "0"), "-", TEXT(Table3[[#This Row],[RL]],"0"), "-", TEXT(Table3[[#This Row],[OTL]]+Table3[[#This Row],[SOL]], "0"))</f>
        <v>19-11-3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45</v>
      </c>
      <c r="AZ8">
        <f>SUMIF(DataRegularSeason20242025!$D$3:$D$1315,$A8, DataRegularSeason20242025!$K$3:$K$1315)</f>
        <v>41</v>
      </c>
      <c r="BA8">
        <f>AY8-AZ8</f>
        <v>4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>BC8-BD8</f>
        <v>3</v>
      </c>
      <c r="BF8">
        <f>AY8+BC8</f>
        <v>100</v>
      </c>
      <c r="BG8">
        <f>AZ8+BD8</f>
        <v>93</v>
      </c>
      <c r="BH8">
        <f>BF8-BG8</f>
        <v>7</v>
      </c>
      <c r="BI8" s="12">
        <f>Table3[[#This Row],[GF]]/Table3[[#This Row],[GP]]</f>
        <v>3.0303030303030303</v>
      </c>
      <c r="BJ8" s="12">
        <f>Table3[[#This Row],[GA]]/Table3[[#This Row],[GP]]</f>
        <v>2.8181818181818183</v>
      </c>
      <c r="BK8" s="12">
        <f>(Table3[[#This Row],[GF]]-Table3[[#This Row],[GA]])/Table3[[#This Row],[GP]]</f>
        <v>0.21212121212121213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9-5-1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0.6333333333333333</v>
      </c>
      <c r="BP8" s="16">
        <f>(Table3[[#This Row],[W]]*$CX$3)+(Table3[[#This Row],[L]]*$CX$4)+(Table3[[#This Row],[GF]]*$CX$5)+(Table3[[#This Row],[GA]]*$CX$6)</f>
        <v>38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99.435996326905425</v>
      </c>
      <c r="BR8" s="16">
        <f>(Table3[[#This Row],[W]]*0.7) + ((Table3[[#This Row],[GF]] - Table3[[#This Row],[GA]])*0.25)+(Table3[[#This Row],[GF]]*0.1)+(Table3[[#This Row],[GA]]*0.05)+(Table3[[#This Row],[L]]*0.3)</f>
        <v>33.9</v>
      </c>
      <c r="BS8" s="16">
        <f>Table3[[#This Row],[TeamCost83]]/Table3[[#This Row],[GP]]</f>
        <v>1.0272727272727273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11</v>
      </c>
      <c r="BV8">
        <f>BT8+BU8</f>
        <v>13</v>
      </c>
      <c r="BW8">
        <f>F8-BT8</f>
        <v>13</v>
      </c>
      <c r="BX8">
        <f>H8-BU8</f>
        <v>7</v>
      </c>
      <c r="BY8">
        <f>BW8+BX8</f>
        <v>20</v>
      </c>
      <c r="BZ8">
        <f>Table3[[#This Row],[TimesPredictedWinner]]/Table3[[#This Row],[GP]]</f>
        <v>0.39393939393939392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6.7</v>
      </c>
      <c r="CJ8">
        <f>SUMIFS(Table2[GamePredictionScore], Table2[HomeTeam], Table3[[#This Row],[Teams]])</f>
        <v>8.1</v>
      </c>
      <c r="CK8">
        <f>Table3[[#This Row],[Column4]]+Table3[[#This Row],[Column3]]</f>
        <v>14.8</v>
      </c>
      <c r="CL8">
        <f>Table3[[#This Row],[Column5]]/Table3[[#This Row],[GP]]</f>
        <v>0.44848484848484849</v>
      </c>
      <c r="CR8" t="s">
        <v>143</v>
      </c>
      <c r="CS8">
        <f>SUM($AI$2:$AI$33)</f>
        <v>51</v>
      </c>
      <c r="CY8" t="s">
        <v>153</v>
      </c>
      <c r="CZ8" s="17">
        <f>CZ7*82</f>
        <v>87.466666666666669</v>
      </c>
      <c r="DA8" s="16">
        <f>DA7+((82-CY2)*CZ7)</f>
        <v>87.066666666666663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26</v>
      </c>
      <c r="E9" s="10">
        <f>Table3[[#This Row],[Watched]]/Table3[[#This Row],[GP]]</f>
        <v>0.78787878787878785</v>
      </c>
      <c r="F9">
        <f>COUNTIFS(DataRegularSeason20242025!$N$3:$N$1315,1,DataRegularSeason20242025!$D$3:$D$1315,$A9)</f>
        <v>18</v>
      </c>
      <c r="G9">
        <f>41-Table3[[#This Row],[GP_A]]</f>
        <v>23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33</v>
      </c>
      <c r="K9">
        <f>82-Table3[[#This Row],[GP]]</f>
        <v>49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>F9-L9</f>
        <v>9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>H9-T9</f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0.60606060606060608</v>
      </c>
      <c r="AC9">
        <f>Table3[[#This Row],[W_A]]+Table3[[#This Row],[W_H]]</f>
        <v>20</v>
      </c>
      <c r="AD9">
        <f>Table3[[#This Row],[L_A]]+Table3[[#This Row],[L_H]]</f>
        <v>13</v>
      </c>
      <c r="AE9">
        <f>Table3[[#This Row],[RW_A]]+Table3[[#This Row],[RW_H]]</f>
        <v>12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8-1</v>
      </c>
      <c r="AL9">
        <f>SUM(Table3[[#This Row],[OTW]],Table3[[#This Row],[OTL]],Table3[[#This Row],[SOW]],Table3[[#This Row],[SOL]])</f>
        <v>9</v>
      </c>
      <c r="AM9">
        <f>(Table3[[#This Row],[OTW]]+Table3[[#This Row],[SOW]])/IF(Table3[[#This Row],[Total_ExtraTimes]]=0,1,Table3[[#This Row],[Total_ExtraTimes]])</f>
        <v>0.88888888888888884</v>
      </c>
      <c r="AN9">
        <f>Table3[[#This Row],[Total_ExtraTimes]]/MAX(1,Table3[[#This Row],[GP]])</f>
        <v>0.27272727272727271</v>
      </c>
      <c r="AO9">
        <f>(2*(Table3[[#This Row],[W_A]]+Table3[[#This Row],[W_H]]))+Table3[[#This Row],[OTL_A]]+Table3[[#This Row],[SOL_A]]+Table3[[#This Row],[OTL_H]]+Table3[[#This Row],[SOL_H]]</f>
        <v>41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9" s="10">
        <f>Table3[[#This Row],[PTS]]/(2*Table3[[#This Row],[GP]])</f>
        <v>0.62121212121212122</v>
      </c>
      <c r="AR9" s="10">
        <f>Table3[[#This Row],[PTS2]]/(3*Table3[[#This Row],[GP]])</f>
        <v>0.53535353535353536</v>
      </c>
      <c r="AS9">
        <f>(2*Table3[[#This Row],[GR]])+Table3[[#This Row],[PTS]]</f>
        <v>139</v>
      </c>
      <c r="AT9">
        <f>(3*Table3[[#This Row],[GR]])+Table3[[#This Row],[PTS2]]</f>
        <v>200</v>
      </c>
      <c r="AU9">
        <f>Table3[[#This Row],[PTS]]+(2 * Table3[[#This Row],[GR]] * Table3[[#This Row],[PTS%]])</f>
        <v>101.87878787878788</v>
      </c>
      <c r="AV9">
        <f>Table3[[#This Row],[PTS2]]+(3 * Table3[[#This Row],[GR]] * Table3[[#This Row],[PTS%2]])</f>
        <v>131.69696969696969</v>
      </c>
      <c r="AW9" s="15" t="str">
        <f>_xlfn.CONCAT(TEXT(Table3[[#This Row],[W]], "0"), "-", TEXT(Table3[[#This Row],[RL]],"0"), "-", TEXT(Table3[[#This Row],[OTL]]+Table3[[#This Row],[SOL]], "0"))</f>
        <v>20-12-1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60</v>
      </c>
      <c r="AZ9">
        <f>SUMIF(DataRegularSeason20242025!$D$3:$D$1315,$A9, DataRegularSeason20242025!$K$3:$K$1315)</f>
        <v>63</v>
      </c>
      <c r="BA9">
        <f>AY9-AZ9</f>
        <v>-3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>BC9-BD9</f>
        <v>13</v>
      </c>
      <c r="BF9">
        <f>AY9+BC9</f>
        <v>118</v>
      </c>
      <c r="BG9">
        <f>AZ9+BD9</f>
        <v>108</v>
      </c>
      <c r="BH9">
        <f>BF9-BG9</f>
        <v>10</v>
      </c>
      <c r="BI9" s="12">
        <f>Table3[[#This Row],[GF]]/Table3[[#This Row],[GP]]</f>
        <v>3.5757575757575757</v>
      </c>
      <c r="BJ9" s="12">
        <f>Table3[[#This Row],[GA]]/Table3[[#This Row],[GP]]</f>
        <v>3.2727272727272729</v>
      </c>
      <c r="BK9" s="12">
        <f>(Table3[[#This Row],[GF]]-Table3[[#This Row],[GA]])/Table3[[#This Row],[GP]]</f>
        <v>0.30303030303030304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9-8-1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0.52777777777777779</v>
      </c>
      <c r="BP9" s="16">
        <f>(Table3[[#This Row],[W]]*$CX$3)+(Table3[[#This Row],[L]]*$CX$4)+(Table3[[#This Row],[GF]]*$CX$5)+(Table3[[#This Row],[GA]]*$CX$6)</f>
        <v>42.400000000000006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114.27235996326905</v>
      </c>
      <c r="BR9" s="16">
        <f>(Table3[[#This Row],[W]]*0.7) + ((Table3[[#This Row],[GF]] - Table3[[#This Row],[GA]])*0.25)+(Table3[[#This Row],[GF]]*0.1)+(Table3[[#This Row],[GA]]*0.05)+(Table3[[#This Row],[L]]*0.3)</f>
        <v>37.6</v>
      </c>
      <c r="BS9" s="16">
        <f>Table3[[#This Row],[TeamCost83]]/Table3[[#This Row],[GP]]</f>
        <v>1.1393939393939394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>BT9+BU9</f>
        <v>19</v>
      </c>
      <c r="BW9">
        <f>F9-BT9</f>
        <v>7</v>
      </c>
      <c r="BX9">
        <f>H9-BU9</f>
        <v>7</v>
      </c>
      <c r="BY9">
        <f>BW9+BX9</f>
        <v>14</v>
      </c>
      <c r="BZ9">
        <f>Table3[[#This Row],[TimesPredictedWinner]]/Table3[[#This Row],[GP]]</f>
        <v>0.5757575757575758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6.6</v>
      </c>
      <c r="CK9">
        <f>Table3[[#This Row],[Column4]]+Table3[[#This Row],[Column3]]</f>
        <v>13.600000000000001</v>
      </c>
      <c r="CL9">
        <f>Table3[[#This Row],[Column5]]/Table3[[#This Row],[GP]]</f>
        <v>0.41212121212121217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1.0666666666666667</v>
      </c>
      <c r="DC9" t="s">
        <v>764</v>
      </c>
      <c r="DE9" s="16">
        <f>DE8+DA7</f>
        <v>125.15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23</v>
      </c>
      <c r="E10" s="10">
        <f>Table3[[#This Row],[Watched]]/Table3[[#This Row],[GP]]</f>
        <v>0.74193548387096775</v>
      </c>
      <c r="F10">
        <f>COUNTIFS(DataRegularSeason20242025!$N$3:$N$1315,1,DataRegularSeason20242025!$D$3:$D$1315,$A10)</f>
        <v>12</v>
      </c>
      <c r="G10">
        <f>41-Table3[[#This Row],[GP_A]]</f>
        <v>29</v>
      </c>
      <c r="H10">
        <f>COUNTIFS(DataRegularSeason20242025!$E$3:$E$1315,$A10,DataRegularSeason20242025!$N$3:$N$1315,1)</f>
        <v>19</v>
      </c>
      <c r="I10">
        <f>41-Table3[[#This Row],[GP_H]]</f>
        <v>22</v>
      </c>
      <c r="J10">
        <f>F10+H10</f>
        <v>31</v>
      </c>
      <c r="K10">
        <f>82-Table3[[#This Row],[GP]]</f>
        <v>51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>F10-L10</f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>H10-T10</f>
        <v>9</v>
      </c>
      <c r="Y10">
        <f>COUNTIFS(DataRegularSeason20242025!$E$3:$E$1315,$A10, DataRegularSeason20242025!$S$3:$S$1315, $A10,DataRegularSeason20242025!$M$3:$M$1315,"REG")</f>
        <v>5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0.4838709677419355</v>
      </c>
      <c r="AC10">
        <f>Table3[[#This Row],[W_A]]+Table3[[#This Row],[W_H]]</f>
        <v>15</v>
      </c>
      <c r="AD10">
        <f>Table3[[#This Row],[L_A]]+Table3[[#This Row],[L_H]]</f>
        <v>16</v>
      </c>
      <c r="AE10">
        <f>Table3[[#This Row],[RW_A]]+Table3[[#This Row],[RW_H]]</f>
        <v>9</v>
      </c>
      <c r="AF10">
        <f>Table3[[#This Row],[RL_A]]+Table3[[#This Row],[RL_H]]</f>
        <v>9</v>
      </c>
      <c r="AG10">
        <f>Table3[[#This Row],[OTW_A]]+Table3[[#This Row],[OTW_H]]</f>
        <v>2</v>
      </c>
      <c r="AH10">
        <f>Table3[[#This Row],[OTL_A]]+Table3[[#This Row],[OTL_H]]</f>
        <v>4</v>
      </c>
      <c r="AI10">
        <f>Table3[[#This Row],[SOW_A]]+Table3[[#This Row],[SOW_H]]</f>
        <v>4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6-7</v>
      </c>
      <c r="AL10">
        <f>SUM(Table3[[#This Row],[OTW]],Table3[[#This Row],[OTL]],Table3[[#This Row],[SOW]],Table3[[#This Row],[SOL]])</f>
        <v>13</v>
      </c>
      <c r="AM10">
        <f>(Table3[[#This Row],[OTW]]+Table3[[#This Row],[SOW]])/IF(Table3[[#This Row],[Total_ExtraTimes]]=0,1,Table3[[#This Row],[Total_ExtraTimes]])</f>
        <v>0.46153846153846156</v>
      </c>
      <c r="AN10">
        <f>Table3[[#This Row],[Total_ExtraTimes]]/MAX(1,Table3[[#This Row],[GP]])</f>
        <v>0.41935483870967744</v>
      </c>
      <c r="AO10">
        <f>(2*(Table3[[#This Row],[W_A]]+Table3[[#This Row],[W_H]]))+Table3[[#This Row],[OTL_A]]+Table3[[#This Row],[SOL_A]]+Table3[[#This Row],[OTL_H]]+Table3[[#This Row],[SOL_H]]</f>
        <v>37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0" s="10">
        <f>Table3[[#This Row],[PTS]]/(2*Table3[[#This Row],[GP]])</f>
        <v>0.59677419354838712</v>
      </c>
      <c r="AR10" s="10">
        <f>Table3[[#This Row],[PTS2]]/(3*Table3[[#This Row],[GP]])</f>
        <v>0.4946236559139785</v>
      </c>
      <c r="AS10">
        <f>(2*Table3[[#This Row],[GR]])+Table3[[#This Row],[PTS]]</f>
        <v>139</v>
      </c>
      <c r="AT10">
        <f>(3*Table3[[#This Row],[GR]])+Table3[[#This Row],[PTS2]]</f>
        <v>199</v>
      </c>
      <c r="AU10">
        <f>Table3[[#This Row],[PTS]]+(2 * Table3[[#This Row],[GR]] * Table3[[#This Row],[PTS%]])</f>
        <v>97.870967741935488</v>
      </c>
      <c r="AV10">
        <f>Table3[[#This Row],[PTS2]]+(3 * Table3[[#This Row],[GR]] * Table3[[#This Row],[PTS%2]])</f>
        <v>121.6774193548387</v>
      </c>
      <c r="AW10" s="15" t="str">
        <f>_xlfn.CONCAT(TEXT(Table3[[#This Row],[W]], "0"), "-", TEXT(Table3[[#This Row],[RL]],"0"), "-", TEXT(Table3[[#This Row],[OTL]]+Table3[[#This Row],[SOL]], "0"))</f>
        <v>15-9-7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34</v>
      </c>
      <c r="AZ10">
        <f>SUMIF(DataRegularSeason20242025!$D$3:$D$1315,$A10, DataRegularSeason20242025!$K$3:$K$1315)</f>
        <v>38</v>
      </c>
      <c r="BA10">
        <f>AY10-AZ10</f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57</v>
      </c>
      <c r="BD10">
        <f>SUMIF(DataRegularSeason20242025!$E$3:$E$1315,$A10,DataRegularSeason20242025!$J$3:$J$1315)</f>
        <v>51</v>
      </c>
      <c r="BE10">
        <f>BC10-BD10</f>
        <v>6</v>
      </c>
      <c r="BF10">
        <f>AY10+BC10</f>
        <v>91</v>
      </c>
      <c r="BG10">
        <f>AZ10+BD10</f>
        <v>89</v>
      </c>
      <c r="BH10">
        <f>BF10-BG10</f>
        <v>2</v>
      </c>
      <c r="BI10" s="12">
        <f>Table3[[#This Row],[GF]]/Table3[[#This Row],[GP]]</f>
        <v>2.935483870967742</v>
      </c>
      <c r="BJ10" s="12">
        <f>Table3[[#This Row],[GA]]/Table3[[#This Row],[GP]]</f>
        <v>2.870967741935484</v>
      </c>
      <c r="BK10" s="12">
        <f>(Table3[[#This Row],[GF]]-Table3[[#This Row],[GA]])/Table3[[#This Row],[GP]]</f>
        <v>6.4516129032258063E-2</v>
      </c>
      <c r="BL10" s="42" t="str">
        <f>_xlfn.CONCAT(TEXT(Table3[[#This Row],[W_H]], "0"), "-", TEXT(Table3[[#This Row],[RL_H]],"0"), "-", TEXT(Table3[[#This Row],[OTL_H]]+Table3[[#This Row],[SOL_H]], "0"))</f>
        <v>10-5-4</v>
      </c>
      <c r="BM10" s="42" t="str">
        <f>_xlfn.CONCAT(TEXT(Table3[[#This Row],[W_A]], "0"), "-", TEXT(Table3[[#This Row],[RL_A]],"0"), "-", TEXT(Table3[[#This Row],[OTL_A]]+Table3[[#This Row],[SOL_A]], "0"))</f>
        <v>5-4-3</v>
      </c>
      <c r="BN10" s="42">
        <f>((2*(Table3[[#This Row],[W_H]]))+Table3[[#This Row],[OTL_H]]+Table3[[#This Row],[SOL_H]])/(2*Table3[[#This Row],[GP_H]])</f>
        <v>0.63157894736842102</v>
      </c>
      <c r="BO10" s="42">
        <f>((2*(Table3[[#This Row],[W_A]]))+Table3[[#This Row],[OTL_A]]+Table3[[#This Row],[SOL_A]])/(2*Table3[[#This Row],[GP_A]])</f>
        <v>0.54166666666666663</v>
      </c>
      <c r="BP10" s="16">
        <f>(Table3[[#This Row],[W]]*$CX$3)+(Table3[[#This Row],[L]]*$CX$4)+(Table3[[#This Row],[GF]]*$CX$5)+(Table3[[#This Row],[GA]]*$CX$6)</f>
        <v>34.85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95.607648283038515</v>
      </c>
      <c r="BR10" s="16">
        <f>(Table3[[#This Row],[W]]*0.7) + ((Table3[[#This Row],[GF]] - Table3[[#This Row],[GA]])*0.25)+(Table3[[#This Row],[GF]]*0.1)+(Table3[[#This Row],[GA]]*0.05)+(Table3[[#This Row],[L]]*0.3)</f>
        <v>29.35</v>
      </c>
      <c r="BS10" s="16">
        <f>Table3[[#This Row],[TeamCost83]]/Table3[[#This Row],[GP]]</f>
        <v>0.9467741935483871</v>
      </c>
      <c r="BT10">
        <f>COUNTIFS(Table2[AwayTeam],$A10,Table2[PredictedWinner], $A10, Table2[GameIsOver], 1)</f>
        <v>2</v>
      </c>
      <c r="BU10">
        <f>COUNTIFS(Table2[HomeTeam],$A10,Table2[PredictedWinner], $A10, Table2[GameIsOver], 1)</f>
        <v>7</v>
      </c>
      <c r="BV10">
        <f>BT10+BU10</f>
        <v>9</v>
      </c>
      <c r="BW10">
        <f>F10-BT10</f>
        <v>10</v>
      </c>
      <c r="BX10">
        <f>H10-BU10</f>
        <v>12</v>
      </c>
      <c r="BY10">
        <f>BW10+BX10</f>
        <v>22</v>
      </c>
      <c r="BZ10">
        <f>Table3[[#This Row],[TimesPredictedWinner]]/Table3[[#This Row],[GP]]</f>
        <v>0.29032258064516131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6.3000000000000007</v>
      </c>
      <c r="CJ10">
        <f>SUMIFS(Table2[GamePredictionScore], Table2[HomeTeam], Table3[[#This Row],[Teams]])</f>
        <v>8.7000000000000011</v>
      </c>
      <c r="CK10">
        <f>Table3[[#This Row],[Column4]]+Table3[[#This Row],[Column3]]</f>
        <v>15.000000000000002</v>
      </c>
      <c r="CL10">
        <f>Table3[[#This Row],[Column5]]/Table3[[#This Row],[GP]]</f>
        <v>0.48387096774193555</v>
      </c>
      <c r="CR10" t="s">
        <v>147</v>
      </c>
      <c r="CS10" s="1">
        <f>_xlfn.MAXIFS(DataRegularSeason20242025!$B$3:$B$1315,DataRegularSeason20242025!$N$3:$N$1315,1)</f>
        <v>46006</v>
      </c>
      <c r="CW10" t="s">
        <v>153</v>
      </c>
      <c r="CX10" s="16">
        <f>CW9*82</f>
        <v>87.466666666666669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27</v>
      </c>
      <c r="E11" s="10">
        <f>Table3[[#This Row],[Watched]]/Table3[[#This Row],[GP]]</f>
        <v>0.87096774193548387</v>
      </c>
      <c r="F11">
        <f>COUNTIFS(DataRegularSeason20242025!$N$3:$N$1315,1,DataRegularSeason20242025!$D$3:$D$1315,$A11)</f>
        <v>15</v>
      </c>
      <c r="G11">
        <f>41-Table3[[#This Row],[GP_A]]</f>
        <v>26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>F11+H11</f>
        <v>31</v>
      </c>
      <c r="K11">
        <f>82-Table3[[#This Row],[GP]]</f>
        <v>51</v>
      </c>
      <c r="L11">
        <f>COUNTIFS(DataRegularSeason20242025!$D$3:$D$1315,$A11, DataRegularSeason20242025!$L$3:$L$1315, $A11,DataRegularSeason20242025!$N$3:$N$1315,1)</f>
        <v>8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7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3</v>
      </c>
      <c r="T11">
        <f>COUNTIFS(DataRegularSeason20242025!$E$3:$E$1315,$A11, DataRegularSeason20242025!$L$3:$L$1315, $A11, DataRegularSeason20242025!$N$3:$N$1315,1)</f>
        <v>6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10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2</v>
      </c>
      <c r="AB11">
        <f>Table3[[#This Row],[W]]/MAX(1,Table3[[#This Row],[W]]+Table3[[#This Row],[L]])</f>
        <v>0.45161290322580644</v>
      </c>
      <c r="AC11">
        <f>Table3[[#This Row],[W_A]]+Table3[[#This Row],[W_H]]</f>
        <v>14</v>
      </c>
      <c r="AD11">
        <f>Table3[[#This Row],[L_A]]+Table3[[#This Row],[L_H]]</f>
        <v>17</v>
      </c>
      <c r="AE11">
        <f>Table3[[#This Row],[RW_A]]+Table3[[#This Row],[RW_H]]</f>
        <v>13</v>
      </c>
      <c r="AF11">
        <f>Table3[[#This Row],[RL_A]]+Table3[[#This Row],[RL_H]]</f>
        <v>8</v>
      </c>
      <c r="AG11">
        <f>Table3[[#This Row],[OTW_A]]+Table3[[#This Row],[OTW_H]]</f>
        <v>1</v>
      </c>
      <c r="AH11">
        <f>Table3[[#This Row],[OTL_A]]+Table3[[#This Row],[OTL_H]]</f>
        <v>4</v>
      </c>
      <c r="AI11">
        <f>Table3[[#This Row],[SOW_A]]+Table3[[#This Row],[SOW_H]]</f>
        <v>0</v>
      </c>
      <c r="AJ11">
        <f>Table3[[#This Row],[SOL_A]]+Table3[[#This Row],[SOL_H]]</f>
        <v>5</v>
      </c>
      <c r="AK11" s="15" t="str">
        <f>_xlfn.CONCAT(TEXT(Table3[[#This Row],[OTW]]+Table3[[#This Row],[SOW]], "0"), "-", TEXT(Table3[[#This Row],[OTL]]+Table3[[#This Row],[SOL]],"0"))</f>
        <v>1-9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0.1</v>
      </c>
      <c r="AN11">
        <f>Table3[[#This Row],[Total_ExtraTimes]]/MAX(1,Table3[[#This Row],[GP]])</f>
        <v>0.32258064516129031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1" s="10">
        <f>Table3[[#This Row],[PTS]]/(2*Table3[[#This Row],[GP]])</f>
        <v>0.59677419354838712</v>
      </c>
      <c r="AR11" s="10">
        <f>Table3[[#This Row],[PTS2]]/(3*Table3[[#This Row],[GP]])</f>
        <v>0.5376344086021505</v>
      </c>
      <c r="AS11">
        <f>(2*Table3[[#This Row],[GR]])+Table3[[#This Row],[PTS]]</f>
        <v>139</v>
      </c>
      <c r="AT11">
        <f>(3*Table3[[#This Row],[GR]])+Table3[[#This Row],[PTS2]]</f>
        <v>203</v>
      </c>
      <c r="AU11">
        <f>Table3[[#This Row],[PTS]]+(2 * Table3[[#This Row],[GR]] * Table3[[#This Row],[PTS%]])</f>
        <v>97.870967741935488</v>
      </c>
      <c r="AV11">
        <f>Table3[[#This Row],[PTS2]]+(3 * Table3[[#This Row],[GR]] * Table3[[#This Row],[PTS%2]])</f>
        <v>132.25806451612902</v>
      </c>
      <c r="AW11" s="15" t="str">
        <f>_xlfn.CONCAT(TEXT(Table3[[#This Row],[W]], "0"), "-", TEXT(Table3[[#This Row],[RL]],"0"), "-", TEXT(Table3[[#This Row],[OTL]]+Table3[[#This Row],[SOL]], "0"))</f>
        <v>14-8-9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46</v>
      </c>
      <c r="AZ11">
        <f>SUMIF(DataRegularSeason20242025!$D$3:$D$1315,$A11, DataRegularSeason20242025!$K$3:$K$1315)</f>
        <v>36</v>
      </c>
      <c r="BA11">
        <f>AY11-AZ11</f>
        <v>10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53</v>
      </c>
      <c r="BD11">
        <f>SUMIF(DataRegularSeason20242025!$E$3:$E$1315,$A11,DataRegularSeason20242025!$J$3:$J$1315)</f>
        <v>60</v>
      </c>
      <c r="BE11">
        <f>BC11-BD11</f>
        <v>-7</v>
      </c>
      <c r="BF11">
        <f>AY11+BC11</f>
        <v>99</v>
      </c>
      <c r="BG11">
        <f>AZ11+BD11</f>
        <v>96</v>
      </c>
      <c r="BH11">
        <f>BF11-BG11</f>
        <v>3</v>
      </c>
      <c r="BI11" s="12">
        <f>Table3[[#This Row],[GF]]/Table3[[#This Row],[GP]]</f>
        <v>3.193548387096774</v>
      </c>
      <c r="BJ11" s="12">
        <f>Table3[[#This Row],[GA]]/Table3[[#This Row],[GP]]</f>
        <v>3.096774193548387</v>
      </c>
      <c r="BK11" s="12">
        <f>(Table3[[#This Row],[GF]]-Table3[[#This Row],[GA]])/Table3[[#This Row],[GP]]</f>
        <v>9.6774193548387094E-2</v>
      </c>
      <c r="BL11" s="42" t="str">
        <f>_xlfn.CONCAT(TEXT(Table3[[#This Row],[W_H]], "0"), "-", TEXT(Table3[[#This Row],[RL_H]],"0"), "-", TEXT(Table3[[#This Row],[OTL_H]]+Table3[[#This Row],[SOL_H]], "0"))</f>
        <v>6-5-5</v>
      </c>
      <c r="BM11" s="42" t="str">
        <f>_xlfn.CONCAT(TEXT(Table3[[#This Row],[W_A]], "0"), "-", TEXT(Table3[[#This Row],[RL_A]],"0"), "-", TEXT(Table3[[#This Row],[OTL_A]]+Table3[[#This Row],[SOL_A]], "0"))</f>
        <v>8-3-4</v>
      </c>
      <c r="BN11" s="42">
        <f>((2*(Table3[[#This Row],[W_H]]))+Table3[[#This Row],[OTL_H]]+Table3[[#This Row],[SOL_H]])/(2*Table3[[#This Row],[GP_H]])</f>
        <v>0.53125</v>
      </c>
      <c r="BO11" s="42">
        <f>((2*(Table3[[#This Row],[W_A]]))+Table3[[#This Row],[OTL_A]]+Table3[[#This Row],[SOL_A]])/(2*Table3[[#This Row],[GP_A]])</f>
        <v>0.66666666666666663</v>
      </c>
      <c r="BP11" s="16">
        <f>(Table3[[#This Row],[W]]*$CX$3)+(Table3[[#This Row],[L]]*$CX$4)+(Table3[[#This Row],[GF]]*$CX$5)+(Table3[[#This Row],[GA]]*$CX$6)</f>
        <v>36.549999999999997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102.33345473465138</v>
      </c>
      <c r="BR11" s="16">
        <f>(Table3[[#This Row],[W]]*0.7) + ((Table3[[#This Row],[GF]] - Table3[[#This Row],[GA]])*0.25)+(Table3[[#This Row],[GF]]*0.1)+(Table3[[#This Row],[GA]]*0.05)+(Table3[[#This Row],[L]]*0.3)</f>
        <v>30.35</v>
      </c>
      <c r="BS11" s="16">
        <f>Table3[[#This Row],[TeamCost83]]/Table3[[#This Row],[GP]]</f>
        <v>0.97903225806451621</v>
      </c>
      <c r="BT11">
        <f>COUNTIFS(Table2[AwayTeam],$A11,Table2[PredictedWinner], $A11, Table2[GameIsOver], 1)</f>
        <v>8</v>
      </c>
      <c r="BU11">
        <f>COUNTIFS(Table2[HomeTeam],$A11,Table2[PredictedWinner], $A11, Table2[GameIsOver], 1)</f>
        <v>14</v>
      </c>
      <c r="BV11">
        <f>BT11+BU11</f>
        <v>22</v>
      </c>
      <c r="BW11">
        <f>F11-BT11</f>
        <v>7</v>
      </c>
      <c r="BX11">
        <f>H11-BU11</f>
        <v>2</v>
      </c>
      <c r="BY11">
        <f>BW11+BX11</f>
        <v>9</v>
      </c>
      <c r="BZ11">
        <f>Table3[[#This Row],[TimesPredictedWinner]]/Table3[[#This Row],[GP]]</f>
        <v>0.70967741935483875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4.7</v>
      </c>
      <c r="CJ11">
        <f>SUMIFS(Table2[GamePredictionScore], Table2[HomeTeam], Table3[[#This Row],[Teams]])</f>
        <v>5</v>
      </c>
      <c r="CK11">
        <f>Table3[[#This Row],[Column4]]+Table3[[#This Row],[Column3]]</f>
        <v>9.6999999999999993</v>
      </c>
      <c r="CL11">
        <f>Table3[[#This Row],[Column5]]/Table3[[#This Row],[GP]]</f>
        <v>0.31290322580645158</v>
      </c>
      <c r="CR11" t="s">
        <v>148</v>
      </c>
      <c r="CS11">
        <f>$CS$2/($CS$10-$CS$9)</f>
        <v>7.5072463768115938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31</v>
      </c>
      <c r="E12" s="10">
        <f>Table3[[#This Row],[Watched]]/Table3[[#This Row],[GP]]</f>
        <v>0.96875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17</v>
      </c>
      <c r="I12">
        <f>41-Table3[[#This Row],[GP_H]]</f>
        <v>24</v>
      </c>
      <c r="J12">
        <f>F12+H12</f>
        <v>32</v>
      </c>
      <c r="K12">
        <f>82-Table3[[#This Row],[GP]]</f>
        <v>50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6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8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9</v>
      </c>
      <c r="Y12">
        <f>COUNTIFS(DataRegularSeason20242025!$E$3:$E$1315,$A12, DataRegularSeason20242025!$S$3:$S$1315, $A12,DataRegularSeason20242025!$M$3:$M$1315,"REG")</f>
        <v>8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0.53125</v>
      </c>
      <c r="AC12">
        <f>Table3[[#This Row],[W_A]]+Table3[[#This Row],[W_H]]</f>
        <v>17</v>
      </c>
      <c r="AD12">
        <f>Table3[[#This Row],[L_A]]+Table3[[#This Row],[L_H]]</f>
        <v>15</v>
      </c>
      <c r="AE12">
        <f>Table3[[#This Row],[RW_A]]+Table3[[#This Row],[RW_H]]</f>
        <v>10</v>
      </c>
      <c r="AF12">
        <f>Table3[[#This Row],[RL_A]]+Table3[[#This Row],[RL_H]]</f>
        <v>11</v>
      </c>
      <c r="AG12">
        <f>Table3[[#This Row],[OTW_A]]+Table3[[#This Row],[OTW_H]]</f>
        <v>5</v>
      </c>
      <c r="AH12">
        <f>Table3[[#This Row],[OTL_A]]+Table3[[#This Row],[OTL_H]]</f>
        <v>2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7-4</v>
      </c>
      <c r="AL12">
        <f>SUM(Table3[[#This Row],[OTW]],Table3[[#This Row],[OTL]],Table3[[#This Row],[SOW]],Table3[[#This Row],[SOL]])</f>
        <v>11</v>
      </c>
      <c r="AM12">
        <f>(Table3[[#This Row],[OTW]]+Table3[[#This Row],[SOW]])/IF(Table3[[#This Row],[Total_ExtraTimes]]=0,1,Table3[[#This Row],[Total_ExtraTimes]])</f>
        <v>0.63636363636363635</v>
      </c>
      <c r="AN12">
        <f>Table3[[#This Row],[Total_ExtraTimes]]/MAX(1,Table3[[#This Row],[GP]])</f>
        <v>0.34375</v>
      </c>
      <c r="AO12">
        <f>(2*(Table3[[#This Row],[W_A]]+Table3[[#This Row],[W_H]]))+Table3[[#This Row],[OTL_A]]+Table3[[#This Row],[SOL_A]]+Table3[[#This Row],[OTL_H]]+Table3[[#This Row],[SOL_H]]</f>
        <v>38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2" s="10">
        <f>Table3[[#This Row],[PTS]]/(2*Table3[[#This Row],[GP]])</f>
        <v>0.59375</v>
      </c>
      <c r="AR12" s="10">
        <f>Table3[[#This Row],[PTS2]]/(3*Table3[[#This Row],[GP]])</f>
        <v>0.5</v>
      </c>
      <c r="AS12">
        <f>(2*Table3[[#This Row],[GR]])+Table3[[#This Row],[PTS]]</f>
        <v>138</v>
      </c>
      <c r="AT12">
        <f>(3*Table3[[#This Row],[GR]])+Table3[[#This Row],[PTS2]]</f>
        <v>198</v>
      </c>
      <c r="AU12">
        <f>Table3[[#This Row],[PTS]]+(2 * Table3[[#This Row],[GR]] * Table3[[#This Row],[PTS%]])</f>
        <v>97.375</v>
      </c>
      <c r="AV12">
        <f>Table3[[#This Row],[PTS2]]+(3 * Table3[[#This Row],[GR]] * Table3[[#This Row],[PTS%2]])</f>
        <v>123</v>
      </c>
      <c r="AW12" s="15" t="str">
        <f>_xlfn.CONCAT(TEXT(Table3[[#This Row],[W]], "0"), "-", TEXT(Table3[[#This Row],[RL]],"0"), "-", TEXT(Table3[[#This Row],[OTL]]+Table3[[#This Row],[SOL]], "0"))</f>
        <v>17-11-4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51</v>
      </c>
      <c r="AZ12">
        <f>SUMIF(DataRegularSeason20242025!$D$3:$D$1315,$A12, DataRegularSeason20242025!$K$3:$K$1315)</f>
        <v>48</v>
      </c>
      <c r="BA12">
        <f>AY12-AZ12</f>
        <v>3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54</v>
      </c>
      <c r="BD12">
        <f>SUMIF(DataRegularSeason20242025!$E$3:$E$1315,$A12,DataRegularSeason20242025!$J$3:$J$1315)</f>
        <v>65</v>
      </c>
      <c r="BE12">
        <f>BC12-BD12</f>
        <v>-11</v>
      </c>
      <c r="BF12">
        <f>AY12+BC12</f>
        <v>105</v>
      </c>
      <c r="BG12">
        <f>AZ12+BD12</f>
        <v>113</v>
      </c>
      <c r="BH12">
        <f>BF12-BG12</f>
        <v>-8</v>
      </c>
      <c r="BI12" s="12">
        <f>Table3[[#This Row],[GF]]/Table3[[#This Row],[GP]]</f>
        <v>3.28125</v>
      </c>
      <c r="BJ12" s="12">
        <f>Table3[[#This Row],[GA]]/Table3[[#This Row],[GP]]</f>
        <v>3.53125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8-8-1</v>
      </c>
      <c r="BM12" s="42" t="str">
        <f>_xlfn.CONCAT(TEXT(Table3[[#This Row],[W_A]], "0"), "-", TEXT(Table3[[#This Row],[RL_A]],"0"), "-", TEXT(Table3[[#This Row],[OTL_A]]+Table3[[#This Row],[SOL_A]], "0"))</f>
        <v>9-3-3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0.7</v>
      </c>
      <c r="BP12" s="16">
        <f>(Table3[[#This Row],[W]]*$CX$3)+(Table3[[#This Row],[L]]*$CX$4)+(Table3[[#This Row],[GF]]*$CX$5)+(Table3[[#This Row],[GA]]*$CX$6)</f>
        <v>40.049999999999997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110.438671875</v>
      </c>
      <c r="BR12" s="16">
        <f>(Table3[[#This Row],[W]]*0.7) + ((Table3[[#This Row],[GF]] - Table3[[#This Row],[GA]])*0.25)+(Table3[[#This Row],[GF]]*0.1)+(Table3[[#This Row],[GA]]*0.05)+(Table3[[#This Row],[L]]*0.3)</f>
        <v>30.549999999999997</v>
      </c>
      <c r="BS12" s="16">
        <f>Table3[[#This Row],[TeamCost83]]/Table3[[#This Row],[GP]]</f>
        <v>0.95468749999999991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>BT12+BU12</f>
        <v>15</v>
      </c>
      <c r="BW12">
        <f>F12-BT12</f>
        <v>10</v>
      </c>
      <c r="BX12">
        <f>H12-BU12</f>
        <v>7</v>
      </c>
      <c r="BY12">
        <f>BW12+BX12</f>
        <v>17</v>
      </c>
      <c r="BZ12">
        <f>Table3[[#This Row],[TimesPredictedWinner]]/Table3[[#This Row],[GP]]</f>
        <v>0.46875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7.8</v>
      </c>
      <c r="CJ12">
        <f>SUMIFS(Table2[GamePredictionScore], Table2[HomeTeam], Table3[[#This Row],[Teams]])</f>
        <v>7.4999999999999991</v>
      </c>
      <c r="CK12">
        <f>Table3[[#This Row],[Column4]]+Table3[[#This Row],[Column3]]</f>
        <v>15.299999999999999</v>
      </c>
      <c r="CL12">
        <f>Table3[[#This Row],[Column5]]/Table3[[#This Row],[GP]]</f>
        <v>0.47812499999999997</v>
      </c>
      <c r="CR12" t="s">
        <v>149</v>
      </c>
      <c r="CS12">
        <f>$CS$3/($CS$10-$CS$9)</f>
        <v>6.333333333333333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27</v>
      </c>
      <c r="E13" s="10">
        <f>Table3[[#This Row],[Watched]]/Table3[[#This Row],[GP]]</f>
        <v>0.81818181818181823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16</v>
      </c>
      <c r="I13">
        <f>41-Table3[[#This Row],[GP_H]]</f>
        <v>25</v>
      </c>
      <c r="J13">
        <f>F13+H13</f>
        <v>33</v>
      </c>
      <c r="K13">
        <f>82-Table3[[#This Row],[GP]]</f>
        <v>49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10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7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8</v>
      </c>
      <c r="Y13">
        <f>COUNTIFS(DataRegularSeason20242025!$E$3:$E$1315,$A13, DataRegularSeason20242025!$S$3:$S$1315, $A13,DataRegularSeason20242025!$M$3:$M$1315,"REG")</f>
        <v>8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0.54545454545454541</v>
      </c>
      <c r="AC13">
        <f>Table3[[#This Row],[W_A]]+Table3[[#This Row],[W_H]]</f>
        <v>18</v>
      </c>
      <c r="AD13">
        <f>Table3[[#This Row],[L_A]]+Table3[[#This Row],[L_H]]</f>
        <v>15</v>
      </c>
      <c r="AE13">
        <f>Table3[[#This Row],[RW_A]]+Table3[[#This Row],[RW_H]]</f>
        <v>15</v>
      </c>
      <c r="AF13">
        <f>Table3[[#This Row],[RL_A]]+Table3[[#This Row],[RL_H]]</f>
        <v>12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3-3</v>
      </c>
      <c r="AL13">
        <f>SUM(Table3[[#This Row],[OTW]],Table3[[#This Row],[OTL]],Table3[[#This Row],[SOW]],Table3[[#This Row],[SOL]])</f>
        <v>6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0.18181818181818182</v>
      </c>
      <c r="AO13">
        <f>(2*(Table3[[#This Row],[W_A]]+Table3[[#This Row],[W_H]]))+Table3[[#This Row],[OTL_A]]+Table3[[#This Row],[SOL_A]]+Table3[[#This Row],[OTL_H]]+Table3[[#This Row],[SOL_H]]</f>
        <v>39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3" s="10">
        <f>Table3[[#This Row],[PTS]]/(2*Table3[[#This Row],[GP]])</f>
        <v>0.59090909090909094</v>
      </c>
      <c r="AR13" s="10">
        <f>Table3[[#This Row],[PTS2]]/(3*Table3[[#This Row],[GP]])</f>
        <v>0.54545454545454541</v>
      </c>
      <c r="AS13">
        <f>(2*Table3[[#This Row],[GR]])+Table3[[#This Row],[PTS]]</f>
        <v>137</v>
      </c>
      <c r="AT13">
        <f>(3*Table3[[#This Row],[GR]])+Table3[[#This Row],[PTS2]]</f>
        <v>201</v>
      </c>
      <c r="AU13">
        <f>Table3[[#This Row],[PTS]]+(2 * Table3[[#This Row],[GR]] * Table3[[#This Row],[PTS%]])</f>
        <v>96.909090909090907</v>
      </c>
      <c r="AV13">
        <f>Table3[[#This Row],[PTS2]]+(3 * Table3[[#This Row],[GR]] * Table3[[#This Row],[PTS%2]])</f>
        <v>134.18181818181819</v>
      </c>
      <c r="AW13" s="15" t="str">
        <f>_xlfn.CONCAT(TEXT(Table3[[#This Row],[W]], "0"), "-", TEXT(Table3[[#This Row],[RL]],"0"), "-", TEXT(Table3[[#This Row],[OTL]]+Table3[[#This Row],[SOL]], "0"))</f>
        <v>18-12-3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61</v>
      </c>
      <c r="AZ13">
        <f>SUMIF(DataRegularSeason20242025!$D$3:$D$1315,$A13, DataRegularSeason20242025!$K$3:$K$1315)</f>
        <v>41</v>
      </c>
      <c r="BA13">
        <f>AY13-AZ13</f>
        <v>20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45</v>
      </c>
      <c r="BD13">
        <f>SUMIF(DataRegularSeason20242025!$E$3:$E$1315,$A13,DataRegularSeason20242025!$J$3:$J$1315)</f>
        <v>47</v>
      </c>
      <c r="BE13">
        <f>BC13-BD13</f>
        <v>-2</v>
      </c>
      <c r="BF13">
        <f>AY13+BC13</f>
        <v>106</v>
      </c>
      <c r="BG13">
        <f>AZ13+BD13</f>
        <v>88</v>
      </c>
      <c r="BH13">
        <f>BF13-BG13</f>
        <v>18</v>
      </c>
      <c r="BI13" s="12">
        <f>Table3[[#This Row],[GF]]/Table3[[#This Row],[GP]]</f>
        <v>3.2121212121212119</v>
      </c>
      <c r="BJ13" s="12">
        <f>Table3[[#This Row],[GA]]/Table3[[#This Row],[GP]]</f>
        <v>2.6666666666666665</v>
      </c>
      <c r="BK13" s="12">
        <f>(Table3[[#This Row],[GF]]-Table3[[#This Row],[GA]])/Table3[[#This Row],[GP]]</f>
        <v>0.54545454545454541</v>
      </c>
      <c r="BL13" s="42" t="str">
        <f>_xlfn.CONCAT(TEXT(Table3[[#This Row],[W_H]], "0"), "-", TEXT(Table3[[#This Row],[RL_H]],"0"), "-", TEXT(Table3[[#This Row],[OTL_H]]+Table3[[#This Row],[SOL_H]], "0"))</f>
        <v>8-8-0</v>
      </c>
      <c r="BM13" s="42" t="str">
        <f>_xlfn.CONCAT(TEXT(Table3[[#This Row],[W_A]], "0"), "-", TEXT(Table3[[#This Row],[RL_A]],"0"), "-", TEXT(Table3[[#This Row],[OTL_A]]+Table3[[#This Row],[SOL_A]], "0"))</f>
        <v>10-4-3</v>
      </c>
      <c r="BN13" s="42">
        <f>((2*(Table3[[#This Row],[W_H]]))+Table3[[#This Row],[OTL_H]]+Table3[[#This Row],[SOL_H]])/(2*Table3[[#This Row],[GP_H]])</f>
        <v>0.5</v>
      </c>
      <c r="BO13" s="42">
        <f>((2*(Table3[[#This Row],[W_A]]))+Table3[[#This Row],[OTL_A]]+Table3[[#This Row],[SOL_A]])/(2*Table3[[#This Row],[GP_A]])</f>
        <v>0.67647058823529416</v>
      </c>
      <c r="BP13" s="16">
        <f>(Table3[[#This Row],[W]]*$CX$3)+(Table3[[#This Row],[L]]*$CX$4)+(Table3[[#This Row],[GF]]*$CX$5)+(Table3[[#This Row],[GA]]*$CX$6)</f>
        <v>38.200000000000003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100.61487603305785</v>
      </c>
      <c r="BR13" s="16">
        <f>(Table3[[#This Row],[W]]*0.7) + ((Table3[[#This Row],[GF]] - Table3[[#This Row],[GA]])*0.25)+(Table3[[#This Row],[GF]]*0.1)+(Table3[[#This Row],[GA]]*0.05)+(Table3[[#This Row],[L]]*0.3)</f>
        <v>36.6</v>
      </c>
      <c r="BS13" s="16">
        <f>Table3[[#This Row],[TeamCost83]]/Table3[[#This Row],[GP]]</f>
        <v>1.1090909090909091</v>
      </c>
      <c r="BT13">
        <f>COUNTIFS(Table2[AwayTeam],$A13,Table2[PredictedWinner], $A13, Table2[GameIsOver], 1)</f>
        <v>8</v>
      </c>
      <c r="BU13">
        <f>COUNTIFS(Table2[HomeTeam],$A13,Table2[PredictedWinner], $A13, Table2[GameIsOver], 1)</f>
        <v>7</v>
      </c>
      <c r="BV13">
        <f>BT13+BU13</f>
        <v>15</v>
      </c>
      <c r="BW13">
        <f>F13-BT13</f>
        <v>9</v>
      </c>
      <c r="BX13">
        <f>H13-BU13</f>
        <v>9</v>
      </c>
      <c r="BY13">
        <f>BW13+BX13</f>
        <v>18</v>
      </c>
      <c r="BZ13">
        <f>Table3[[#This Row],[TimesPredictedWinner]]/Table3[[#This Row],[GP]]</f>
        <v>0.45454545454545453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7.6999999999999993</v>
      </c>
      <c r="CJ13">
        <f>SUMIFS(Table2[GamePredictionScore], Table2[HomeTeam], Table3[[#This Row],[Teams]])</f>
        <v>9.7000000000000011</v>
      </c>
      <c r="CK13">
        <f>Table3[[#This Row],[Column4]]+Table3[[#This Row],[Column3]]</f>
        <v>17.399999999999999</v>
      </c>
      <c r="CL13">
        <f>Table3[[#This Row],[Column5]]/Table3[[#This Row],[GP]]</f>
        <v>0.52727272727272723</v>
      </c>
      <c r="CR13" t="s">
        <v>154</v>
      </c>
      <c r="CS13">
        <f>(CS5/CS2)/2</f>
        <v>3.0694980694980694</v>
      </c>
      <c r="DB13" s="156" t="s">
        <v>761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32</v>
      </c>
      <c r="E14" s="10">
        <f>Table3[[#This Row],[Watched]]/Table3[[#This Row],[GP]]</f>
        <v>0.96969696969696972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>F14+H14</f>
        <v>33</v>
      </c>
      <c r="K14">
        <f>82-Table3[[#This Row],[GP]]</f>
        <v>49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7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>F14-L14</f>
        <v>8</v>
      </c>
      <c r="Q14">
        <f>COUNTIFS(DataRegularSeason20242025!$D$3:$D$1315,$A14, DataRegularSeason20242025!$S$3:$S$1315, $A14,DataRegularSeason20242025!$M$3:$M$1315,"REG")</f>
        <v>6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9</v>
      </c>
      <c r="U14">
        <f>COUNTIFS(DataRegularSeason20242025!$E$3:$E$1315,$A14, DataRegularSeason20242025!$L$3:$L$1315, $A14,DataRegularSeason20242025!$N$3:$N$1315,1,DataRegularSeason20242025!$M$3:$M$1315,"REG")</f>
        <v>7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0.54545454545454541</v>
      </c>
      <c r="AC14">
        <f>Table3[[#This Row],[W_A]]+Table3[[#This Row],[W_H]]</f>
        <v>18</v>
      </c>
      <c r="AD14">
        <f>Table3[[#This Row],[L_A]]+Table3[[#This Row],[L_H]]</f>
        <v>15</v>
      </c>
      <c r="AE14">
        <f>Table3[[#This Row],[RW_A]]+Table3[[#This Row],[RW_H]]</f>
        <v>14</v>
      </c>
      <c r="AF14">
        <f>Table3[[#This Row],[RL_A]]+Table3[[#This Row],[RL_H]]</f>
        <v>12</v>
      </c>
      <c r="AG14">
        <f>Table3[[#This Row],[OTW_A]]+Table3[[#This Row],[OTW_H]]</f>
        <v>2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0.21212121212121213</v>
      </c>
      <c r="AO14">
        <f>(2*(Table3[[#This Row],[W_A]]+Table3[[#This Row],[W_H]]))+Table3[[#This Row],[OTL_A]]+Table3[[#This Row],[SOL_A]]+Table3[[#This Row],[OTL_H]]+Table3[[#This Row],[SOL_H]]</f>
        <v>39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14" s="10">
        <f>Table3[[#This Row],[PTS]]/(2*Table3[[#This Row],[GP]])</f>
        <v>0.59090909090909094</v>
      </c>
      <c r="AR14" s="10">
        <f>Table3[[#This Row],[PTS2]]/(3*Table3[[#This Row],[GP]])</f>
        <v>0.53535353535353536</v>
      </c>
      <c r="AS14">
        <f>(2*Table3[[#This Row],[GR]])+Table3[[#This Row],[PTS]]</f>
        <v>137</v>
      </c>
      <c r="AT14">
        <f>(3*Table3[[#This Row],[GR]])+Table3[[#This Row],[PTS2]]</f>
        <v>200</v>
      </c>
      <c r="AU14">
        <f>Table3[[#This Row],[PTS]]+(2 * Table3[[#This Row],[GR]] * Table3[[#This Row],[PTS%]])</f>
        <v>96.909090909090907</v>
      </c>
      <c r="AV14">
        <f>Table3[[#This Row],[PTS2]]+(3 * Table3[[#This Row],[GR]] * Table3[[#This Row],[PTS%2]])</f>
        <v>131.69696969696969</v>
      </c>
      <c r="AW14" s="15" t="str">
        <f>_xlfn.CONCAT(TEXT(Table3[[#This Row],[W]], "0"), "-", TEXT(Table3[[#This Row],[RL]],"0"), "-", TEXT(Table3[[#This Row],[OTL]]+Table3[[#This Row],[SOL]], "0"))</f>
        <v>18-12-3</v>
      </c>
      <c r="AX14">
        <f>COUNTIFS(DataRegularSeason20242025!$D$3:$D$1315,Table3[[#This Row],[Teams]],DataRegularSeason20242025!$K$3:$K$1315,0)</f>
        <v>2</v>
      </c>
      <c r="AY14">
        <f>SUMIF(DataRegularSeason20242025!$D$3:$D$1315,$A14, DataRegularSeason20242025!$J$3:$J$1315)</f>
        <v>50</v>
      </c>
      <c r="AZ14">
        <f>SUMIF(DataRegularSeason20242025!$D$3:$D$1315,$A14, DataRegularSeason20242025!$K$3:$K$1315)</f>
        <v>50</v>
      </c>
      <c r="BA14">
        <f>AY14-AZ14</f>
        <v>0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54</v>
      </c>
      <c r="BD14">
        <f>SUMIF(DataRegularSeason20242025!$E$3:$E$1315,$A14,DataRegularSeason20242025!$J$3:$J$1315)</f>
        <v>59</v>
      </c>
      <c r="BE14">
        <f>BC14-BD14</f>
        <v>-5</v>
      </c>
      <c r="BF14">
        <f>AY14+BC14</f>
        <v>104</v>
      </c>
      <c r="BG14">
        <f>AZ14+BD14</f>
        <v>109</v>
      </c>
      <c r="BH14">
        <f>BF14-BG14</f>
        <v>-5</v>
      </c>
      <c r="BI14" s="12">
        <f>Table3[[#This Row],[GF]]/Table3[[#This Row],[GP]]</f>
        <v>3.1515151515151514</v>
      </c>
      <c r="BJ14" s="12">
        <f>Table3[[#This Row],[GA]]/Table3[[#This Row],[GP]]</f>
        <v>3.3030303030303032</v>
      </c>
      <c r="BK14" s="12">
        <f>(Table3[[#This Row],[GF]]-Table3[[#This Row],[GA]])/Table3[[#This Row],[GP]]</f>
        <v>-0.15151515151515152</v>
      </c>
      <c r="BL14" s="42" t="str">
        <f>_xlfn.CONCAT(TEXT(Table3[[#This Row],[W_H]], "0"), "-", TEXT(Table3[[#This Row],[RL_H]],"0"), "-", TEXT(Table3[[#This Row],[OTL_H]]+Table3[[#This Row],[SOL_H]], "0"))</f>
        <v>9-6-1</v>
      </c>
      <c r="BM14" s="42" t="str">
        <f>_xlfn.CONCAT(TEXT(Table3[[#This Row],[W_A]], "0"), "-", TEXT(Table3[[#This Row],[RL_A]],"0"), "-", TEXT(Table3[[#This Row],[OTL_A]]+Table3[[#This Row],[SOL_A]], "0"))</f>
        <v>9-6-2</v>
      </c>
      <c r="BN14" s="42">
        <f>((2*(Table3[[#This Row],[W_H]]))+Table3[[#This Row],[OTL_H]]+Table3[[#This Row],[SOL_H]])/(2*Table3[[#This Row],[GP_H]])</f>
        <v>0.59375</v>
      </c>
      <c r="BO14" s="42">
        <f>((2*(Table3[[#This Row],[W_A]]))+Table3[[#This Row],[OTL_A]]+Table3[[#This Row],[SOL_A]])/(2*Table3[[#This Row],[GP_A]])</f>
        <v>0.58823529411764708</v>
      </c>
      <c r="BP14" s="16">
        <f>(Table3[[#This Row],[W]]*$CX$3)+(Table3[[#This Row],[L]]*$CX$4)+(Table3[[#This Row],[GF]]*$CX$5)+(Table3[[#This Row],[GA]]*$CX$6)</f>
        <v>40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106.88760330578513</v>
      </c>
      <c r="BR14" s="16">
        <f>(Table3[[#This Row],[W]]*0.7) + ((Table3[[#This Row],[GF]] - Table3[[#This Row],[GA]])*0.25)+(Table3[[#This Row],[GF]]*0.1)+(Table3[[#This Row],[GA]]*0.05)+(Table3[[#This Row],[L]]*0.3)</f>
        <v>31.7</v>
      </c>
      <c r="BS14" s="16">
        <f>Table3[[#This Row],[TeamCost83]]/Table3[[#This Row],[GP]]</f>
        <v>0.96060606060606057</v>
      </c>
      <c r="BT14">
        <f>COUNTIFS(Table2[AwayTeam],$A14,Table2[PredictedWinner], $A14, Table2[GameIsOver], 1)</f>
        <v>9</v>
      </c>
      <c r="BU14">
        <f>COUNTIFS(Table2[HomeTeam],$A14,Table2[PredictedWinner], $A14, Table2[GameIsOver], 1)</f>
        <v>9</v>
      </c>
      <c r="BV14">
        <f>BT14+BU14</f>
        <v>18</v>
      </c>
      <c r="BW14">
        <f>F14-BT14</f>
        <v>8</v>
      </c>
      <c r="BX14">
        <f>H14-BU14</f>
        <v>7</v>
      </c>
      <c r="BY14">
        <f>BW14+BX14</f>
        <v>15</v>
      </c>
      <c r="BZ14">
        <f>Table3[[#This Row],[TimesPredictedWinner]]/Table3[[#This Row],[GP]]</f>
        <v>0.54545454545454541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7.6000000000000005</v>
      </c>
      <c r="CJ14">
        <f>SUMIFS(Table2[GamePredictionScore], Table2[HomeTeam], Table3[[#This Row],[Teams]])</f>
        <v>5.2</v>
      </c>
      <c r="CK14">
        <f>Table3[[#This Row],[Column4]]+Table3[[#This Row],[Column3]]</f>
        <v>12.8</v>
      </c>
      <c r="CL14">
        <f>Table3[[#This Row],[Column5]]/Table3[[#This Row],[GP]]</f>
        <v>0.38787878787878788</v>
      </c>
      <c r="CR14" t="s">
        <v>460</v>
      </c>
      <c r="CS14">
        <f>CS7+CS8</f>
        <v>140</v>
      </c>
      <c r="DB14">
        <v>4.7474747474747404E+75</v>
      </c>
    </row>
    <row r="15" spans="1:144" ht="15.75" thickBot="1" x14ac:dyDescent="0.3">
      <c r="A15" t="s">
        <v>27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25</v>
      </c>
      <c r="E15" s="10">
        <f>Table3[[#This Row],[Watched]]/Table3[[#This Row],[GP]]</f>
        <v>0.78125</v>
      </c>
      <c r="F15">
        <f>COUNTIFS(DataRegularSeason20242025!$N$3:$N$1315,1,DataRegularSeason20242025!$D$3:$D$1315,$A15)</f>
        <v>18</v>
      </c>
      <c r="G15">
        <f>41-Table3[[#This Row],[GP_A]]</f>
        <v>23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>F15+H15</f>
        <v>32</v>
      </c>
      <c r="K15">
        <f>82-Table3[[#This Row],[GP]]</f>
        <v>50</v>
      </c>
      <c r="L15">
        <f>COUNTIFS(DataRegularSeason20242025!$D$3:$D$1315,$A15, DataRegularSeason20242025!$L$3:$L$1315, $A15,DataRegularSeason20242025!$N$3:$N$1315,1)</f>
        <v>10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8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4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3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10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3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0.4375</v>
      </c>
      <c r="AC15">
        <f>Table3[[#This Row],[W_A]]+Table3[[#This Row],[W_H]]</f>
        <v>14</v>
      </c>
      <c r="AD15">
        <f>Table3[[#This Row],[L_A]]+Table3[[#This Row],[L_H]]</f>
        <v>18</v>
      </c>
      <c r="AE15">
        <f>Table3[[#This Row],[RW_A]]+Table3[[#This Row],[RW_H]]</f>
        <v>9</v>
      </c>
      <c r="AF15">
        <f>Table3[[#This Row],[RL_A]]+Table3[[#This Row],[RL_H]]</f>
        <v>9</v>
      </c>
      <c r="AG15">
        <f>Table3[[#This Row],[OTW_A]]+Table3[[#This Row],[OTW_H]]</f>
        <v>4</v>
      </c>
      <c r="AH15">
        <f>Table3[[#This Row],[OTL_A]]+Table3[[#This Row],[OTL_H]]</f>
        <v>4</v>
      </c>
      <c r="AI15">
        <f>Table3[[#This Row],[SOW_A]]+Table3[[#This Row],[SOW_H]]</f>
        <v>1</v>
      </c>
      <c r="AJ15">
        <f>Table3[[#This Row],[SOL_A]]+Table3[[#This Row],[SOL_H]]</f>
        <v>5</v>
      </c>
      <c r="AK15" s="15" t="str">
        <f>_xlfn.CONCAT(TEXT(Table3[[#This Row],[OTW]]+Table3[[#This Row],[SOW]], "0"), "-", TEXT(Table3[[#This Row],[OTL]]+Table3[[#This Row],[SOL]],"0"))</f>
        <v>5-9</v>
      </c>
      <c r="AL15">
        <f>SUM(Table3[[#This Row],[OTW]],Table3[[#This Row],[OTL]],Table3[[#This Row],[SOW]],Table3[[#This Row],[SOL]])</f>
        <v>14</v>
      </c>
      <c r="AM15">
        <f>(Table3[[#This Row],[OTW]]+Table3[[#This Row],[SOW]])/IF(Table3[[#This Row],[Total_ExtraTimes]]=0,1,Table3[[#This Row],[Total_ExtraTimes]])</f>
        <v>0.35714285714285715</v>
      </c>
      <c r="AN15">
        <f>Table3[[#This Row],[Total_ExtraTimes]]/MAX(1,Table3[[#This Row],[GP]])</f>
        <v>0.4375</v>
      </c>
      <c r="AO15">
        <f>(2*(Table3[[#This Row],[W_A]]+Table3[[#This Row],[W_H]]))+Table3[[#This Row],[OTL_A]]+Table3[[#This Row],[SOL_A]]+Table3[[#This Row],[OTL_H]]+Table3[[#This Row],[SOL_H]]</f>
        <v>37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5" s="10">
        <f>Table3[[#This Row],[PTS]]/(2*Table3[[#This Row],[GP]])</f>
        <v>0.578125</v>
      </c>
      <c r="AR15" s="10">
        <f>Table3[[#This Row],[PTS2]]/(3*Table3[[#This Row],[GP]])</f>
        <v>0.47916666666666669</v>
      </c>
      <c r="AS15">
        <f>(2*Table3[[#This Row],[GR]])+Table3[[#This Row],[PTS]]</f>
        <v>137</v>
      </c>
      <c r="AT15">
        <f>(3*Table3[[#This Row],[GR]])+Table3[[#This Row],[PTS2]]</f>
        <v>196</v>
      </c>
      <c r="AU15">
        <f>Table3[[#This Row],[PTS]]+(2 * Table3[[#This Row],[GR]] * Table3[[#This Row],[PTS%]])</f>
        <v>94.8125</v>
      </c>
      <c r="AV15">
        <f>Table3[[#This Row],[PTS2]]+(3 * Table3[[#This Row],[GR]] * Table3[[#This Row],[PTS%2]])</f>
        <v>117.875</v>
      </c>
      <c r="AW15" s="15" t="str">
        <f>_xlfn.CONCAT(TEXT(Table3[[#This Row],[W]], "0"), "-", TEXT(Table3[[#This Row],[RL]],"0"), "-", TEXT(Table3[[#This Row],[OTL]]+Table3[[#This Row],[SOL]], "0"))</f>
        <v>14-9-9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55</v>
      </c>
      <c r="AZ15">
        <f>SUMIF(DataRegularSeason20242025!$D$3:$D$1315,$A15, DataRegularSeason20242025!$K$3:$K$1315)</f>
        <v>50</v>
      </c>
      <c r="BA15">
        <f>AY15-AZ15</f>
        <v>5</v>
      </c>
      <c r="BB15">
        <f>COUNTIFS(DataRegularSeason20242025!$E$3:$E$1315,Table3[[#This Row],[Teams]],DataRegularSeason20242025!$J$3:$J$1315,0)</f>
        <v>2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36</v>
      </c>
      <c r="BE15">
        <f>BC15-BD15</f>
        <v>-7</v>
      </c>
      <c r="BF15">
        <f>AY15+BC15</f>
        <v>84</v>
      </c>
      <c r="BG15">
        <f>AZ15+BD15</f>
        <v>86</v>
      </c>
      <c r="BH15">
        <f>BF15-BG15</f>
        <v>-2</v>
      </c>
      <c r="BI15" s="12">
        <f>Table3[[#This Row],[GF]]/Table3[[#This Row],[GP]]</f>
        <v>2.625</v>
      </c>
      <c r="BJ15" s="12">
        <f>Table3[[#This Row],[GA]]/Table3[[#This Row],[GP]]</f>
        <v>2.6875</v>
      </c>
      <c r="BK15" s="12">
        <f>(Table3[[#This Row],[GF]]-Table3[[#This Row],[GA]])/Table3[[#This Row],[GP]]</f>
        <v>-6.25E-2</v>
      </c>
      <c r="BL15" s="42" t="str">
        <f>_xlfn.CONCAT(TEXT(Table3[[#This Row],[W_H]], "0"), "-", TEXT(Table3[[#This Row],[RL_H]],"0"), "-", TEXT(Table3[[#This Row],[OTL_H]]+Table3[[#This Row],[SOL_H]], "0"))</f>
        <v>4-6-4</v>
      </c>
      <c r="BM15" s="42" t="str">
        <f>_xlfn.CONCAT(TEXT(Table3[[#This Row],[W_A]], "0"), "-", TEXT(Table3[[#This Row],[RL_A]],"0"), "-", TEXT(Table3[[#This Row],[OTL_A]]+Table3[[#This Row],[SOL_A]], "0"))</f>
        <v>10-3-5</v>
      </c>
      <c r="BN15" s="42">
        <f>((2*(Table3[[#This Row],[W_H]]))+Table3[[#This Row],[OTL_H]]+Table3[[#This Row],[SOL_H]])/(2*Table3[[#This Row],[GP_H]])</f>
        <v>0.42857142857142855</v>
      </c>
      <c r="BO15" s="42">
        <f>((2*(Table3[[#This Row],[W_A]]))+Table3[[#This Row],[OTL_A]]+Table3[[#This Row],[SOL_A]])/(2*Table3[[#This Row],[GP_A]])</f>
        <v>0.69444444444444442</v>
      </c>
      <c r="BP15" s="16">
        <f>(Table3[[#This Row],[W]]*$CX$3)+(Table3[[#This Row],[L]]*$CX$4)+(Table3[[#This Row],[GF]]*$CX$5)+(Table3[[#This Row],[GA]]*$CX$6)</f>
        <v>33.6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88.990039062499989</v>
      </c>
      <c r="BR15" s="16">
        <f>(Table3[[#This Row],[W]]*0.7) + ((Table3[[#This Row],[GF]] - Table3[[#This Row],[GA]])*0.25)+(Table3[[#This Row],[GF]]*0.1)+(Table3[[#This Row],[GA]]*0.05)+(Table3[[#This Row],[L]]*0.3)</f>
        <v>27.4</v>
      </c>
      <c r="BS15" s="16">
        <f>Table3[[#This Row],[TeamCost83]]/Table3[[#This Row],[GP]]</f>
        <v>0.85624999999999996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5</v>
      </c>
      <c r="BV15">
        <f>BT15+BU15</f>
        <v>10</v>
      </c>
      <c r="BW15">
        <f>F15-BT15</f>
        <v>13</v>
      </c>
      <c r="BX15">
        <f>H15-BU15</f>
        <v>9</v>
      </c>
      <c r="BY15">
        <f>BW15+BX15</f>
        <v>22</v>
      </c>
      <c r="BZ15">
        <f>Table3[[#This Row],[TimesPredictedWinner]]/Table3[[#This Row],[GP]]</f>
        <v>0.3125</v>
      </c>
      <c r="CB15">
        <v>2014</v>
      </c>
      <c r="CD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8.2000000000000011</v>
      </c>
      <c r="CJ15">
        <f>SUMIFS(Table2[GamePredictionScore], Table2[HomeTeam], Table3[[#This Row],[Teams]])</f>
        <v>7.6000000000000005</v>
      </c>
      <c r="CK15">
        <f>Table3[[#This Row],[Column4]]+Table3[[#This Row],[Column3]]</f>
        <v>15.8</v>
      </c>
      <c r="CL15">
        <f>Table3[[#This Row],[Column5]]/Table3[[#This Row],[GP]]</f>
        <v>0.49375000000000002</v>
      </c>
      <c r="CR15" t="s">
        <v>461</v>
      </c>
      <c r="CS15">
        <f>CS14/CS2</f>
        <v>0.27027027027027029</v>
      </c>
    </row>
    <row r="16" spans="1:144" x14ac:dyDescent="0.25">
      <c r="A16" t="s">
        <v>15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26</v>
      </c>
      <c r="E16" s="10">
        <f>Table3[[#This Row],[Watched]]/Table3[[#This Row],[GP]]</f>
        <v>0.78787878787878785</v>
      </c>
      <c r="F16">
        <f>COUNTIFS(DataRegularSeason20242025!$N$3:$N$1315,1,DataRegularSeason20242025!$D$3:$D$1315,$A16)</f>
        <v>17</v>
      </c>
      <c r="G16">
        <f>41-Table3[[#This Row],[GP_A]]</f>
        <v>24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>F16+H16</f>
        <v>33</v>
      </c>
      <c r="K16">
        <f>82-Table3[[#This Row],[GP]]</f>
        <v>49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9</v>
      </c>
      <c r="Q16">
        <f>COUNTIFS(DataRegularSeason20242025!$D$3:$D$1315,$A16, DataRegularSeason20242025!$S$3:$S$1315, $A16,DataRegularSeason20242025!$M$3:$M$1315,"REG")</f>
        <v>9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11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>H16-T16</f>
        <v>5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0.5757575757575758</v>
      </c>
      <c r="AC16">
        <f>Table3[[#This Row],[W_A]]+Table3[[#This Row],[W_H]]</f>
        <v>19</v>
      </c>
      <c r="AD16">
        <f>Table3[[#This Row],[L_A]]+Table3[[#This Row],[L_H]]</f>
        <v>14</v>
      </c>
      <c r="AE16">
        <f>Table3[[#This Row],[RW_A]]+Table3[[#This Row],[RW_H]]</f>
        <v>13</v>
      </c>
      <c r="AF16">
        <f>Table3[[#This Row],[RL_A]]+Table3[[#This Row],[RL_H]]</f>
        <v>14</v>
      </c>
      <c r="AG16">
        <f>Table3[[#This Row],[OTW_A]]+Table3[[#This Row],[OTW_H]]</f>
        <v>4</v>
      </c>
      <c r="AH16">
        <f>Table3[[#This Row],[OTL_A]]+Table3[[#This Row],[OTL_H]]</f>
        <v>0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6-0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1</v>
      </c>
      <c r="AN16">
        <f>Table3[[#This Row],[Total_ExtraTimes]]/MAX(1,Table3[[#This Row],[GP]])</f>
        <v>0.18181818181818182</v>
      </c>
      <c r="AO16">
        <f>(2*(Table3[[#This Row],[W_A]]+Table3[[#This Row],[W_H]]))+Table3[[#This Row],[OTL_A]]+Table3[[#This Row],[SOL_A]]+Table3[[#This Row],[OTL_H]]+Table3[[#This Row],[SOL_H]]</f>
        <v>38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6" s="10">
        <f>Table3[[#This Row],[PTS]]/(2*Table3[[#This Row],[GP]])</f>
        <v>0.5757575757575758</v>
      </c>
      <c r="AR16" s="10">
        <f>Table3[[#This Row],[PTS2]]/(3*Table3[[#This Row],[GP]])</f>
        <v>0.51515151515151514</v>
      </c>
      <c r="AS16">
        <f>(2*Table3[[#This Row],[GR]])+Table3[[#This Row],[PTS]]</f>
        <v>136</v>
      </c>
      <c r="AT16">
        <f>(3*Table3[[#This Row],[GR]])+Table3[[#This Row],[PTS2]]</f>
        <v>198</v>
      </c>
      <c r="AU16">
        <f>Table3[[#This Row],[PTS]]+(2 * Table3[[#This Row],[GR]] * Table3[[#This Row],[PTS%]])</f>
        <v>94.424242424242436</v>
      </c>
      <c r="AV16">
        <f>Table3[[#This Row],[PTS2]]+(3 * Table3[[#This Row],[GR]] * Table3[[#This Row],[PTS%2]])</f>
        <v>126.72727272727272</v>
      </c>
      <c r="AW16" s="15" t="str">
        <f>_xlfn.CONCAT(TEXT(Table3[[#This Row],[W]], "0"), "-", TEXT(Table3[[#This Row],[RL]],"0"), "-", TEXT(Table3[[#This Row],[OTL]]+Table3[[#This Row],[SOL]], "0"))</f>
        <v>19-14-0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54</v>
      </c>
      <c r="AZ16">
        <f>SUMIF(DataRegularSeason20242025!$D$3:$D$1315,$A16, DataRegularSeason20242025!$K$3:$K$1315)</f>
        <v>59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55</v>
      </c>
      <c r="BD16">
        <f>SUMIF(DataRegularSeason20242025!$E$3:$E$1315,$A16,DataRegularSeason20242025!$J$3:$J$1315)</f>
        <v>46</v>
      </c>
      <c r="BE16">
        <f>BC16-BD16</f>
        <v>9</v>
      </c>
      <c r="BF16">
        <f>AY16+BC16</f>
        <v>109</v>
      </c>
      <c r="BG16">
        <f>AZ16+BD16</f>
        <v>105</v>
      </c>
      <c r="BH16">
        <f>BF16-BG16</f>
        <v>4</v>
      </c>
      <c r="BI16" s="12">
        <f>Table3[[#This Row],[GF]]/Table3[[#This Row],[GP]]</f>
        <v>3.3030303030303032</v>
      </c>
      <c r="BJ16" s="12">
        <f>Table3[[#This Row],[GA]]/Table3[[#This Row],[GP]]</f>
        <v>3.1818181818181817</v>
      </c>
      <c r="BK16" s="12">
        <f>(Table3[[#This Row],[GF]]-Table3[[#This Row],[GA]])/Table3[[#This Row],[GP]]</f>
        <v>0.12121212121212122</v>
      </c>
      <c r="BL16" s="42" t="str">
        <f>_xlfn.CONCAT(TEXT(Table3[[#This Row],[W_H]], "0"), "-", TEXT(Table3[[#This Row],[RL_H]],"0"), "-", TEXT(Table3[[#This Row],[OTL_H]]+Table3[[#This Row],[SOL_H]], "0"))</f>
        <v>11-5-0</v>
      </c>
      <c r="BM16" s="42" t="str">
        <f>_xlfn.CONCAT(TEXT(Table3[[#This Row],[W_A]], "0"), "-", TEXT(Table3[[#This Row],[RL_A]],"0"), "-", TEXT(Table3[[#This Row],[OTL_A]]+Table3[[#This Row],[SOL_A]], "0"))</f>
        <v>8-9-0</v>
      </c>
      <c r="BN16" s="42">
        <f>((2*(Table3[[#This Row],[W_H]]))+Table3[[#This Row],[OTL_H]]+Table3[[#This Row],[SOL_H]])/(2*Table3[[#This Row],[GP_H]])</f>
        <v>0.6875</v>
      </c>
      <c r="BO16" s="42">
        <f>((2*(Table3[[#This Row],[W_A]]))+Table3[[#This Row],[OTL_A]]+Table3[[#This Row],[SOL_A]])/(2*Table3[[#This Row],[GP_A]])</f>
        <v>0.47058823529411764</v>
      </c>
      <c r="BP16" s="16">
        <f>(Table3[[#This Row],[W]]*$CX$3)+(Table3[[#This Row],[L]]*$CX$4)+(Table3[[#This Row],[GF]]*$CX$5)+(Table3[[#This Row],[GA]]*$CX$6)</f>
        <v>40.549999999999997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108.29977043158861</v>
      </c>
      <c r="BR16" s="16">
        <f>(Table3[[#This Row],[W]]*0.7) + ((Table3[[#This Row],[GF]] - Table3[[#This Row],[GA]])*0.25)+(Table3[[#This Row],[GF]]*0.1)+(Table3[[#This Row],[GA]]*0.05)+(Table3[[#This Row],[L]]*0.3)</f>
        <v>34.65</v>
      </c>
      <c r="BS16" s="16">
        <f>Table3[[#This Row],[TeamCost83]]/Table3[[#This Row],[GP]]</f>
        <v>1.05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7</v>
      </c>
      <c r="BV16">
        <f>BT16+BU16</f>
        <v>12</v>
      </c>
      <c r="BW16">
        <f>F16-BT16</f>
        <v>12</v>
      </c>
      <c r="BX16">
        <f>H16-BU16</f>
        <v>9</v>
      </c>
      <c r="BY16">
        <f>BW16+BX16</f>
        <v>21</v>
      </c>
      <c r="BZ16">
        <f>Table3[[#This Row],[TimesPredictedWinner]]/Table3[[#This Row],[GP]]</f>
        <v>0.36363636363636365</v>
      </c>
      <c r="CB16">
        <v>2011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7.2</v>
      </c>
      <c r="CJ16">
        <f>SUMIFS(Table2[GamePredictionScore], Table2[HomeTeam], Table3[[#This Row],[Teams]])</f>
        <v>8.5</v>
      </c>
      <c r="CK16">
        <f>Table3[[#This Row],[Column4]]+Table3[[#This Row],[Column3]]</f>
        <v>15.7</v>
      </c>
      <c r="CL16">
        <f>Table3[[#This Row],[Column5]]/Table3[[#This Row],[GP]]</f>
        <v>0.47575757575757571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13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27</v>
      </c>
      <c r="E17" s="10">
        <f>Table3[[#This Row],[Watched]]/Table3[[#This Row],[GP]]</f>
        <v>0.84375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18</v>
      </c>
      <c r="I17">
        <f>41-Table3[[#This Row],[GP_H]]</f>
        <v>23</v>
      </c>
      <c r="J17">
        <f>F17+H17</f>
        <v>32</v>
      </c>
      <c r="K17">
        <f>82-Table3[[#This Row],[GP]]</f>
        <v>50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7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7</v>
      </c>
      <c r="Q17">
        <f>COUNTIFS(DataRegularSeason20242025!$D$3:$D$1315,$A17, DataRegularSeason20242025!$S$3:$S$1315, $A17,DataRegularSeason20242025!$M$3:$M$1315,"REG")</f>
        <v>7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10</v>
      </c>
      <c r="U17">
        <f>COUNTIFS(DataRegularSeason20242025!$E$3:$E$1315,$A17, DataRegularSeason20242025!$L$3:$L$1315, $A17,DataRegularSeason20242025!$N$3:$N$1315,1,DataRegularSeason20242025!$M$3:$M$1315,"REG")</f>
        <v>8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0.53125</v>
      </c>
      <c r="AC17">
        <f>Table3[[#This Row],[W_A]]+Table3[[#This Row],[W_H]]</f>
        <v>17</v>
      </c>
      <c r="AD17">
        <f>Table3[[#This Row],[L_A]]+Table3[[#This Row],[L_H]]</f>
        <v>15</v>
      </c>
      <c r="AE17">
        <f>Table3[[#This Row],[RW_A]]+Table3[[#This Row],[RW_H]]</f>
        <v>15</v>
      </c>
      <c r="AF17">
        <f>Table3[[#This Row],[RL_A]]+Table3[[#This Row],[RL_H]]</f>
        <v>13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1</v>
      </c>
      <c r="AK17" s="15" t="str">
        <f>_xlfn.CONCAT(TEXT(Table3[[#This Row],[OTW]]+Table3[[#This Row],[SOW]], "0"), "-", TEXT(Table3[[#This Row],[OTL]]+Table3[[#This Row],[SOL]],"0"))</f>
        <v>2-2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0.125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7" s="10">
        <f>Table3[[#This Row],[PTS]]/(2*Table3[[#This Row],[GP]])</f>
        <v>0.5625</v>
      </c>
      <c r="AR17" s="10">
        <f>Table3[[#This Row],[PTS2]]/(3*Table3[[#This Row],[GP]])</f>
        <v>0.53125</v>
      </c>
      <c r="AS17">
        <f>(2*Table3[[#This Row],[GR]])+Table3[[#This Row],[PTS]]</f>
        <v>136</v>
      </c>
      <c r="AT17">
        <f>(3*Table3[[#This Row],[GR]])+Table3[[#This Row],[PTS2]]</f>
        <v>201</v>
      </c>
      <c r="AU17">
        <f>Table3[[#This Row],[PTS]]+(2 * Table3[[#This Row],[GR]] * Table3[[#This Row],[PTS%]])</f>
        <v>92.25</v>
      </c>
      <c r="AV17">
        <f>Table3[[#This Row],[PTS2]]+(3 * Table3[[#This Row],[GR]] * Table3[[#This Row],[PTS%2]])</f>
        <v>130.6875</v>
      </c>
      <c r="AW17" s="15" t="str">
        <f>_xlfn.CONCAT(TEXT(Table3[[#This Row],[W]], "0"), "-", TEXT(Table3[[#This Row],[RL]],"0"), "-", TEXT(Table3[[#This Row],[OTL]]+Table3[[#This Row],[SOL]], "0"))</f>
        <v>17-13-2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43</v>
      </c>
      <c r="AZ17">
        <f>SUMIF(DataRegularSeason20242025!$D$3:$D$1315,$A17, DataRegularSeason20242025!$K$3:$K$1315)</f>
        <v>46</v>
      </c>
      <c r="BA17">
        <f>AY17-AZ17</f>
        <v>-3</v>
      </c>
      <c r="BB17">
        <f>COUNTIFS(DataRegularSeason20242025!$E$3:$E$1315,Table3[[#This Row],[Teams]],DataRegularSeason20242025!$J$3:$J$1315,0)</f>
        <v>2</v>
      </c>
      <c r="BC17">
        <f>SUMIF(DataRegularSeason20242025!$E$3:$E$1315,$A17,DataRegularSeason20242025!$K$3:$K$1315)</f>
        <v>60</v>
      </c>
      <c r="BD17">
        <f>SUMIF(DataRegularSeason20242025!$E$3:$E$1315,$A17,DataRegularSeason20242025!$J$3:$J$1315)</f>
        <v>55</v>
      </c>
      <c r="BE17">
        <f>BC17-BD17</f>
        <v>5</v>
      </c>
      <c r="BF17">
        <f>AY17+BC17</f>
        <v>103</v>
      </c>
      <c r="BG17">
        <f>AZ17+BD17</f>
        <v>101</v>
      </c>
      <c r="BH17">
        <f>BF17-BG17</f>
        <v>2</v>
      </c>
      <c r="BI17" s="12">
        <f>Table3[[#This Row],[GF]]/Table3[[#This Row],[GP]]</f>
        <v>3.21875</v>
      </c>
      <c r="BJ17" s="12">
        <f>Table3[[#This Row],[GA]]/Table3[[#This Row],[GP]]</f>
        <v>3.15625</v>
      </c>
      <c r="BK17" s="12">
        <f>(Table3[[#This Row],[GF]]-Table3[[#This Row],[GA]])/Table3[[#This Row],[GP]]</f>
        <v>6.25E-2</v>
      </c>
      <c r="BL17" s="42" t="str">
        <f>_xlfn.CONCAT(TEXT(Table3[[#This Row],[W_H]], "0"), "-", TEXT(Table3[[#This Row],[RL_H]],"0"), "-", TEXT(Table3[[#This Row],[OTL_H]]+Table3[[#This Row],[SOL_H]], "0"))</f>
        <v>10-6-2</v>
      </c>
      <c r="BM17" s="42" t="str">
        <f>_xlfn.CONCAT(TEXT(Table3[[#This Row],[W_A]], "0"), "-", TEXT(Table3[[#This Row],[RL_A]],"0"), "-", TEXT(Table3[[#This Row],[OTL_A]]+Table3[[#This Row],[SOL_A]], "0"))</f>
        <v>7-7-0</v>
      </c>
      <c r="BN17" s="42">
        <f>((2*(Table3[[#This Row],[W_H]]))+Table3[[#This Row],[OTL_H]]+Table3[[#This Row],[SOL_H]])/(2*Table3[[#This Row],[GP_H]])</f>
        <v>0.61111111111111116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38.549999999999997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105.07890624999999</v>
      </c>
      <c r="BR17" s="16">
        <f>(Table3[[#This Row],[W]]*0.7) + ((Table3[[#This Row],[GF]] - Table3[[#This Row],[GA]])*0.25)+(Table3[[#This Row],[GF]]*0.1)+(Table3[[#This Row],[GA]]*0.05)+(Table3[[#This Row],[L]]*0.3)</f>
        <v>32.25</v>
      </c>
      <c r="BS17" s="16">
        <f>Table3[[#This Row],[TeamCost83]]/Table3[[#This Row],[GP]]</f>
        <v>1.0078125</v>
      </c>
      <c r="BT17">
        <f>COUNTIFS(Table2[AwayTeam],$A17,Table2[PredictedWinner], $A17, Table2[GameIsOver], 1)</f>
        <v>7</v>
      </c>
      <c r="BU17">
        <f>COUNTIFS(Table2[HomeTeam],$A17,Table2[PredictedWinner], $A17, Table2[GameIsOver], 1)</f>
        <v>12</v>
      </c>
      <c r="BV17">
        <f>BT17+BU17</f>
        <v>19</v>
      </c>
      <c r="BW17">
        <f>F17-BT17</f>
        <v>7</v>
      </c>
      <c r="BX17">
        <f>H17-BU17</f>
        <v>6</v>
      </c>
      <c r="BY17">
        <f>BW17+BX17</f>
        <v>13</v>
      </c>
      <c r="BZ17">
        <f>Table3[[#This Row],[TimesPredictedWinner]]/Table3[[#This Row],[GP]]</f>
        <v>0.59375</v>
      </c>
      <c r="CB17">
        <v>2025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9</v>
      </c>
      <c r="CJ17">
        <f>SUMIFS(Table2[GamePredictionScore], Table2[HomeTeam], Table3[[#This Row],[Teams]])</f>
        <v>10.3</v>
      </c>
      <c r="CK17">
        <f>Table3[[#This Row],[Column4]]+Table3[[#This Row],[Column3]]</f>
        <v>19.3</v>
      </c>
      <c r="CL17">
        <f>Table3[[#This Row],[Column5]]/Table3[[#This Row],[GP]]</f>
        <v>0.60312500000000002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>F18+H18</f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>H18-T18</f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>AY18-AZ18</f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>BC18-BD18</f>
        <v>1</v>
      </c>
      <c r="BF18">
        <f>AY18+BC18</f>
        <v>97</v>
      </c>
      <c r="BG18">
        <f>AZ18+BD18</f>
        <v>103</v>
      </c>
      <c r="BH18">
        <f>BF18-BG18</f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>BT18+BU18</f>
        <v>22</v>
      </c>
      <c r="BW18">
        <f>F18-BT18</f>
        <v>8</v>
      </c>
      <c r="BX18">
        <f>H18-BU18</f>
        <v>3</v>
      </c>
      <c r="BY18">
        <f>BW18+BX18</f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53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22</v>
      </c>
      <c r="B19" t="s">
        <v>90</v>
      </c>
      <c r="C19" t="s">
        <v>93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32</v>
      </c>
      <c r="E19" s="10">
        <f>Table3[[#This Row],[Watched]]/Table3[[#This Row],[GP]]</f>
        <v>0.96969696969696972</v>
      </c>
      <c r="F19">
        <f>COUNTIFS(DataRegularSeason20242025!$N$3:$N$1315,1,DataRegularSeason20242025!$D$3:$D$1315,$A19)</f>
        <v>19</v>
      </c>
      <c r="G19">
        <f>41-Table3[[#This Row],[GP_A]]</f>
        <v>22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>F19+H19</f>
        <v>33</v>
      </c>
      <c r="K19">
        <f>82-Table3[[#This Row],[GP]]</f>
        <v>49</v>
      </c>
      <c r="L19">
        <f>COUNTIFS(DataRegularSeason20242025!$D$3:$D$1315,$A19, DataRegularSeason20242025!$L$3:$L$1315, $A19,DataRegularSeason20242025!$N$3:$N$1315,1)</f>
        <v>7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3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12</v>
      </c>
      <c r="Q19">
        <f>COUNTIFS(DataRegularSeason20242025!$D$3:$D$1315,$A19, DataRegularSeason20242025!$S$3:$S$1315, $A19,DataRegularSeason20242025!$M$3:$M$1315,"REG")</f>
        <v>9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6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0.45454545454545453</v>
      </c>
      <c r="AC19">
        <f>Table3[[#This Row],[W_A]]+Table3[[#This Row],[W_H]]</f>
        <v>15</v>
      </c>
      <c r="AD19">
        <f>Table3[[#This Row],[L_A]]+Table3[[#This Row],[L_H]]</f>
        <v>18</v>
      </c>
      <c r="AE19">
        <f>Table3[[#This Row],[RW_A]]+Table3[[#This Row],[RW_H]]</f>
        <v>10</v>
      </c>
      <c r="AF19">
        <f>Table3[[#This Row],[RL_A]]+Table3[[#This Row],[RL_H]]</f>
        <v>12</v>
      </c>
      <c r="AG19">
        <f>Table3[[#This Row],[OTW_A]]+Table3[[#This Row],[OTW_H]]</f>
        <v>5</v>
      </c>
      <c r="AH19">
        <f>Table3[[#This Row],[OTL_A]]+Table3[[#This Row],[OTL_H]]</f>
        <v>4</v>
      </c>
      <c r="AI19">
        <f>Table3[[#This Row],[SOW_A]]+Table3[[#This Row],[SOW_H]]</f>
        <v>0</v>
      </c>
      <c r="AJ19">
        <f>Table3[[#This Row],[SOL_A]]+Table3[[#This Row],[SOL_H]]</f>
        <v>2</v>
      </c>
      <c r="AK19" s="15" t="str">
        <f>_xlfn.CONCAT(TEXT(Table3[[#This Row],[OTW]]+Table3[[#This Row],[SOW]], "0"), "-", TEXT(Table3[[#This Row],[OTL]]+Table3[[#This Row],[SOL]],"0"))</f>
        <v>5-6</v>
      </c>
      <c r="AL19">
        <f>SUM(Table3[[#This Row],[OTW]],Table3[[#This Row],[OTL]],Table3[[#This Row],[SOW]],Table3[[#This Row],[SOL]])</f>
        <v>11</v>
      </c>
      <c r="AM19">
        <f>(Table3[[#This Row],[OTW]]+Table3[[#This Row],[SOW]])/IF(Table3[[#This Row],[Total_ExtraTimes]]=0,1,Table3[[#This Row],[Total_ExtraTimes]])</f>
        <v>0.45454545454545453</v>
      </c>
      <c r="AN19">
        <f>Table3[[#This Row],[Total_ExtraTimes]]/MAX(1,Table3[[#This Row],[GP]])</f>
        <v>0.33333333333333331</v>
      </c>
      <c r="AO19">
        <f>(2*(Table3[[#This Row],[W_A]]+Table3[[#This Row],[W_H]]))+Table3[[#This Row],[OTL_A]]+Table3[[#This Row],[SOL_A]]+Table3[[#This Row],[OTL_H]]+Table3[[#This Row],[SOL_H]]</f>
        <v>36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9" s="10">
        <f>Table3[[#This Row],[PTS]]/(2*Table3[[#This Row],[GP]])</f>
        <v>0.54545454545454541</v>
      </c>
      <c r="AR19" s="10">
        <f>Table3[[#This Row],[PTS2]]/(3*Table3[[#This Row],[GP]])</f>
        <v>0.46464646464646464</v>
      </c>
      <c r="AS19">
        <f>(2*Table3[[#This Row],[GR]])+Table3[[#This Row],[PTS]]</f>
        <v>134</v>
      </c>
      <c r="AT19">
        <f>(3*Table3[[#This Row],[GR]])+Table3[[#This Row],[PTS2]]</f>
        <v>193</v>
      </c>
      <c r="AU19">
        <f>Table3[[#This Row],[PTS]]+(2 * Table3[[#This Row],[GR]] * Table3[[#This Row],[PTS%]])</f>
        <v>89.454545454545453</v>
      </c>
      <c r="AV19">
        <f>Table3[[#This Row],[PTS2]]+(3 * Table3[[#This Row],[GR]] * Table3[[#This Row],[PTS%2]])</f>
        <v>114.3030303030303</v>
      </c>
      <c r="AW19" s="15" t="str">
        <f>_xlfn.CONCAT(TEXT(Table3[[#This Row],[W]], "0"), "-", TEXT(Table3[[#This Row],[RL]],"0"), "-", TEXT(Table3[[#This Row],[OTL]]+Table3[[#This Row],[SOL]], "0"))</f>
        <v>15-12-6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55</v>
      </c>
      <c r="AZ19">
        <f>SUMIF(DataRegularSeason20242025!$D$3:$D$1315,$A19, DataRegularSeason20242025!$K$3:$K$1315)</f>
        <v>62</v>
      </c>
      <c r="BA19">
        <f>AY19-AZ19</f>
        <v>-7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55</v>
      </c>
      <c r="BD19">
        <f>SUMIF(DataRegularSeason20242025!$E$3:$E$1315,$A19,DataRegularSeason20242025!$J$3:$J$1315)</f>
        <v>52</v>
      </c>
      <c r="BE19">
        <f>BC19-BD19</f>
        <v>3</v>
      </c>
      <c r="BF19">
        <f>AY19+BC19</f>
        <v>110</v>
      </c>
      <c r="BG19">
        <f>AZ19+BD19</f>
        <v>114</v>
      </c>
      <c r="BH19">
        <f>BF19-BG19</f>
        <v>-4</v>
      </c>
      <c r="BI19" s="12">
        <f>Table3[[#This Row],[GF]]/Table3[[#This Row],[GP]]</f>
        <v>3.3333333333333335</v>
      </c>
      <c r="BJ19" s="12">
        <f>Table3[[#This Row],[GA]]/Table3[[#This Row],[GP]]</f>
        <v>3.4545454545454546</v>
      </c>
      <c r="BK19" s="12">
        <f>(Table3[[#This Row],[GF]]-Table3[[#This Row],[GA]])/Table3[[#This Row],[GP]]</f>
        <v>-0.12121212121212122</v>
      </c>
      <c r="BL19" s="42" t="str">
        <f>_xlfn.CONCAT(TEXT(Table3[[#This Row],[W_H]], "0"), "-", TEXT(Table3[[#This Row],[RL_H]],"0"), "-", TEXT(Table3[[#This Row],[OTL_H]]+Table3[[#This Row],[SOL_H]], "0"))</f>
        <v>8-3-3</v>
      </c>
      <c r="BM19" s="42" t="str">
        <f>_xlfn.CONCAT(TEXT(Table3[[#This Row],[W_A]], "0"), "-", TEXT(Table3[[#This Row],[RL_A]],"0"), "-", TEXT(Table3[[#This Row],[OTL_A]]+Table3[[#This Row],[SOL_A]], "0"))</f>
        <v>7-9-3</v>
      </c>
      <c r="BN19" s="42">
        <f>((2*(Table3[[#This Row],[W_H]]))+Table3[[#This Row],[OTL_H]]+Table3[[#This Row],[SOL_H]])/(2*Table3[[#This Row],[GP_H]])</f>
        <v>0.6785714285714286</v>
      </c>
      <c r="BO19" s="42">
        <f>((2*(Table3[[#This Row],[W_A]]))+Table3[[#This Row],[OTL_A]]+Table3[[#This Row],[SOL_A]])/(2*Table3[[#This Row],[GP_A]])</f>
        <v>0.44736842105263158</v>
      </c>
      <c r="BP19" s="16">
        <f>(Table3[[#This Row],[W]]*$CX$3)+(Table3[[#This Row],[L]]*$CX$4)+(Table3[[#This Row],[GF]]*$CX$5)+(Table3[[#This Row],[GA]]*$CX$6)</f>
        <v>40.799999999999997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111.14380165289258</v>
      </c>
      <c r="BR19" s="16">
        <f>(Table3[[#This Row],[W]]*0.7) + ((Table3[[#This Row],[GF]] - Table3[[#This Row],[GA]])*0.25)+(Table3[[#This Row],[GF]]*0.1)+(Table3[[#This Row],[GA]]*0.05)+(Table3[[#This Row],[L]]*0.3)</f>
        <v>31.599999999999998</v>
      </c>
      <c r="BS19" s="16">
        <f>Table3[[#This Row],[TeamCost83]]/Table3[[#This Row],[GP]]</f>
        <v>0.95757575757575752</v>
      </c>
      <c r="BT19">
        <f>COUNTIFS(Table2[AwayTeam],$A19,Table2[PredictedWinner], $A19, Table2[GameIsOver], 1)</f>
        <v>12</v>
      </c>
      <c r="BU19">
        <f>COUNTIFS(Table2[HomeTeam],$A19,Table2[PredictedWinner], $A19, Table2[GameIsOver], 1)</f>
        <v>10</v>
      </c>
      <c r="BV19">
        <f>BT19+BU19</f>
        <v>22</v>
      </c>
      <c r="BW19">
        <f>F19-BT19</f>
        <v>7</v>
      </c>
      <c r="BX19">
        <f>H19-BU19</f>
        <v>4</v>
      </c>
      <c r="BY19">
        <f>BW19+BX19</f>
        <v>11</v>
      </c>
      <c r="BZ19">
        <f>Table3[[#This Row],[TimesPredictedWinner]]/Table3[[#This Row],[GP]]</f>
        <v>0.66666666666666663</v>
      </c>
      <c r="CB19">
        <v>1990</v>
      </c>
      <c r="CD19" s="1">
        <v>45758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10.3</v>
      </c>
      <c r="CJ19">
        <f>SUMIFS(Table2[GamePredictionScore], Table2[HomeTeam], Table3[[#This Row],[Teams]])</f>
        <v>6.8</v>
      </c>
      <c r="CK19">
        <f>Table3[[#This Row],[Column4]]+Table3[[#This Row],[Column3]]</f>
        <v>17.100000000000001</v>
      </c>
      <c r="CL19">
        <f>Table3[[#This Row],[Column5]]/Table3[[#This Row],[GP]]</f>
        <v>0.51818181818181819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29</v>
      </c>
      <c r="E20" s="10">
        <f>Table3[[#This Row],[Watched]]/Table3[[#This Row],[GP]]</f>
        <v>0.93548387096774188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19</v>
      </c>
      <c r="I20">
        <f>41-Table3[[#This Row],[GP_H]]</f>
        <v>22</v>
      </c>
      <c r="J20">
        <f>F20+H20</f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9</v>
      </c>
      <c r="U20">
        <f>COUNTIFS(DataRegularSeason20242025!$E$3:$E$1315,$A20, DataRegularSeason20242025!$L$3:$L$1315, $A20,DataRegularSeason20242025!$N$3:$N$1315,1,DataRegularSeason20242025!$M$3:$M$1315,"REG")</f>
        <v>6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10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4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0.45161290322580644</v>
      </c>
      <c r="AC20">
        <f>Table3[[#This Row],[W_A]]+Table3[[#This Row],[W_H]]</f>
        <v>14</v>
      </c>
      <c r="AD20">
        <f>Table3[[#This Row],[L_A]]+Table3[[#This Row],[L_H]]</f>
        <v>17</v>
      </c>
      <c r="AE20">
        <f>Table3[[#This Row],[RW_A]]+Table3[[#This Row],[RW_H]]</f>
        <v>10</v>
      </c>
      <c r="AF20">
        <f>Table3[[#This Row],[RL_A]]+Table3[[#This Row],[RL_H]]</f>
        <v>12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4-5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0.44444444444444442</v>
      </c>
      <c r="AN20">
        <f>Table3[[#This Row],[Total_ExtraTimes]]/MAX(1,Table3[[#This Row],[GP]])</f>
        <v>0.29032258064516131</v>
      </c>
      <c r="AO20">
        <f>(2*(Table3[[#This Row],[W_A]]+Table3[[#This Row],[W_H]]))+Table3[[#This Row],[OTL_A]]+Table3[[#This Row],[SOL_A]]+Table3[[#This Row],[OTL_H]]+Table3[[#This Row],[SOL_H]]</f>
        <v>33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0" s="10">
        <f>Table3[[#This Row],[PTS]]/(2*Table3[[#This Row],[GP]])</f>
        <v>0.532258064516129</v>
      </c>
      <c r="AR20" s="10">
        <f>Table3[[#This Row],[PTS2]]/(3*Table3[[#This Row],[GP]])</f>
        <v>0.46236559139784944</v>
      </c>
      <c r="AS20">
        <f>(2*Table3[[#This Row],[GR]])+Table3[[#This Row],[PTS]]</f>
        <v>135</v>
      </c>
      <c r="AT20">
        <f>(3*Table3[[#This Row],[GR]])+Table3[[#This Row],[PTS2]]</f>
        <v>196</v>
      </c>
      <c r="AU20">
        <f>Table3[[#This Row],[PTS]]+(2 * Table3[[#This Row],[GR]] * Table3[[#This Row],[PTS%]])</f>
        <v>87.290322580645153</v>
      </c>
      <c r="AV20">
        <f>Table3[[#This Row],[PTS2]]+(3 * Table3[[#This Row],[GR]] * Table3[[#This Row],[PTS%2]])</f>
        <v>113.74193548387096</v>
      </c>
      <c r="AW20" s="15" t="str">
        <f>_xlfn.CONCAT(TEXT(Table3[[#This Row],[W]], "0"), "-", TEXT(Table3[[#This Row],[RL]],"0"), "-", TEXT(Table3[[#This Row],[OTL]]+Table3[[#This Row],[SOL]], "0"))</f>
        <v>14-12-5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41</v>
      </c>
      <c r="AZ20">
        <f>SUMIF(DataRegularSeason20242025!$D$3:$D$1315,$A20, DataRegularSeason20242025!$K$3:$K$1315)</f>
        <v>41</v>
      </c>
      <c r="BA20">
        <f>AY20-AZ20</f>
        <v>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61</v>
      </c>
      <c r="BD20">
        <f>SUMIF(DataRegularSeason20242025!$E$3:$E$1315,$A20,DataRegularSeason20242025!$J$3:$J$1315)</f>
        <v>61</v>
      </c>
      <c r="BE20">
        <f>BC20-BD20</f>
        <v>0</v>
      </c>
      <c r="BF20">
        <f>AY20+BC20</f>
        <v>102</v>
      </c>
      <c r="BG20">
        <f>AZ20+BD20</f>
        <v>102</v>
      </c>
      <c r="BH20">
        <f>BF20-BG20</f>
        <v>0</v>
      </c>
      <c r="BI20" s="12">
        <f>Table3[[#This Row],[GF]]/Table3[[#This Row],[GP]]</f>
        <v>3.2903225806451615</v>
      </c>
      <c r="BJ20" s="12">
        <f>Table3[[#This Row],[GA]]/Table3[[#This Row],[GP]]</f>
        <v>3.2903225806451615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9-5-5</v>
      </c>
      <c r="BM20" s="42" t="str">
        <f>_xlfn.CONCAT(TEXT(Table3[[#This Row],[W_A]], "0"), "-", TEXT(Table3[[#This Row],[RL_A]],"0"), "-", TEXT(Table3[[#This Row],[OTL_A]]+Table3[[#This Row],[SOL_A]], "0"))</f>
        <v>5-7-0</v>
      </c>
      <c r="BN20" s="42">
        <f>((2*(Table3[[#This Row],[W_H]]))+Table3[[#This Row],[OTL_H]]+Table3[[#This Row],[SOL_H]])/(2*Table3[[#This Row],[GP_H]])</f>
        <v>0.60526315789473684</v>
      </c>
      <c r="BO20" s="42">
        <f>((2*(Table3[[#This Row],[W_A]]))+Table3[[#This Row],[OTL_A]]+Table3[[#This Row],[SOL_A]])/(2*Table3[[#This Row],[GP_A]])</f>
        <v>0.41666666666666669</v>
      </c>
      <c r="BP20" s="16">
        <f>(Table3[[#This Row],[W]]*$CX$3)+(Table3[[#This Row],[L]]*$CX$4)+(Table3[[#This Row],[GF]]*$CX$5)+(Table3[[#This Row],[GA]]*$CX$6)</f>
        <v>37.6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106.12674297606659</v>
      </c>
      <c r="BR20" s="16">
        <f>(Table3[[#This Row],[W]]*0.7) + ((Table3[[#This Row],[GF]] - Table3[[#This Row],[GA]])*0.25)+(Table3[[#This Row],[GF]]*0.1)+(Table3[[#This Row],[GA]]*0.05)+(Table3[[#This Row],[L]]*0.3)</f>
        <v>30.200000000000003</v>
      </c>
      <c r="BS20" s="16">
        <f>Table3[[#This Row],[TeamCost83]]/Table3[[#This Row],[GP]]</f>
        <v>0.97419354838709682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9</v>
      </c>
      <c r="BV20">
        <f>BT20+BU20</f>
        <v>16</v>
      </c>
      <c r="BW20">
        <f>F20-BT20</f>
        <v>5</v>
      </c>
      <c r="BX20">
        <f>H20-BU20</f>
        <v>10</v>
      </c>
      <c r="BY20">
        <f>BW20+BX20</f>
        <v>15</v>
      </c>
      <c r="BZ20">
        <f>Table3[[#This Row],[TimesPredictedWinner]]/Table3[[#This Row],[GP]]</f>
        <v>0.5161290322580645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3.6</v>
      </c>
      <c r="CJ20">
        <f>SUMIFS(Table2[GamePredictionScore], Table2[HomeTeam], Table3[[#This Row],[Teams]])</f>
        <v>8.1999999999999993</v>
      </c>
      <c r="CK20">
        <f>Table3[[#This Row],[Column4]]+Table3[[#This Row],[Column3]]</f>
        <v>11.799999999999999</v>
      </c>
      <c r="CL20">
        <f>Table3[[#This Row],[Column5]]/Table3[[#This Row],[GP]]</f>
        <v>0.38064516129032255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28</v>
      </c>
      <c r="E21" s="10">
        <f>Table3[[#This Row],[Watched]]/Table3[[#This Row],[GP]]</f>
        <v>0.875</v>
      </c>
      <c r="F21">
        <f>COUNTIFS(DataRegularSeason20242025!$N$3:$N$1315,1,DataRegularSeason20242025!$D$3:$D$1315,$A21)</f>
        <v>18</v>
      </c>
      <c r="G21">
        <f>41-Table3[[#This Row],[GP_A]]</f>
        <v>23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>F21+H21</f>
        <v>32</v>
      </c>
      <c r="K21">
        <f>82-Table3[[#This Row],[GP]]</f>
        <v>50</v>
      </c>
      <c r="L21">
        <f>COUNTIFS(DataRegularSeason20242025!$D$3:$D$1315,$A21, DataRegularSeason20242025!$L$3:$L$1315, $A21,DataRegularSeason20242025!$N$3:$N$1315,1)</f>
        <v>9</v>
      </c>
      <c r="M21">
        <f>COUNTIFS(DataRegularSeason20242025!$D$3:$D$1315,$A21, DataRegularSeason20242025!$L$3:$L$1315, $A21,DataRegularSeason20242025!$N$3:$N$1315,1,DataRegularSeason20242025!$M$3:$M$1315,"REG")</f>
        <v>6</v>
      </c>
      <c r="N21">
        <f>COUNTIFS(DataRegularSeason20242025!$D$3:$D$1315,$A21, DataRegularSeason20242025!$L$3:$L$1315, $A21,DataRegularSeason20242025!$N$3:$N$1315,1,DataRegularSeason20242025!$M$3:$M$1315,"OT")</f>
        <v>2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>F21-L21</f>
        <v>9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>H21-T21</f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0.46875</v>
      </c>
      <c r="AC21">
        <f>Table3[[#This Row],[W_A]]+Table3[[#This Row],[W_H]]</f>
        <v>15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13</v>
      </c>
      <c r="AG21">
        <f>Table3[[#This Row],[OTW_A]]+Table3[[#This Row],[OTW_H]]</f>
        <v>2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5-4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0.55555555555555558</v>
      </c>
      <c r="AN21">
        <f>Table3[[#This Row],[Total_ExtraTimes]]/MAX(1,Table3[[#This Row],[GP]])</f>
        <v>0.28125</v>
      </c>
      <c r="AO21">
        <f>(2*(Table3[[#This Row],[W_A]]+Table3[[#This Row],[W_H]]))+Table3[[#This Row],[OTL_A]]+Table3[[#This Row],[SOL_A]]+Table3[[#This Row],[OTL_H]]+Table3[[#This Row],[SOL_H]]</f>
        <v>34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1" s="10">
        <f>Table3[[#This Row],[PTS]]/(2*Table3[[#This Row],[GP]])</f>
        <v>0.53125</v>
      </c>
      <c r="AR21" s="10">
        <f>Table3[[#This Row],[PTS2]]/(3*Table3[[#This Row],[GP]])</f>
        <v>0.45833333333333331</v>
      </c>
      <c r="AS21">
        <f>(2*Table3[[#This Row],[GR]])+Table3[[#This Row],[PTS]]</f>
        <v>134</v>
      </c>
      <c r="AT21">
        <f>(3*Table3[[#This Row],[GR]])+Table3[[#This Row],[PTS2]]</f>
        <v>194</v>
      </c>
      <c r="AU21">
        <f>Table3[[#This Row],[PTS]]+(2 * Table3[[#This Row],[GR]] * Table3[[#This Row],[PTS%]])</f>
        <v>87.125</v>
      </c>
      <c r="AV21">
        <f>Table3[[#This Row],[PTS2]]+(3 * Table3[[#This Row],[GR]] * Table3[[#This Row],[PTS%2]])</f>
        <v>112.75</v>
      </c>
      <c r="AW21" s="15" t="str">
        <f>_xlfn.CONCAT(TEXT(Table3[[#This Row],[W]], "0"), "-", TEXT(Table3[[#This Row],[RL]],"0"), "-", TEXT(Table3[[#This Row],[OTL]]+Table3[[#This Row],[SOL]], "0"))</f>
        <v>15-13-4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60</v>
      </c>
      <c r="AZ21">
        <f>SUMIF(DataRegularSeason20242025!$D$3:$D$1315,$A21, DataRegularSeason20242025!$K$3:$K$1315)</f>
        <v>64</v>
      </c>
      <c r="BA21">
        <f>AY21-AZ21</f>
        <v>-4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>BC21-BD21</f>
        <v>1</v>
      </c>
      <c r="BF21">
        <f>AY21+BC21</f>
        <v>101</v>
      </c>
      <c r="BG21">
        <f>AZ21+BD21</f>
        <v>104</v>
      </c>
      <c r="BH21">
        <f>BF21-BG21</f>
        <v>-3</v>
      </c>
      <c r="BI21" s="12">
        <f>Table3[[#This Row],[GF]]/Table3[[#This Row],[GP]]</f>
        <v>3.15625</v>
      </c>
      <c r="BJ21" s="12">
        <f>Table3[[#This Row],[GA]]/Table3[[#This Row],[GP]]</f>
        <v>3.25</v>
      </c>
      <c r="BK21" s="12">
        <f>(Table3[[#This Row],[GF]]-Table3[[#This Row],[GA]])/Table3[[#This Row],[GP]]</f>
        <v>-9.375E-2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9-7-2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0.55555555555555558</v>
      </c>
      <c r="BP21" s="16">
        <f>(Table3[[#This Row],[W]]*$CX$3)+(Table3[[#This Row],[L]]*$CX$4)+(Table3[[#This Row],[GF]]*$CX$5)+(Table3[[#This Row],[GA]]*$CX$6)</f>
        <v>38.15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104.66289062499999</v>
      </c>
      <c r="BR21" s="16">
        <f>(Table3[[#This Row],[W]]*0.7) + ((Table3[[#This Row],[GF]] - Table3[[#This Row],[GA]])*0.25)+(Table3[[#This Row],[GF]]*0.1)+(Table3[[#This Row],[GA]]*0.05)+(Table3[[#This Row],[L]]*0.3)</f>
        <v>30.15</v>
      </c>
      <c r="BS21" s="16">
        <f>Table3[[#This Row],[TeamCost83]]/Table3[[#This Row],[GP]]</f>
        <v>0.94218749999999996</v>
      </c>
      <c r="BT21">
        <f>COUNTIFS(Table2[AwayTeam],$A21,Table2[PredictedWinner], $A21, Table2[GameIsOver], 1)</f>
        <v>11</v>
      </c>
      <c r="BU21">
        <f>COUNTIFS(Table2[HomeTeam],$A21,Table2[PredictedWinner], $A21, Table2[GameIsOver], 1)</f>
        <v>7</v>
      </c>
      <c r="BV21">
        <f>BT21+BU21</f>
        <v>18</v>
      </c>
      <c r="BW21">
        <f>F21-BT21</f>
        <v>7</v>
      </c>
      <c r="BX21">
        <f>H21-BU21</f>
        <v>7</v>
      </c>
      <c r="BY21">
        <f>BW21+BX21</f>
        <v>14</v>
      </c>
      <c r="BZ21">
        <f>Table3[[#This Row],[TimesPredictedWinner]]/Table3[[#This Row],[GP]]</f>
        <v>0.5625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6.8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11.399999999999999</v>
      </c>
      <c r="CL21">
        <f>Table3[[#This Row],[Column5]]/Table3[[#This Row],[GP]]</f>
        <v>0.35624999999999996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0.75757575757575757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17</v>
      </c>
      <c r="I22">
        <f>41-Table3[[#This Row],[GP_H]]</f>
        <v>24</v>
      </c>
      <c r="J22">
        <f>F22+H22</f>
        <v>33</v>
      </c>
      <c r="K22">
        <f>82-Table3[[#This Row],[GP]]</f>
        <v>49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0.48484848484848486</v>
      </c>
      <c r="AC22">
        <f>Table3[[#This Row],[W_A]]+Table3[[#This Row],[W_H]]</f>
        <v>16</v>
      </c>
      <c r="AD22">
        <f>Table3[[#This Row],[L_A]]+Table3[[#This Row],[L_H]]</f>
        <v>17</v>
      </c>
      <c r="AE22">
        <f>Table3[[#This Row],[RW_A]]+Table3[[#This Row],[RW_H]]</f>
        <v>8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35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2" s="10">
        <f>Table3[[#This Row],[PTS]]/(2*Table3[[#This Row],[GP]])</f>
        <v>0.53030303030303028</v>
      </c>
      <c r="AR22" s="10">
        <f>Table3[[#This Row],[PTS2]]/(3*Table3[[#This Row],[GP]])</f>
        <v>0.43434343434343436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86.969696969696969</v>
      </c>
      <c r="AV22">
        <f>Table3[[#This Row],[PTS2]]+(3 * Table3[[#This Row],[GR]] * Table3[[#This Row],[PTS%2]])</f>
        <v>106.84848484848484</v>
      </c>
      <c r="AW22" s="15" t="str">
        <f>_xlfn.CONCAT(TEXT(Table3[[#This Row],[W]], "0"), "-", TEXT(Table3[[#This Row],[RL]],"0"), "-", TEXT(Table3[[#This Row],[OTL]]+Table3[[#This Row],[SOL]], "0"))</f>
        <v>16-14-3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>AY22-AZ22</f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50</v>
      </c>
      <c r="BD22">
        <f>SUMIF(DataRegularSeason20242025!$E$3:$E$1315,$A22,DataRegularSeason20242025!$J$3:$J$1315)</f>
        <v>53</v>
      </c>
      <c r="BE22">
        <f>BC22-BD22</f>
        <v>-3</v>
      </c>
      <c r="BF22">
        <f>AY22+BC22</f>
        <v>96</v>
      </c>
      <c r="BG22">
        <f>AZ22+BD22</f>
        <v>110</v>
      </c>
      <c r="BH22">
        <f>BF22-BG22</f>
        <v>-14</v>
      </c>
      <c r="BI22" s="12">
        <f>Table3[[#This Row],[GF]]/Table3[[#This Row],[GP]]</f>
        <v>2.9090909090909092</v>
      </c>
      <c r="BJ22" s="12">
        <f>Table3[[#This Row],[GA]]/Table3[[#This Row],[GP]]</f>
        <v>3.3333333333333335</v>
      </c>
      <c r="BK22" s="12">
        <f>(Table3[[#This Row],[GF]]-Table3[[#This Row],[GA]])/Table3[[#This Row],[GP]]</f>
        <v>-0.42424242424242425</v>
      </c>
      <c r="BL22" s="42" t="str">
        <f>_xlfn.CONCAT(TEXT(Table3[[#This Row],[W_H]], "0"), "-", TEXT(Table3[[#This Row],[RL_H]],"0"), "-", TEXT(Table3[[#This Row],[OTL_H]]+Table3[[#This Row],[SOL_H]], "0"))</f>
        <v>9-5-3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0.61764705882352944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38.5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102.62415059687785</v>
      </c>
      <c r="BR22" s="16">
        <f>(Table3[[#This Row],[W]]*0.7) + ((Table3[[#This Row],[GF]] - Table3[[#This Row],[GA]])*0.25)+(Table3[[#This Row],[GF]]*0.1)+(Table3[[#This Row],[GA]]*0.05)+(Table3[[#This Row],[L]]*0.3)</f>
        <v>27.9</v>
      </c>
      <c r="BS22" s="16">
        <f>Table3[[#This Row],[TeamCost83]]/Table3[[#This Row],[GP]]</f>
        <v>0.84545454545454546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>BT22+BU22</f>
        <v>18</v>
      </c>
      <c r="BW22">
        <f>F22-BT22</f>
        <v>8</v>
      </c>
      <c r="BX22">
        <f>H22-BU22</f>
        <v>7</v>
      </c>
      <c r="BY22">
        <f>BW22+BX22</f>
        <v>15</v>
      </c>
      <c r="BZ22">
        <f>Table3[[#This Row],[TimesPredictedWinner]]/Table3[[#This Row],[GP]]</f>
        <v>0.54545454545454541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0.45454545454545453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19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31</v>
      </c>
      <c r="E23" s="10">
        <f>Table3[[#This Row],[Watched]]/Table3[[#This Row],[GP]]</f>
        <v>0.91176470588235292</v>
      </c>
      <c r="F23">
        <f>COUNTIFS(DataRegularSeason20242025!$N$3:$N$1315,1,DataRegularSeason20242025!$D$3:$D$1315,$A23)</f>
        <v>18</v>
      </c>
      <c r="G23">
        <f>41-Table3[[#This Row],[GP_A]]</f>
        <v>23</v>
      </c>
      <c r="H23">
        <f>COUNTIFS(DataRegularSeason20242025!$E$3:$E$1315,$A23,DataRegularSeason20242025!$N$3:$N$1315,1)</f>
        <v>16</v>
      </c>
      <c r="I23">
        <f>41-Table3[[#This Row],[GP_H]]</f>
        <v>25</v>
      </c>
      <c r="J23">
        <f>F23+H23</f>
        <v>34</v>
      </c>
      <c r="K23">
        <f>82-Table3[[#This Row],[GP]]</f>
        <v>48</v>
      </c>
      <c r="L23">
        <f>COUNTIFS(DataRegularSeason20242025!$D$3:$D$1315,$A23, DataRegularSeason20242025!$L$3:$L$1315, $A23,DataRegularSeason20242025!$N$3:$N$1315,1)</f>
        <v>12</v>
      </c>
      <c r="M23">
        <f>COUNTIFS(DataRegularSeason20242025!$D$3:$D$1315,$A23, DataRegularSeason20242025!$L$3:$L$1315, $A23,DataRegularSeason20242025!$N$3:$N$1315,1,DataRegularSeason20242025!$M$3:$M$1315,"REG")</f>
        <v>9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1</v>
      </c>
      <c r="P23">
        <f>F23-L23</f>
        <v>6</v>
      </c>
      <c r="Q23">
        <f>COUNTIFS(DataRegularSeason20242025!$D$3:$D$1315,$A23, DataRegularSeason20242025!$S$3:$S$1315, $A23,DataRegularSeason20242025!$M$3:$M$1315,"REG")</f>
        <v>5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12</v>
      </c>
      <c r="Y23">
        <f>COUNTIFS(DataRegularSeason20242025!$E$3:$E$1315,$A23, DataRegularSeason20242025!$S$3:$S$1315, $A23,DataRegularSeason20242025!$M$3:$M$1315,"REG")</f>
        <v>9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0.47058823529411764</v>
      </c>
      <c r="AC23">
        <f>Table3[[#This Row],[W_A]]+Table3[[#This Row],[W_H]]</f>
        <v>16</v>
      </c>
      <c r="AD23">
        <f>Table3[[#This Row],[L_A]]+Table3[[#This Row],[L_H]]</f>
        <v>18</v>
      </c>
      <c r="AE23">
        <f>Table3[[#This Row],[RW_A]]+Table3[[#This Row],[RW_H]]</f>
        <v>11</v>
      </c>
      <c r="AF23">
        <f>Table3[[#This Row],[RL_A]]+Table3[[#This Row],[RL_H]]</f>
        <v>14</v>
      </c>
      <c r="AG23">
        <f>Table3[[#This Row],[OTW_A]]+Table3[[#This Row],[OTW_H]]</f>
        <v>4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5-4</v>
      </c>
      <c r="AL23">
        <f>SUM(Table3[[#This Row],[OTW]],Table3[[#This Row],[OTL]],Table3[[#This Row],[SOW]],Table3[[#This Row],[SOL]])</f>
        <v>9</v>
      </c>
      <c r="AM23">
        <f>(Table3[[#This Row],[OTW]]+Table3[[#This Row],[SOW]])/IF(Table3[[#This Row],[Total_ExtraTimes]]=0,1,Table3[[#This Row],[Total_ExtraTimes]])</f>
        <v>0.55555555555555558</v>
      </c>
      <c r="AN23">
        <f>Table3[[#This Row],[Total_ExtraTimes]]/MAX(1,Table3[[#This Row],[GP]])</f>
        <v>0.26470588235294118</v>
      </c>
      <c r="AO23">
        <f>(2*(Table3[[#This Row],[W_A]]+Table3[[#This Row],[W_H]]))+Table3[[#This Row],[OTL_A]]+Table3[[#This Row],[SOL_A]]+Table3[[#This Row],[OTL_H]]+Table3[[#This Row],[SOL_H]]</f>
        <v>36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3" s="10">
        <f>Table3[[#This Row],[PTS]]/(2*Table3[[#This Row],[GP]])</f>
        <v>0.52941176470588236</v>
      </c>
      <c r="AR23" s="10">
        <f>Table3[[#This Row],[PTS2]]/(3*Table3[[#This Row],[GP]])</f>
        <v>0.46078431372549017</v>
      </c>
      <c r="AS23">
        <f>(2*Table3[[#This Row],[GR]])+Table3[[#This Row],[PTS]]</f>
        <v>132</v>
      </c>
      <c r="AT23">
        <f>(3*Table3[[#This Row],[GR]])+Table3[[#This Row],[PTS2]]</f>
        <v>191</v>
      </c>
      <c r="AU23">
        <f>Table3[[#This Row],[PTS]]+(2 * Table3[[#This Row],[GR]] * Table3[[#This Row],[PTS%]])</f>
        <v>86.82352941176471</v>
      </c>
      <c r="AV23">
        <f>Table3[[#This Row],[PTS2]]+(3 * Table3[[#This Row],[GR]] * Table3[[#This Row],[PTS%2]])</f>
        <v>113.35294117647058</v>
      </c>
      <c r="AW23" s="15" t="str">
        <f>_xlfn.CONCAT(TEXT(Table3[[#This Row],[W]], "0"), "-", TEXT(Table3[[#This Row],[RL]],"0"), "-", TEXT(Table3[[#This Row],[OTL]]+Table3[[#This Row],[SOL]], "0"))</f>
        <v>16-14-4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59</v>
      </c>
      <c r="AZ23">
        <f>SUMIF(DataRegularSeason20242025!$D$3:$D$1315,$A23, DataRegularSeason20242025!$K$3:$K$1315)</f>
        <v>42</v>
      </c>
      <c r="BA23">
        <f>AY23-AZ23</f>
        <v>17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30</v>
      </c>
      <c r="BD23">
        <f>SUMIF(DataRegularSeason20242025!$E$3:$E$1315,$A23,DataRegularSeason20242025!$J$3:$J$1315)</f>
        <v>50</v>
      </c>
      <c r="BE23">
        <f>BC23-BD23</f>
        <v>-20</v>
      </c>
      <c r="BF23">
        <f>AY23+BC23</f>
        <v>89</v>
      </c>
      <c r="BG23">
        <f>AZ23+BD23</f>
        <v>92</v>
      </c>
      <c r="BH23">
        <f>BF23-BG23</f>
        <v>-3</v>
      </c>
      <c r="BI23" s="12">
        <f>Table3[[#This Row],[GF]]/Table3[[#This Row],[GP]]</f>
        <v>2.6176470588235294</v>
      </c>
      <c r="BJ23" s="12">
        <f>Table3[[#This Row],[GA]]/Table3[[#This Row],[GP]]</f>
        <v>2.7058823529411766</v>
      </c>
      <c r="BK23" s="12">
        <f>(Table3[[#This Row],[GF]]-Table3[[#This Row],[GA]])/Table3[[#This Row],[GP]]</f>
        <v>-8.8235294117647065E-2</v>
      </c>
      <c r="BL23" s="42" t="str">
        <f>_xlfn.CONCAT(TEXT(Table3[[#This Row],[W_H]], "0"), "-", TEXT(Table3[[#This Row],[RL_H]],"0"), "-", TEXT(Table3[[#This Row],[OTL_H]]+Table3[[#This Row],[SOL_H]], "0"))</f>
        <v>4-9-3</v>
      </c>
      <c r="BM23" s="42" t="str">
        <f>_xlfn.CONCAT(TEXT(Table3[[#This Row],[W_A]], "0"), "-", TEXT(Table3[[#This Row],[RL_A]],"0"), "-", TEXT(Table3[[#This Row],[OTL_A]]+Table3[[#This Row],[SOL_A]], "0"))</f>
        <v>12-5-1</v>
      </c>
      <c r="BN23" s="42">
        <f>((2*(Table3[[#This Row],[W_H]]))+Table3[[#This Row],[OTL_H]]+Table3[[#This Row],[SOL_H]])/(2*Table3[[#This Row],[GP_H]])</f>
        <v>0.34375</v>
      </c>
      <c r="BO23" s="42">
        <f>((2*(Table3[[#This Row],[W_A]]))+Table3[[#This Row],[OTL_A]]+Table3[[#This Row],[SOL_A]])/(2*Table3[[#This Row],[GP_A]])</f>
        <v>0.69444444444444442</v>
      </c>
      <c r="BP23" s="16">
        <f>(Table3[[#This Row],[W]]*$CX$3)+(Table3[[#This Row],[L]]*$CX$4)+(Table3[[#This Row],[GF]]*$CX$5)+(Table3[[#This Row],[GA]]*$CX$6)</f>
        <v>35.950000000000003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91.314186851211076</v>
      </c>
      <c r="BR23" s="16">
        <f>(Table3[[#This Row],[W]]*0.7) + ((Table3[[#This Row],[GF]] - Table3[[#This Row],[GA]])*0.25)+(Table3[[#This Row],[GF]]*0.1)+(Table3[[#This Row],[GA]]*0.05)+(Table3[[#This Row],[L]]*0.3)</f>
        <v>29.35</v>
      </c>
      <c r="BS23" s="16">
        <f>Table3[[#This Row],[TeamCost83]]/Table3[[#This Row],[GP]]</f>
        <v>0.8632352941176471</v>
      </c>
      <c r="BT23">
        <f>COUNTIFS(Table2[AwayTeam],$A23,Table2[PredictedWinner], $A23, Table2[GameIsOver], 1)</f>
        <v>8</v>
      </c>
      <c r="BU23">
        <f>COUNTIFS(Table2[HomeTeam],$A23,Table2[PredictedWinner], $A23, Table2[GameIsOver], 1)</f>
        <v>5</v>
      </c>
      <c r="BV23">
        <f>BT23+BU23</f>
        <v>13</v>
      </c>
      <c r="BW23">
        <f>F23-BT23</f>
        <v>10</v>
      </c>
      <c r="BX23">
        <f>H23-BU23</f>
        <v>11</v>
      </c>
      <c r="BY23">
        <f>BW23+BX23</f>
        <v>21</v>
      </c>
      <c r="BZ23">
        <f>Table3[[#This Row],[TimesPredictedWinner]]/Table3[[#This Row],[GP]]</f>
        <v>0.38235294117647056</v>
      </c>
      <c r="CB23">
        <v>1994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5.3999999999999995</v>
      </c>
      <c r="CJ23">
        <f>SUMIFS(Table2[GamePredictionScore], Table2[HomeTeam], Table3[[#This Row],[Teams]])</f>
        <v>7.6999999999999993</v>
      </c>
      <c r="CK23">
        <f>Table3[[#This Row],[Column4]]+Table3[[#This Row],[Column3]]</f>
        <v>13.099999999999998</v>
      </c>
      <c r="CL23">
        <f>Table3[[#This Row],[Column5]]/Table3[[#This Row],[GP]]</f>
        <v>0.38529411764705879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29</v>
      </c>
      <c r="E24" s="10">
        <f>Table3[[#This Row],[Watched]]/Table3[[#This Row],[GP]]</f>
        <v>0.8529411764705882</v>
      </c>
      <c r="F24">
        <f>COUNTIFS(DataRegularSeason20242025!$N$3:$N$1315,1,DataRegularSeason20242025!$D$3:$D$1315,$A24)</f>
        <v>20</v>
      </c>
      <c r="G24">
        <f>41-Table3[[#This Row],[GP_A]]</f>
        <v>21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34</v>
      </c>
      <c r="K24">
        <f>82-Table3[[#This Row],[GP]]</f>
        <v>48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12</v>
      </c>
      <c r="Q24">
        <f>COUNTIFS(DataRegularSeason20242025!$D$3:$D$1315,$A24, DataRegularSeason20242025!$S$3:$S$1315, $A24,DataRegularSeason20242025!$M$3:$M$1315,"REG")</f>
        <v>10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8</v>
      </c>
      <c r="U24">
        <f>COUNTIFS(DataRegularSeason20242025!$E$3:$E$1315,$A24, DataRegularSeason20242025!$L$3:$L$1315, $A24,DataRegularSeason20242025!$N$3:$N$1315,1,DataRegularSeason20242025!$M$3:$M$1315,"REG")</f>
        <v>7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6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0.47058823529411764</v>
      </c>
      <c r="AC24">
        <f>Table3[[#This Row],[W_A]]+Table3[[#This Row],[W_H]]</f>
        <v>16</v>
      </c>
      <c r="AD24">
        <f>Table3[[#This Row],[L_A]]+Table3[[#This Row],[L_H]]</f>
        <v>18</v>
      </c>
      <c r="AE24">
        <f>Table3[[#This Row],[RW_A]]+Table3[[#This Row],[RW_H]]</f>
        <v>12</v>
      </c>
      <c r="AF24">
        <f>Table3[[#This Row],[RL_A]]+Table3[[#This Row],[RL_H]]</f>
        <v>15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4-3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0.5714285714285714</v>
      </c>
      <c r="AN24">
        <f>Table3[[#This Row],[Total_ExtraTimes]]/MAX(1,Table3[[#This Row],[GP]])</f>
        <v>0.20588235294117646</v>
      </c>
      <c r="AO24">
        <f>(2*(Table3[[#This Row],[W_A]]+Table3[[#This Row],[W_H]]))+Table3[[#This Row],[OTL_A]]+Table3[[#This Row],[SOL_A]]+Table3[[#This Row],[OTL_H]]+Table3[[#This Row],[SOL_H]]</f>
        <v>35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4" s="10">
        <f>Table3[[#This Row],[PTS]]/(2*Table3[[#This Row],[GP]])</f>
        <v>0.51470588235294112</v>
      </c>
      <c r="AR24" s="10">
        <f>Table3[[#This Row],[PTS2]]/(3*Table3[[#This Row],[GP]])</f>
        <v>0.46078431372549017</v>
      </c>
      <c r="AS24">
        <f>(2*Table3[[#This Row],[GR]])+Table3[[#This Row],[PTS]]</f>
        <v>131</v>
      </c>
      <c r="AT24">
        <f>(3*Table3[[#This Row],[GR]])+Table3[[#This Row],[PTS2]]</f>
        <v>191</v>
      </c>
      <c r="AU24">
        <f>Table3[[#This Row],[PTS]]+(2 * Table3[[#This Row],[GR]] * Table3[[#This Row],[PTS%]])</f>
        <v>84.411764705882348</v>
      </c>
      <c r="AV24">
        <f>Table3[[#This Row],[PTS2]]+(3 * Table3[[#This Row],[GR]] * Table3[[#This Row],[PTS%2]])</f>
        <v>113.35294117647058</v>
      </c>
      <c r="AW24" s="15" t="str">
        <f>_xlfn.CONCAT(TEXT(Table3[[#This Row],[W]], "0"), "-", TEXT(Table3[[#This Row],[RL]],"0"), "-", TEXT(Table3[[#This Row],[OTL]]+Table3[[#This Row],[SOL]], "0"))</f>
        <v>16-15-3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59</v>
      </c>
      <c r="AZ24">
        <f>SUMIF(DataRegularSeason20242025!$D$3:$D$1315,$A24, DataRegularSeason20242025!$K$3:$K$1315)</f>
        <v>61</v>
      </c>
      <c r="BA24">
        <f>AY24-AZ24</f>
        <v>-2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47</v>
      </c>
      <c r="BD24">
        <f>SUMIF(DataRegularSeason20242025!$E$3:$E$1315,$A24,DataRegularSeason20242025!$J$3:$J$1315)</f>
        <v>40</v>
      </c>
      <c r="BE24">
        <f>BC24-BD24</f>
        <v>7</v>
      </c>
      <c r="BF24">
        <f>AY24+BC24</f>
        <v>106</v>
      </c>
      <c r="BG24">
        <f>AZ24+BD24</f>
        <v>101</v>
      </c>
      <c r="BH24">
        <f>BF24-BG24</f>
        <v>5</v>
      </c>
      <c r="BI24" s="12">
        <f>Table3[[#This Row],[GF]]/Table3[[#This Row],[GP]]</f>
        <v>3.1176470588235294</v>
      </c>
      <c r="BJ24" s="12">
        <f>Table3[[#This Row],[GA]]/Table3[[#This Row],[GP]]</f>
        <v>2.9705882352941178</v>
      </c>
      <c r="BK24" s="12">
        <f>(Table3[[#This Row],[GF]]-Table3[[#This Row],[GA]])/Table3[[#This Row],[GP]]</f>
        <v>0.14705882352941177</v>
      </c>
      <c r="BL24" s="42" t="str">
        <f>_xlfn.CONCAT(TEXT(Table3[[#This Row],[W_H]], "0"), "-", TEXT(Table3[[#This Row],[RL_H]],"0"), "-", TEXT(Table3[[#This Row],[OTL_H]]+Table3[[#This Row],[SOL_H]], "0"))</f>
        <v>8-5-1</v>
      </c>
      <c r="BM24" s="42" t="str">
        <f>_xlfn.CONCAT(TEXT(Table3[[#This Row],[W_A]], "0"), "-", TEXT(Table3[[#This Row],[RL_A]],"0"), "-", TEXT(Table3[[#This Row],[OTL_A]]+Table3[[#This Row],[SOL_A]], "0"))</f>
        <v>8-10-2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0.45</v>
      </c>
      <c r="BP24" s="16">
        <f>(Table3[[#This Row],[W]]*$CX$3)+(Table3[[#This Row],[L]]*$CX$4)+(Table3[[#This Row],[GF]]*$CX$5)+(Table3[[#This Row],[GA]]*$CX$6)</f>
        <v>39.4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103.07768166089966</v>
      </c>
      <c r="BR24" s="16">
        <f>(Table3[[#This Row],[W]]*0.7) + ((Table3[[#This Row],[GF]] - Table3[[#This Row],[GA]])*0.25)+(Table3[[#This Row],[GF]]*0.1)+(Table3[[#This Row],[GA]]*0.05)+(Table3[[#This Row],[L]]*0.3)</f>
        <v>33.5</v>
      </c>
      <c r="BS24" s="16">
        <f>Table3[[#This Row],[TeamCost83]]/Table3[[#This Row],[GP]]</f>
        <v>0.98529411764705888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5</v>
      </c>
      <c r="BV24">
        <f>BT24+BU24</f>
        <v>12</v>
      </c>
      <c r="BW24">
        <f>F24-BT24</f>
        <v>13</v>
      </c>
      <c r="BX24">
        <f>H24-BU24</f>
        <v>9</v>
      </c>
      <c r="BY24">
        <f>BW24+BX24</f>
        <v>22</v>
      </c>
      <c r="BZ24">
        <f>Table3[[#This Row],[TimesPredictedWinner]]/Table3[[#This Row],[GP]]</f>
        <v>0.35294117647058826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10.800000000000002</v>
      </c>
      <c r="CJ24">
        <f>SUMIFS(Table2[GamePredictionScore], Table2[HomeTeam], Table3[[#This Row],[Teams]])</f>
        <v>4.8</v>
      </c>
      <c r="CK24">
        <f>Table3[[#This Row],[Column4]]+Table3[[#This Row],[Column3]]</f>
        <v>15.600000000000001</v>
      </c>
      <c r="CL24">
        <f>Table3[[#This Row],[Column5]]/Table3[[#This Row],[GP]]</f>
        <v>0.45882352941176474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11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27</v>
      </c>
      <c r="E25" s="10">
        <f>Table3[[#This Row],[Watched]]/Table3[[#This Row],[GP]]</f>
        <v>0.9</v>
      </c>
      <c r="F25">
        <f>COUNTIFS(DataRegularSeason20242025!$N$3:$N$1315,1,DataRegularSeason20242025!$D$3:$D$1315,$A25)</f>
        <v>14</v>
      </c>
      <c r="G25">
        <f>41-Table3[[#This Row],[GP_A]]</f>
        <v>27</v>
      </c>
      <c r="H25">
        <f>COUNTIFS(DataRegularSeason20242025!$E$3:$E$1315,$A25,DataRegularSeason20242025!$N$3:$N$1315,1)</f>
        <v>16</v>
      </c>
      <c r="I25">
        <f>41-Table3[[#This Row],[GP_H]]</f>
        <v>25</v>
      </c>
      <c r="J25">
        <f>F25+H25</f>
        <v>30</v>
      </c>
      <c r="K25">
        <f>82-Table3[[#This Row],[GP]]</f>
        <v>52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9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2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9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</v>
      </c>
      <c r="AC25">
        <f>Table3[[#This Row],[W_A]]+Table3[[#This Row],[W_H]]</f>
        <v>12</v>
      </c>
      <c r="AD25">
        <f>Table3[[#This Row],[L_A]]+Table3[[#This Row],[L_H]]</f>
        <v>18</v>
      </c>
      <c r="AE25">
        <f>Table3[[#This Row],[RW_A]]+Table3[[#This Row],[RW_H]]</f>
        <v>7</v>
      </c>
      <c r="AF25">
        <f>Table3[[#This Row],[RL_A]]+Table3[[#This Row],[RL_H]]</f>
        <v>12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3</v>
      </c>
      <c r="AK25" s="15" t="str">
        <f>_xlfn.CONCAT(TEXT(Table3[[#This Row],[OTW]]+Table3[[#This Row],[SOW]], "0"), "-", TEXT(Table3[[#This Row],[OTL]]+Table3[[#This Row],[SOL]],"0"))</f>
        <v>5-6</v>
      </c>
      <c r="AL25">
        <f>SUM(Table3[[#This Row],[OTW]],Table3[[#This Row],[OTL]],Table3[[#This Row],[SOW]],Table3[[#This Row],[SOL]])</f>
        <v>11</v>
      </c>
      <c r="AM25">
        <f>(Table3[[#This Row],[OTW]]+Table3[[#This Row],[SOW]])/IF(Table3[[#This Row],[Total_ExtraTimes]]=0,1,Table3[[#This Row],[Total_ExtraTimes]])</f>
        <v>0.45454545454545453</v>
      </c>
      <c r="AN25">
        <f>Table3[[#This Row],[Total_ExtraTimes]]/MAX(1,Table3[[#This Row],[GP]])</f>
        <v>0.36666666666666664</v>
      </c>
      <c r="AO25">
        <f>(2*(Table3[[#This Row],[W_A]]+Table3[[#This Row],[W_H]]))+Table3[[#This Row],[OTL_A]]+Table3[[#This Row],[SOL_A]]+Table3[[#This Row],[OTL_H]]+Table3[[#This Row],[SOL_H]]</f>
        <v>30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5" s="10">
        <f>Table3[[#This Row],[PTS]]/(2*Table3[[#This Row],[GP]])</f>
        <v>0.5</v>
      </c>
      <c r="AR25" s="10">
        <f>Table3[[#This Row],[PTS2]]/(3*Table3[[#This Row],[GP]])</f>
        <v>0.41111111111111109</v>
      </c>
      <c r="AS25">
        <f>(2*Table3[[#This Row],[GR]])+Table3[[#This Row],[PTS]]</f>
        <v>134</v>
      </c>
      <c r="AT25">
        <f>(3*Table3[[#This Row],[GR]])+Table3[[#This Row],[PTS2]]</f>
        <v>193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101.13333333333333</v>
      </c>
      <c r="AW25" s="15" t="str">
        <f>_xlfn.CONCAT(TEXT(Table3[[#This Row],[W]], "0"), "-", TEXT(Table3[[#This Row],[RL]],"0"), "-", TEXT(Table3[[#This Row],[OTL]]+Table3[[#This Row],[SOL]], "0"))</f>
        <v>12-12-6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37</v>
      </c>
      <c r="AZ25">
        <f>SUMIF(DataRegularSeason20242025!$D$3:$D$1315,$A25, DataRegularSeason20242025!$K$3:$K$1315)</f>
        <v>49</v>
      </c>
      <c r="BA25">
        <f>AY25-AZ25</f>
        <v>-12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37</v>
      </c>
      <c r="BD25">
        <f>SUMIF(DataRegularSeason20242025!$E$3:$E$1315,$A25,DataRegularSeason20242025!$J$3:$J$1315)</f>
        <v>44</v>
      </c>
      <c r="BE25">
        <f>BC25-BD25</f>
        <v>-7</v>
      </c>
      <c r="BF25">
        <f>AY25+BC25</f>
        <v>74</v>
      </c>
      <c r="BG25">
        <f>AZ25+BD25</f>
        <v>93</v>
      </c>
      <c r="BH25">
        <f>BF25-BG25</f>
        <v>-19</v>
      </c>
      <c r="BI25" s="12">
        <f>Table3[[#This Row],[GF]]/Table3[[#This Row],[GP]]</f>
        <v>2.4666666666666668</v>
      </c>
      <c r="BJ25" s="12">
        <f>Table3[[#This Row],[GA]]/Table3[[#This Row],[GP]]</f>
        <v>3.1</v>
      </c>
      <c r="BK25" s="12">
        <f>(Table3[[#This Row],[GF]]-Table3[[#This Row],[GA]])/Table3[[#This Row],[GP]]</f>
        <v>-0.6333333333333333</v>
      </c>
      <c r="BL25" s="42" t="str">
        <f>_xlfn.CONCAT(TEXT(Table3[[#This Row],[W_H]], "0"), "-", TEXT(Table3[[#This Row],[RL_H]],"0"), "-", TEXT(Table3[[#This Row],[OTL_H]]+Table3[[#This Row],[SOL_H]], "0"))</f>
        <v>7-6-3</v>
      </c>
      <c r="BM25" s="42" t="str">
        <f>_xlfn.CONCAT(TEXT(Table3[[#This Row],[W_A]], "0"), "-", TEXT(Table3[[#This Row],[RL_A]],"0"), "-", TEXT(Table3[[#This Row],[OTL_A]]+Table3[[#This Row],[SOL_A]], "0"))</f>
        <v>5-6-3</v>
      </c>
      <c r="BN25" s="42">
        <f>((2*(Table3[[#This Row],[W_H]]))+Table3[[#This Row],[OTL_H]]+Table3[[#This Row],[SOL_H]])/(2*Table3[[#This Row],[GP_H]])</f>
        <v>0.53125</v>
      </c>
      <c r="BO25" s="42">
        <f>((2*(Table3[[#This Row],[W_A]]))+Table3[[#This Row],[OTL_A]]+Table3[[#This Row],[SOL_A]])/(2*Table3[[#This Row],[GP_A]])</f>
        <v>0.4642857142857143</v>
      </c>
      <c r="BP25" s="16">
        <f>(Table3[[#This Row],[W]]*$CX$3)+(Table3[[#This Row],[L]]*$CX$4)+(Table3[[#This Row],[GF]]*$CX$5)+(Table3[[#This Row],[GA]]*$CX$6)</f>
        <v>31.8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88.653333333333336</v>
      </c>
      <c r="BR25" s="16">
        <f>(Table3[[#This Row],[W]]*0.7) + ((Table3[[#This Row],[GF]] - Table3[[#This Row],[GA]])*0.25)+(Table3[[#This Row],[GF]]*0.1)+(Table3[[#This Row],[GA]]*0.05)+(Table3[[#This Row],[L]]*0.3)</f>
        <v>21.099999999999998</v>
      </c>
      <c r="BS25" s="16">
        <f>Table3[[#This Row],[TeamCost83]]/Table3[[#This Row],[GP]]</f>
        <v>0.70333333333333325</v>
      </c>
      <c r="BT25">
        <f>COUNTIFS(Table2[AwayTeam],$A25,Table2[PredictedWinner], $A25, Table2[GameIsOver], 1)</f>
        <v>4</v>
      </c>
      <c r="BU25">
        <f>COUNTIFS(Table2[HomeTeam],$A25,Table2[PredictedWinner], $A25, Table2[GameIsOver], 1)</f>
        <v>8</v>
      </c>
      <c r="BV25">
        <f>BT25+BU25</f>
        <v>12</v>
      </c>
      <c r="BW25">
        <f>F25-BT25</f>
        <v>10</v>
      </c>
      <c r="BX25">
        <f>H25-BU25</f>
        <v>8</v>
      </c>
      <c r="BY25">
        <f>BW25+BX25</f>
        <v>18</v>
      </c>
      <c r="BZ25">
        <f>Table3[[#This Row],[TimesPredictedWinner]]/Table3[[#This Row],[GP]]</f>
        <v>0.4</v>
      </c>
      <c r="CC25" s="1">
        <v>45745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5.9</v>
      </c>
      <c r="CJ25">
        <f>SUMIFS(Table2[GamePredictionScore], Table2[HomeTeam], Table3[[#This Row],[Teams]])</f>
        <v>2.9</v>
      </c>
      <c r="CK25">
        <f>Table3[[#This Row],[Column4]]+Table3[[#This Row],[Column3]]</f>
        <v>8.8000000000000007</v>
      </c>
      <c r="CL25">
        <f>Table3[[#This Row],[Column5]]/Table3[[#This Row],[GP]]</f>
        <v>0.29333333333333333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30</v>
      </c>
      <c r="E26" s="10">
        <f>Table3[[#This Row],[Watched]]/Table3[[#This Row],[GP]]</f>
        <v>0.9375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16</v>
      </c>
      <c r="I26">
        <f>41-Table3[[#This Row],[GP_H]]</f>
        <v>25</v>
      </c>
      <c r="J26">
        <f>F26+H26</f>
        <v>32</v>
      </c>
      <c r="K26">
        <f>82-Table3[[#This Row],[GP]]</f>
        <v>50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10</v>
      </c>
      <c r="Q26">
        <f>COUNTIFS(DataRegularSeason20242025!$D$3:$D$1315,$A26, DataRegularSeason20242025!$S$3:$S$1315, $A26,DataRegularSeason20242025!$M$3:$M$1315,"REG")</f>
        <v>7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9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0.40625</v>
      </c>
      <c r="AC26">
        <f>Table3[[#This Row],[W_A]]+Table3[[#This Row],[W_H]]</f>
        <v>13</v>
      </c>
      <c r="AD26">
        <f>Table3[[#This Row],[L_A]]+Table3[[#This Row],[L_H]]</f>
        <v>19</v>
      </c>
      <c r="AE26">
        <f>Table3[[#This Row],[RW_A]]+Table3[[#This Row],[RW_H]]</f>
        <v>12</v>
      </c>
      <c r="AF26">
        <f>Table3[[#This Row],[RL_A]]+Table3[[#This Row],[RL_H]]</f>
        <v>13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0.21875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6" s="10">
        <f>Table3[[#This Row],[PTS]]/(2*Table3[[#This Row],[GP]])</f>
        <v>0.5</v>
      </c>
      <c r="AR26" s="10">
        <f>Table3[[#This Row],[PTS2]]/(3*Table3[[#This Row],[GP]])</f>
        <v>0.45833333333333331</v>
      </c>
      <c r="AS26">
        <f>(2*Table3[[#This Row],[GR]])+Table3[[#This Row],[PTS]]</f>
        <v>132</v>
      </c>
      <c r="AT26">
        <f>(3*Table3[[#This Row],[GR]])+Table3[[#This Row],[PTS2]]</f>
        <v>194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112.75</v>
      </c>
      <c r="AW26" s="15" t="str">
        <f>_xlfn.CONCAT(TEXT(Table3[[#This Row],[W]], "0"), "-", TEXT(Table3[[#This Row],[RL]],"0"), "-", TEXT(Table3[[#This Row],[OTL]]+Table3[[#This Row],[SOL]], "0"))</f>
        <v>13-13-6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47</v>
      </c>
      <c r="AZ26">
        <f>SUMIF(DataRegularSeason20242025!$D$3:$D$1315,$A26, DataRegularSeason20242025!$K$3:$K$1315)</f>
        <v>57</v>
      </c>
      <c r="BA26">
        <f>AY26-AZ26</f>
        <v>-10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41</v>
      </c>
      <c r="BE26">
        <f>BC26-BD26</f>
        <v>3</v>
      </c>
      <c r="BF26">
        <f>AY26+BC26</f>
        <v>91</v>
      </c>
      <c r="BG26">
        <f>AZ26+BD26</f>
        <v>98</v>
      </c>
      <c r="BH26">
        <f>BF26-BG26</f>
        <v>-7</v>
      </c>
      <c r="BI26" s="12">
        <f>Table3[[#This Row],[GF]]/Table3[[#This Row],[GP]]</f>
        <v>2.84375</v>
      </c>
      <c r="BJ26" s="12">
        <f>Table3[[#This Row],[GA]]/Table3[[#This Row],[GP]]</f>
        <v>3.0625</v>
      </c>
      <c r="BK26" s="12">
        <f>(Table3[[#This Row],[GF]]-Table3[[#This Row],[GA]])/Table3[[#This Row],[GP]]</f>
        <v>-0.21875</v>
      </c>
      <c r="BL26" s="42" t="str">
        <f>_xlfn.CONCAT(TEXT(Table3[[#This Row],[W_H]], "0"), "-", TEXT(Table3[[#This Row],[RL_H]],"0"), "-", TEXT(Table3[[#This Row],[OTL_H]]+Table3[[#This Row],[SOL_H]], "0"))</f>
        <v>7-6-3</v>
      </c>
      <c r="BM26" s="42" t="str">
        <f>_xlfn.CONCAT(TEXT(Table3[[#This Row],[W_A]], "0"), "-", TEXT(Table3[[#This Row],[RL_A]],"0"), "-", TEXT(Table3[[#This Row],[OTL_A]]+Table3[[#This Row],[SOL_A]], "0"))</f>
        <v>6-7-3</v>
      </c>
      <c r="BN26" s="42">
        <f>((2*(Table3[[#This Row],[W_H]]))+Table3[[#This Row],[OTL_H]]+Table3[[#This Row],[SOL_H]])/(2*Table3[[#This Row],[GP_H]])</f>
        <v>0.53125</v>
      </c>
      <c r="BO26" s="42">
        <f>((2*(Table3[[#This Row],[W_A]]))+Table3[[#This Row],[OTL_A]]+Table3[[#This Row],[SOL_A]])/(2*Table3[[#This Row],[GP_A]])</f>
        <v>0.46875</v>
      </c>
      <c r="BP26" s="16">
        <f>(Table3[[#This Row],[W]]*$CX$3)+(Table3[[#This Row],[L]]*$CX$4)+(Table3[[#This Row],[GF]]*$CX$5)+(Table3[[#This Row],[GA]]*$CX$6)</f>
        <v>35.650000000000006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96.765625</v>
      </c>
      <c r="BR26" s="16">
        <f>(Table3[[#This Row],[W]]*0.7) + ((Table3[[#This Row],[GF]] - Table3[[#This Row],[GA]])*0.25)+(Table3[[#This Row],[GF]]*0.1)+(Table3[[#This Row],[GA]]*0.05)+(Table3[[#This Row],[L]]*0.3)</f>
        <v>27.05</v>
      </c>
      <c r="BS26" s="16">
        <f>Table3[[#This Row],[TeamCost83]]/Table3[[#This Row],[GP]]</f>
        <v>0.84531250000000002</v>
      </c>
      <c r="BT26">
        <f>COUNTIFS(Table2[AwayTeam],$A26,Table2[PredictedWinner], $A26, Table2[GameIsOver], 1)</f>
        <v>7</v>
      </c>
      <c r="BU26">
        <f>COUNTIFS(Table2[HomeTeam],$A26,Table2[PredictedWinner], $A26, Table2[GameIsOver], 1)</f>
        <v>4</v>
      </c>
      <c r="BV26">
        <f>BT26+BU26</f>
        <v>11</v>
      </c>
      <c r="BW26">
        <f>F26-BT26</f>
        <v>9</v>
      </c>
      <c r="BX26">
        <f>H26-BU26</f>
        <v>12</v>
      </c>
      <c r="BY26">
        <f>BW26+BX26</f>
        <v>21</v>
      </c>
      <c r="BZ26">
        <f>Table3[[#This Row],[TimesPredictedWinner]]/Table3[[#This Row],[GP]]</f>
        <v>0.34375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7.5999999999999988</v>
      </c>
      <c r="CJ26">
        <f>SUMIFS(Table2[GamePredictionScore], Table2[HomeTeam], Table3[[#This Row],[Teams]])</f>
        <v>4.4000000000000004</v>
      </c>
      <c r="CK26">
        <f>Table3[[#This Row],[Column4]]+Table3[[#This Row],[Column3]]</f>
        <v>12</v>
      </c>
      <c r="CL26">
        <f>Table3[[#This Row],[Column5]]/Table3[[#This Row],[GP]]</f>
        <v>0.375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35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0.71875</v>
      </c>
      <c r="F27">
        <f>COUNTIFS(DataRegularSeason20242025!$N$3:$N$1315,1,DataRegularSeason20242025!$D$3:$D$1315,$A27)</f>
        <v>18</v>
      </c>
      <c r="G27">
        <f>41-Table3[[#This Row],[GP_A]]</f>
        <v>23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32</v>
      </c>
      <c r="K27">
        <f>82-Table3[[#This Row],[GP]]</f>
        <v>50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>F27-L27</f>
        <v>11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3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2</v>
      </c>
      <c r="X27">
        <f>H27-T27</f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0.40625</v>
      </c>
      <c r="AC27">
        <f>Table3[[#This Row],[W_A]]+Table3[[#This Row],[W_H]]</f>
        <v>13</v>
      </c>
      <c r="AD27">
        <f>Table3[[#This Row],[L_A]]+Table3[[#This Row],[L_H]]</f>
        <v>19</v>
      </c>
      <c r="AE27">
        <f>Table3[[#This Row],[RW_A]]+Table3[[#This Row],[RW_H]]</f>
        <v>7</v>
      </c>
      <c r="AF27">
        <f>Table3[[#This Row],[RL_A]]+Table3[[#This Row],[RL_H]]</f>
        <v>13</v>
      </c>
      <c r="AG27">
        <f>Table3[[#This Row],[OTW_A]]+Table3[[#This Row],[OTW_H]]</f>
        <v>2</v>
      </c>
      <c r="AH27">
        <f>Table3[[#This Row],[OTL_A]]+Table3[[#This Row],[OTL_H]]</f>
        <v>5</v>
      </c>
      <c r="AI27">
        <f>Table3[[#This Row],[SOW_A]]+Table3[[#This Row],[SOW_H]]</f>
        <v>4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6-6</v>
      </c>
      <c r="AL27">
        <f>SUM(Table3[[#This Row],[OTW]],Table3[[#This Row],[OTL]],Table3[[#This Row],[SOW]],Table3[[#This Row],[SOL]])</f>
        <v>12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0.375</v>
      </c>
      <c r="AO27">
        <f>(2*(Table3[[#This Row],[W_A]]+Table3[[#This Row],[W_H]]))+Table3[[#This Row],[OTL_A]]+Table3[[#This Row],[SOL_A]]+Table3[[#This Row],[OTL_H]]+Table3[[#This Row],[SOL_H]]</f>
        <v>32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0.40625</v>
      </c>
      <c r="AS27">
        <f>(2*Table3[[#This Row],[GR]])+Table3[[#This Row],[PTS]]</f>
        <v>132</v>
      </c>
      <c r="AT27">
        <f>(3*Table3[[#This Row],[GR]])+Table3[[#This Row],[PTS2]]</f>
        <v>189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99.9375</v>
      </c>
      <c r="AW27" s="15" t="str">
        <f>_xlfn.CONCAT(TEXT(Table3[[#This Row],[W]], "0"), "-", TEXT(Table3[[#This Row],[RL]],"0"), "-", TEXT(Table3[[#This Row],[OTL]]+Table3[[#This Row],[SOL]], "0"))</f>
        <v>13-13-6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63</v>
      </c>
      <c r="BA27">
        <f>AY27-AZ27</f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41</v>
      </c>
      <c r="BD27">
        <f>SUMIF(DataRegularSeason20242025!$E$3:$E$1315,$A27,DataRegularSeason20242025!$J$3:$J$1315)</f>
        <v>48</v>
      </c>
      <c r="BE27">
        <f>BC27-BD27</f>
        <v>-7</v>
      </c>
      <c r="BF27">
        <f>AY27+BC27</f>
        <v>96</v>
      </c>
      <c r="BG27">
        <f>AZ27+BD27</f>
        <v>111</v>
      </c>
      <c r="BH27">
        <f>BF27-BG27</f>
        <v>-15</v>
      </c>
      <c r="BI27" s="12">
        <f>Table3[[#This Row],[GF]]/Table3[[#This Row],[GP]]</f>
        <v>3</v>
      </c>
      <c r="BJ27" s="12">
        <f>Table3[[#This Row],[GA]]/Table3[[#This Row],[GP]]</f>
        <v>3.46875</v>
      </c>
      <c r="BK27" s="12">
        <f>(Table3[[#This Row],[GF]]-Table3[[#This Row],[GA]])/Table3[[#This Row],[GP]]</f>
        <v>-0.46875</v>
      </c>
      <c r="BL27" s="42" t="str">
        <f>_xlfn.CONCAT(TEXT(Table3[[#This Row],[W_H]], "0"), "-", TEXT(Table3[[#This Row],[RL_H]],"0"), "-", TEXT(Table3[[#This Row],[OTL_H]]+Table3[[#This Row],[SOL_H]], "0"))</f>
        <v>6-5-3</v>
      </c>
      <c r="BM27" s="42" t="str">
        <f>_xlfn.CONCAT(TEXT(Table3[[#This Row],[W_A]], "0"), "-", TEXT(Table3[[#This Row],[RL_A]],"0"), "-", TEXT(Table3[[#This Row],[OTL_A]]+Table3[[#This Row],[SOL_A]], "0"))</f>
        <v>7-8-3</v>
      </c>
      <c r="BN27" s="42">
        <f>((2*(Table3[[#This Row],[W_H]]))+Table3[[#This Row],[OTL_H]]+Table3[[#This Row],[SOL_H]])/(2*Table3[[#This Row],[GP_H]])</f>
        <v>0.5357142857142857</v>
      </c>
      <c r="BO27" s="42">
        <f>((2*(Table3[[#This Row],[W_A]]))+Table3[[#This Row],[OTL_A]]+Table3[[#This Row],[SOL_A]])/(2*Table3[[#This Row],[GP_A]])</f>
        <v>0.47222222222222221</v>
      </c>
      <c r="BP27" s="16">
        <f>(Table3[[#This Row],[W]]*$CX$3)+(Table3[[#This Row],[L]]*$CX$4)+(Table3[[#This Row],[GF]]*$CX$5)+(Table3[[#This Row],[GA]]*$CX$6)</f>
        <v>37.700000000000003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104.06874999999999</v>
      </c>
      <c r="BR27" s="16">
        <f>(Table3[[#This Row],[W]]*0.7) + ((Table3[[#This Row],[GF]] - Table3[[#This Row],[GA]])*0.25)+(Table3[[#This Row],[GF]]*0.1)+(Table3[[#This Row],[GA]]*0.05)+(Table3[[#This Row],[L]]*0.3)</f>
        <v>26.2</v>
      </c>
      <c r="BS27" s="16">
        <f>Table3[[#This Row],[TeamCost83]]/Table3[[#This Row],[GP]]</f>
        <v>0.81874999999999998</v>
      </c>
      <c r="BT27">
        <f>COUNTIFS(Table2[AwayTeam],$A27,Table2[PredictedWinner], $A27, Table2[GameIsOver], 1)</f>
        <v>0</v>
      </c>
      <c r="BU27">
        <f>COUNTIFS(Table2[HomeTeam],$A27,Table2[PredictedWinner], $A27, Table2[GameIsOver], 1)</f>
        <v>8</v>
      </c>
      <c r="BV27">
        <f>BT27+BU27</f>
        <v>8</v>
      </c>
      <c r="BW27">
        <f>F27-BT27</f>
        <v>18</v>
      </c>
      <c r="BX27">
        <f>H27-BU27</f>
        <v>6</v>
      </c>
      <c r="BY27">
        <f>BW27+BX27</f>
        <v>24</v>
      </c>
      <c r="BZ27">
        <f>Table3[[#This Row],[TimesPredictedWinner]]/Table3[[#This Row],[GP]]</f>
        <v>0.25</v>
      </c>
      <c r="CC27" s="1">
        <v>45763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9.5</v>
      </c>
      <c r="CJ27">
        <f>SUMIFS(Table2[GamePredictionScore], Table2[HomeTeam], Table3[[#This Row],[Teams]])</f>
        <v>6.7999999999999989</v>
      </c>
      <c r="CK27">
        <f>Table3[[#This Row],[Column4]]+Table3[[#This Row],[Column3]]</f>
        <v>16.299999999999997</v>
      </c>
      <c r="CL27">
        <f>Table3[[#This Row],[Column5]]/Table3[[#This Row],[GP]]</f>
        <v>0.50937499999999991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26</v>
      </c>
      <c r="E28" s="10">
        <f>Table3[[#This Row],[Watched]]/Table3[[#This Row],[GP]]</f>
        <v>0.8125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16</v>
      </c>
      <c r="I28">
        <f>41-Table3[[#This Row],[GP_H]]</f>
        <v>25</v>
      </c>
      <c r="J28">
        <f>F28+H28</f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0.46875</v>
      </c>
      <c r="AC28">
        <f>Table3[[#This Row],[W_A]]+Table3[[#This Row],[W_H]]</f>
        <v>15</v>
      </c>
      <c r="AD28">
        <f>Table3[[#This Row],[L_A]]+Table3[[#This Row],[L_H]]</f>
        <v>17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1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2-2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0.125</v>
      </c>
      <c r="AO28">
        <f>(2*(Table3[[#This Row],[W_A]]+Table3[[#This Row],[W_H]]))+Table3[[#This Row],[OTL_A]]+Table3[[#This Row],[SOL_A]]+Table3[[#This Row],[OTL_H]]+Table3[[#This Row],[SOL_H]]</f>
        <v>32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8" s="10">
        <f>Table3[[#This Row],[PTS]]/(2*Table3[[#This Row],[GP]])</f>
        <v>0.5</v>
      </c>
      <c r="AR28" s="10">
        <f>Table3[[#This Row],[PTS2]]/(3*Table3[[#This Row],[GP]])</f>
        <v>0.46875</v>
      </c>
      <c r="AS28">
        <f>(2*Table3[[#This Row],[GR]])+Table3[[#This Row],[PTS]]</f>
        <v>132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115.3125</v>
      </c>
      <c r="AW28" s="15" t="str">
        <f>_xlfn.CONCAT(TEXT(Table3[[#This Row],[W]], "0"), "-", TEXT(Table3[[#This Row],[RL]],"0"), "-", TEXT(Table3[[#This Row],[OTL]]+Table3[[#This Row],[SOL]], "0"))</f>
        <v>15-15-2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>AY28-AZ28</f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54</v>
      </c>
      <c r="BD28">
        <f>SUMIF(DataRegularSeason20242025!$E$3:$E$1315,$A28,DataRegularSeason20242025!$J$3:$J$1315)</f>
        <v>46</v>
      </c>
      <c r="BE28">
        <f>BC28-BD28</f>
        <v>8</v>
      </c>
      <c r="BF28">
        <f>AY28+BC28</f>
        <v>98</v>
      </c>
      <c r="BG28">
        <f>AZ28+BD28</f>
        <v>99</v>
      </c>
      <c r="BH28">
        <f>BF28-BG28</f>
        <v>-1</v>
      </c>
      <c r="BI28" s="12">
        <f>Table3[[#This Row],[GF]]/Table3[[#This Row],[GP]]</f>
        <v>3.0625</v>
      </c>
      <c r="BJ28" s="12">
        <f>Table3[[#This Row],[GA]]/Table3[[#This Row],[GP]]</f>
        <v>3.09375</v>
      </c>
      <c r="BK28" s="12">
        <f>(Table3[[#This Row],[GF]]-Table3[[#This Row],[GA]])/Table3[[#This Row],[GP]]</f>
        <v>-3.125E-2</v>
      </c>
      <c r="BL28" s="42" t="str">
        <f>_xlfn.CONCAT(TEXT(Table3[[#This Row],[W_H]], "0"), "-", TEXT(Table3[[#This Row],[RL_H]],"0"), "-", TEXT(Table3[[#This Row],[OTL_H]]+Table3[[#This Row],[SOL_H]], "0"))</f>
        <v>8-7-1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0.53125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37.199999999999996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101.2625</v>
      </c>
      <c r="BR28" s="16">
        <f>(Table3[[#This Row],[W]]*0.7) + ((Table3[[#This Row],[GF]] - Table3[[#This Row],[GA]])*0.25)+(Table3[[#This Row],[GF]]*0.1)+(Table3[[#This Row],[GA]]*0.05)+(Table3[[#This Row],[L]]*0.3)</f>
        <v>30.1</v>
      </c>
      <c r="BS28" s="16">
        <f>Table3[[#This Row],[TeamCost83]]/Table3[[#This Row],[GP]]</f>
        <v>0.94062500000000004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11</v>
      </c>
      <c r="BV28">
        <f>BT28+BU28</f>
        <v>20</v>
      </c>
      <c r="BW28">
        <f>F28-BT28</f>
        <v>7</v>
      </c>
      <c r="BX28">
        <f>H28-BU28</f>
        <v>5</v>
      </c>
      <c r="BY28">
        <f>BW28+BX28</f>
        <v>12</v>
      </c>
      <c r="BZ28">
        <f>Table3[[#This Row],[TimesPredictedWinner]]/Table3[[#This Row],[GP]]</f>
        <v>0.625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8.1</v>
      </c>
      <c r="CK28">
        <f>Table3[[#This Row],[Column4]]+Table3[[#This Row],[Column3]]</f>
        <v>13.9</v>
      </c>
      <c r="CL28">
        <f>Table3[[#This Row],[Column5]]/Table3[[#This Row],[GP]]</f>
        <v>0.43437500000000001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28</v>
      </c>
      <c r="E29" s="10">
        <f>Table3[[#This Row],[Watched]]/Table3[[#This Row],[GP]]</f>
        <v>0.875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>F29+H29</f>
        <v>32</v>
      </c>
      <c r="K29">
        <f>82-Table3[[#This Row],[GP]]</f>
        <v>50</v>
      </c>
      <c r="L29">
        <f>COUNTIFS(DataRegularSeason20242025!$D$3:$D$1315,$A29, DataRegularSeason20242025!$L$3:$L$1315, $A29,DataRegularSeason20242025!$N$3:$N$1315,1)</f>
        <v>5</v>
      </c>
      <c r="M29">
        <f>COUNTIFS(DataRegularSeason20242025!$D$3:$D$1315,$A29, DataRegularSeason20242025!$L$3:$L$1315, $A29,DataRegularSeason20242025!$N$3:$N$1315,1,DataRegularSeason20242025!$M$3:$M$1315,"REG")</f>
        <v>2</v>
      </c>
      <c r="N29">
        <f>COUNTIFS(DataRegularSeason20242025!$D$3:$D$1315,$A29, DataRegularSeason20242025!$L$3:$L$1315, $A29,DataRegularSeason20242025!$N$3:$N$1315,1,DataRegularSeason20242025!$M$3:$M$1315,"OT")</f>
        <v>2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>F29-L29</f>
        <v>11</v>
      </c>
      <c r="Q29">
        <f>COUNTIFS(DataRegularSeason20242025!$D$3:$D$1315,$A29, DataRegularSeason20242025!$S$3:$S$1315, $A29,DataRegularSeason20242025!$M$3:$M$1315,"REG")</f>
        <v>9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0.4375</v>
      </c>
      <c r="AC29">
        <f>Table3[[#This Row],[W_A]]+Table3[[#This Row],[W_H]]</f>
        <v>14</v>
      </c>
      <c r="AD29">
        <f>Table3[[#This Row],[L_A]]+Table3[[#This Row],[L_H]]</f>
        <v>18</v>
      </c>
      <c r="AE29">
        <f>Table3[[#This Row],[RW_A]]+Table3[[#This Row],[RW_H]]</f>
        <v>10</v>
      </c>
      <c r="AF29">
        <f>Table3[[#This Row],[RL_A]]+Table3[[#This Row],[RL_H]]</f>
        <v>14</v>
      </c>
      <c r="AG29">
        <f>Table3[[#This Row],[OTW_A]]+Table3[[#This Row],[OTW_H]]</f>
        <v>2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4-4</v>
      </c>
      <c r="AL29">
        <f>SUM(Table3[[#This Row],[OTW]],Table3[[#This Row],[OTL]],Table3[[#This Row],[SOW]],Table3[[#This Row],[SOL]])</f>
        <v>8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0.25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9" s="10">
        <f>Table3[[#This Row],[PTS]]/(2*Table3[[#This Row],[GP]])</f>
        <v>0.5</v>
      </c>
      <c r="AR29" s="10">
        <f>Table3[[#This Row],[PTS2]]/(3*Table3[[#This Row],[GP]])</f>
        <v>0.4375</v>
      </c>
      <c r="AS29">
        <f>(2*Table3[[#This Row],[GR]])+Table3[[#This Row],[PTS]]</f>
        <v>132</v>
      </c>
      <c r="AT29">
        <f>(3*Table3[[#This Row],[GR]])+Table3[[#This Row],[PTS2]]</f>
        <v>192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107.625</v>
      </c>
      <c r="AW29" s="15" t="str">
        <f>_xlfn.CONCAT(TEXT(Table3[[#This Row],[W]], "0"), "-", TEXT(Table3[[#This Row],[RL]],"0"), "-", TEXT(Table3[[#This Row],[OTL]]+Table3[[#This Row],[SOL]], "0"))</f>
        <v>14-14-4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44</v>
      </c>
      <c r="AZ29">
        <f>SUMIF(DataRegularSeason20242025!$D$3:$D$1315,$A29, DataRegularSeason20242025!$K$3:$K$1315)</f>
        <v>64</v>
      </c>
      <c r="BA29">
        <f>AY29-AZ29</f>
        <v>-20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>BC29-BD29</f>
        <v>9</v>
      </c>
      <c r="BF29">
        <f>AY29+BC29</f>
        <v>98</v>
      </c>
      <c r="BG29">
        <f>AZ29+BD29</f>
        <v>109</v>
      </c>
      <c r="BH29">
        <f>BF29-BG29</f>
        <v>-11</v>
      </c>
      <c r="BI29" s="12">
        <f>Table3[[#This Row],[GF]]/Table3[[#This Row],[GP]]</f>
        <v>3.0625</v>
      </c>
      <c r="BJ29" s="12">
        <f>Table3[[#This Row],[GA]]/Table3[[#This Row],[GP]]</f>
        <v>3.40625</v>
      </c>
      <c r="BK29" s="12">
        <f>(Table3[[#This Row],[GF]]-Table3[[#This Row],[GA]])/Table3[[#This Row],[GP]]</f>
        <v>-0.34375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5-9-2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0.375</v>
      </c>
      <c r="BP29" s="16">
        <f>(Table3[[#This Row],[W]]*$CX$3)+(Table3[[#This Row],[L]]*$CX$4)+(Table3[[#This Row],[GF]]*$CX$5)+(Table3[[#This Row],[GA]]*$CX$6)</f>
        <v>38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29" s="16">
        <f>(Table3[[#This Row],[W]]*0.7) + ((Table3[[#This Row],[GF]] - Table3[[#This Row],[GA]])*0.25)+(Table3[[#This Row],[GF]]*0.1)+(Table3[[#This Row],[GA]]*0.05)+(Table3[[#This Row],[L]]*0.3)</f>
        <v>27.7</v>
      </c>
      <c r="BS29" s="16">
        <f>Table3[[#This Row],[TeamCost83]]/Table3[[#This Row],[GP]]</f>
        <v>0.86562499999999998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7</v>
      </c>
      <c r="BV29">
        <f>BT29+BU29</f>
        <v>10</v>
      </c>
      <c r="BW29">
        <f>F29-BT29</f>
        <v>13</v>
      </c>
      <c r="BX29">
        <f>H29-BU29</f>
        <v>9</v>
      </c>
      <c r="BY29">
        <f>BW29+BX29</f>
        <v>22</v>
      </c>
      <c r="BZ29">
        <f>Table3[[#This Row],[TimesPredictedWinner]]/Table3[[#This Row],[GP]]</f>
        <v>0.3125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8.5</v>
      </c>
      <c r="CJ29">
        <f>SUMIFS(Table2[GamePredictionScore], Table2[HomeTeam], Table3[[#This Row],[Teams]])</f>
        <v>6.6</v>
      </c>
      <c r="CK29">
        <f>Table3[[#This Row],[Column4]]+Table3[[#This Row],[Column3]]</f>
        <v>15.1</v>
      </c>
      <c r="CL29">
        <f>Table3[[#This Row],[Column5]]/Table3[[#This Row],[GP]]</f>
        <v>0.47187499999999999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27</v>
      </c>
      <c r="E30" s="10">
        <f>Table3[[#This Row],[Watched]]/Table3[[#This Row],[GP]]</f>
        <v>0.79411764705882348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18</v>
      </c>
      <c r="I30">
        <f>41-Table3[[#This Row],[GP_H]]</f>
        <v>23</v>
      </c>
      <c r="J30">
        <f>F30+H30</f>
        <v>34</v>
      </c>
      <c r="K30">
        <f>82-Table3[[#This Row],[GP]]</f>
        <v>48</v>
      </c>
      <c r="L30">
        <f>COUNTIFS(DataRegularSeason20242025!$D$3:$D$1315,$A30, DataRegularSeason20242025!$L$3:$L$1315, $A30,DataRegularSeason20242025!$N$3:$N$1315,1)</f>
        <v>6</v>
      </c>
      <c r="M30">
        <f>COUNTIFS(DataRegularSeason20242025!$D$3:$D$1315,$A30, DataRegularSeason20242025!$L$3:$L$1315, $A30,DataRegularSeason20242025!$N$3:$N$1315,1,DataRegularSeason20242025!$M$3:$M$1315,"REG")</f>
        <v>6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10</v>
      </c>
      <c r="Q30">
        <f>COUNTIFS(DataRegularSeason20242025!$D$3:$D$1315,$A30, DataRegularSeason20242025!$S$3:$S$1315, $A30,DataRegularSeason20242025!$M$3:$M$1315,"REG")</f>
        <v>7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11</v>
      </c>
      <c r="Y30">
        <f>COUNTIFS(DataRegularSeason20242025!$E$3:$E$1315,$A30, DataRegularSeason20242025!$S$3:$S$1315, $A30,DataRegularSeason20242025!$M$3:$M$1315,"REG")</f>
        <v>8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0.38235294117647056</v>
      </c>
      <c r="AC30">
        <f>Table3[[#This Row],[W_A]]+Table3[[#This Row],[W_H]]</f>
        <v>13</v>
      </c>
      <c r="AD30">
        <f>Table3[[#This Row],[L_A]]+Table3[[#This Row],[L_H]]</f>
        <v>21</v>
      </c>
      <c r="AE30">
        <f>Table3[[#This Row],[RW_A]]+Table3[[#This Row],[RW_H]]</f>
        <v>12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0.20588235294117646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30" s="10">
        <f>Table3[[#This Row],[PTS]]/(2*Table3[[#This Row],[GP]])</f>
        <v>0.47058823529411764</v>
      </c>
      <c r="AR30" s="10">
        <f>Table3[[#This Row],[PTS2]]/(3*Table3[[#This Row],[GP]])</f>
        <v>0.43137254901960786</v>
      </c>
      <c r="AS30">
        <f>(2*Table3[[#This Row],[GR]])+Table3[[#This Row],[PTS]]</f>
        <v>128</v>
      </c>
      <c r="AT30">
        <f>(3*Table3[[#This Row],[GR]])+Table3[[#This Row],[PTS2]]</f>
        <v>188</v>
      </c>
      <c r="AU30">
        <f>Table3[[#This Row],[PTS]]+(2 * Table3[[#This Row],[GR]] * Table3[[#This Row],[PTS%]])</f>
        <v>77.17647058823529</v>
      </c>
      <c r="AV30">
        <f>Table3[[#This Row],[PTS2]]+(3 * Table3[[#This Row],[GR]] * Table3[[#This Row],[PTS%2]])</f>
        <v>106.11764705882354</v>
      </c>
      <c r="AW30" s="15" t="str">
        <f>_xlfn.CONCAT(TEXT(Table3[[#This Row],[W]], "0"), "-", TEXT(Table3[[#This Row],[RL]],"0"), "-", TEXT(Table3[[#This Row],[OTL]]+Table3[[#This Row],[SOL]], "0"))</f>
        <v>13-15-6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54</v>
      </c>
      <c r="BA30">
        <f>AY30-AZ30</f>
        <v>-12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45</v>
      </c>
      <c r="BD30">
        <f>SUMIF(DataRegularSeason20242025!$E$3:$E$1315,$A30,DataRegularSeason20242025!$J$3:$J$1315)</f>
        <v>68</v>
      </c>
      <c r="BE30">
        <f>BC30-BD30</f>
        <v>-23</v>
      </c>
      <c r="BF30">
        <f>AY30+BC30</f>
        <v>87</v>
      </c>
      <c r="BG30">
        <f>AZ30+BD30</f>
        <v>122</v>
      </c>
      <c r="BH30">
        <f>BF30-BG30</f>
        <v>-35</v>
      </c>
      <c r="BI30" s="12">
        <f>Table3[[#This Row],[GF]]/Table3[[#This Row],[GP]]</f>
        <v>2.5588235294117645</v>
      </c>
      <c r="BJ30" s="12">
        <f>Table3[[#This Row],[GA]]/Table3[[#This Row],[GP]]</f>
        <v>3.5882352941176472</v>
      </c>
      <c r="BK30" s="12">
        <f>(Table3[[#This Row],[GF]]-Table3[[#This Row],[GA]])/Table3[[#This Row],[GP]]</f>
        <v>-1.0294117647058822</v>
      </c>
      <c r="BL30" s="42" t="str">
        <f>_xlfn.CONCAT(TEXT(Table3[[#This Row],[W_H]], "0"), "-", TEXT(Table3[[#This Row],[RL_H]],"0"), "-", TEXT(Table3[[#This Row],[OTL_H]]+Table3[[#This Row],[SOL_H]], "0"))</f>
        <v>7-8-3</v>
      </c>
      <c r="BM30" s="42" t="str">
        <f>_xlfn.CONCAT(TEXT(Table3[[#This Row],[W_A]], "0"), "-", TEXT(Table3[[#This Row],[RL_A]],"0"), "-", TEXT(Table3[[#This Row],[OTL_A]]+Table3[[#This Row],[SOL_A]], "0"))</f>
        <v>6-7-3</v>
      </c>
      <c r="BN30" s="42">
        <f>((2*(Table3[[#This Row],[W_H]]))+Table3[[#This Row],[OTL_H]]+Table3[[#This Row],[SOL_H]])/(2*Table3[[#This Row],[GP_H]])</f>
        <v>0.47222222222222221</v>
      </c>
      <c r="BO30" s="42">
        <f>((2*(Table3[[#This Row],[W_A]]))+Table3[[#This Row],[OTL_A]]+Table3[[#This Row],[SOL_A]])/(2*Table3[[#This Row],[GP_A]])</f>
        <v>0.46875</v>
      </c>
      <c r="BP30" s="16">
        <f>(Table3[[#This Row],[W]]*$CX$3)+(Table3[[#This Row],[L]]*$CX$4)+(Table3[[#This Row],[GF]]*$CX$5)+(Table3[[#This Row],[GA]]*$CX$6)</f>
        <v>38.050000000000004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99.897577854671283</v>
      </c>
      <c r="BR30" s="16">
        <f>(Table3[[#This Row],[W]]*0.7) + ((Table3[[#This Row],[GF]] - Table3[[#This Row],[GA]])*0.25)+(Table3[[#This Row],[GF]]*0.1)+(Table3[[#This Row],[GA]]*0.05)+(Table3[[#This Row],[L]]*0.3)</f>
        <v>21.450000000000003</v>
      </c>
      <c r="BS30" s="16">
        <f>Table3[[#This Row],[TeamCost83]]/Table3[[#This Row],[GP]]</f>
        <v>0.63088235294117656</v>
      </c>
      <c r="BT30">
        <f>COUNTIFS(Table2[AwayTeam],$A30,Table2[PredictedWinner], $A30, Table2[GameIsOver], 1)</f>
        <v>5</v>
      </c>
      <c r="BU30">
        <f>COUNTIFS(Table2[HomeTeam],$A30,Table2[PredictedWinner], $A30, Table2[GameIsOver], 1)</f>
        <v>3</v>
      </c>
      <c r="BV30">
        <f>BT30+BU30</f>
        <v>8</v>
      </c>
      <c r="BW30">
        <f>F30-BT30</f>
        <v>11</v>
      </c>
      <c r="BX30">
        <f>H30-BU30</f>
        <v>15</v>
      </c>
      <c r="BY30">
        <f>BW30+BX30</f>
        <v>26</v>
      </c>
      <c r="BZ30">
        <f>Table3[[#This Row],[TimesPredictedWinner]]/Table3[[#This Row],[GP]]</f>
        <v>0.23529411764705882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7.6999999999999984</v>
      </c>
      <c r="CJ30">
        <f>SUMIFS(Table2[GamePredictionScore], Table2[HomeTeam], Table3[[#This Row],[Teams]])</f>
        <v>8.6999999999999993</v>
      </c>
      <c r="CK30">
        <f>Table3[[#This Row],[Column4]]+Table3[[#This Row],[Column3]]</f>
        <v>16.399999999999999</v>
      </c>
      <c r="CL30">
        <f>Table3[[#This Row],[Column5]]/Table3[[#This Row],[GP]]</f>
        <v>0.48235294117647054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0.75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18</v>
      </c>
      <c r="I31">
        <f>41-Table3[[#This Row],[GP_H]]</f>
        <v>23</v>
      </c>
      <c r="J31">
        <f>F31+H31</f>
        <v>32</v>
      </c>
      <c r="K31">
        <f>82-Table3[[#This Row],[GP]]</f>
        <v>50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8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>H31-T31</f>
        <v>10</v>
      </c>
      <c r="Y31">
        <f>COUNTIFS(DataRegularSeason20242025!$E$3:$E$1315,$A31, DataRegularSeason20242025!$S$3:$S$1315, $A31,DataRegularSeason20242025!$M$3:$M$1315,"REG")</f>
        <v>8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0.40625</v>
      </c>
      <c r="AC31">
        <f>Table3[[#This Row],[W_A]]+Table3[[#This Row],[W_H]]</f>
        <v>13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31" s="10">
        <f>Table3[[#This Row],[PTS]]/(2*Table3[[#This Row],[GP]])</f>
        <v>0.46875</v>
      </c>
      <c r="AR31" s="10">
        <f>Table3[[#This Row],[PTS2]]/(3*Table3[[#This Row],[GP]])</f>
        <v>0.40625</v>
      </c>
      <c r="AS31">
        <f>(2*Table3[[#This Row],[GR]])+Table3[[#This Row],[PTS]]</f>
        <v>130</v>
      </c>
      <c r="AT31">
        <f>(3*Table3[[#This Row],[GR]])+Table3[[#This Row],[PTS2]]</f>
        <v>189</v>
      </c>
      <c r="AU31">
        <f>Table3[[#This Row],[PTS]]+(2 * Table3[[#This Row],[GR]] * Table3[[#This Row],[PTS%]])</f>
        <v>76.875</v>
      </c>
      <c r="AV31">
        <f>Table3[[#This Row],[PTS2]]+(3 * Table3[[#This Row],[GR]] * Table3[[#This Row],[PTS%2]])</f>
        <v>99.9375</v>
      </c>
      <c r="AW31" s="15" t="str">
        <f>_xlfn.CONCAT(TEXT(Table3[[#This Row],[W]], "0"), "-", TEXT(Table3[[#This Row],[RL]],"0"), "-", TEXT(Table3[[#This Row],[OTL]]+Table3[[#This Row],[SOL]], "0"))</f>
        <v>13-15-4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39</v>
      </c>
      <c r="AZ31">
        <f>SUMIF(DataRegularSeason20242025!$D$3:$D$1315,$A31, DataRegularSeason20242025!$K$3:$K$1315)</f>
        <v>51</v>
      </c>
      <c r="BA31">
        <f>AY31-AZ31</f>
        <v>-12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53</v>
      </c>
      <c r="BD31">
        <f>SUMIF(DataRegularSeason20242025!$E$3:$E$1315,$A31,DataRegularSeason20242025!$J$3:$J$1315)</f>
        <v>60</v>
      </c>
      <c r="BE31">
        <f>BC31-BD31</f>
        <v>-7</v>
      </c>
      <c r="BF31">
        <f>AY31+BC31</f>
        <v>92</v>
      </c>
      <c r="BG31">
        <f>AZ31+BD31</f>
        <v>111</v>
      </c>
      <c r="BH31">
        <f>BF31-BG31</f>
        <v>-19</v>
      </c>
      <c r="BI31" s="12">
        <f>Table3[[#This Row],[GF]]/Table3[[#This Row],[GP]]</f>
        <v>2.875</v>
      </c>
      <c r="BJ31" s="12">
        <f>Table3[[#This Row],[GA]]/Table3[[#This Row],[GP]]</f>
        <v>3.46875</v>
      </c>
      <c r="BK31" s="12">
        <f>(Table3[[#This Row],[GF]]-Table3[[#This Row],[GA]])/Table3[[#This Row],[GP]]</f>
        <v>-0.59375</v>
      </c>
      <c r="BL31" s="42" t="str">
        <f>_xlfn.CONCAT(TEXT(Table3[[#This Row],[W_H]], "0"), "-", TEXT(Table3[[#This Row],[RL_H]],"0"), "-", TEXT(Table3[[#This Row],[OTL_H]]+Table3[[#This Row],[SOL_H]], "0"))</f>
        <v>8-8-2</v>
      </c>
      <c r="BM31" s="42" t="str">
        <f>_xlfn.CONCAT(TEXT(Table3[[#This Row],[W_A]], "0"), "-", TEXT(Table3[[#This Row],[RL_A]],"0"), "-", TEXT(Table3[[#This Row],[OTL_A]]+Table3[[#This Row],[SOL_A]], "0"))</f>
        <v>5-7-2</v>
      </c>
      <c r="BN31" s="42">
        <f>((2*(Table3[[#This Row],[W_H]]))+Table3[[#This Row],[OTL_H]]+Table3[[#This Row],[SOL_H]])/(2*Table3[[#This Row],[GP_H]])</f>
        <v>0.5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37.1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101.91523437500001</v>
      </c>
      <c r="BR31" s="16">
        <f>(Table3[[#This Row],[W]]*0.7) + ((Table3[[#This Row],[GF]] - Table3[[#This Row],[GA]])*0.25)+(Table3[[#This Row],[GF]]*0.1)+(Table3[[#This Row],[GA]]*0.05)+(Table3[[#This Row],[L]]*0.3)</f>
        <v>24.8</v>
      </c>
      <c r="BS31" s="16">
        <f>Table3[[#This Row],[TeamCost83]]/Table3[[#This Row],[GP]]</f>
        <v>0.77500000000000002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5</v>
      </c>
      <c r="BV31">
        <f>BT31+BU31</f>
        <v>7</v>
      </c>
      <c r="BW31">
        <f>F31-BT31</f>
        <v>12</v>
      </c>
      <c r="BX31">
        <f>H31-BU31</f>
        <v>13</v>
      </c>
      <c r="BY31">
        <f>BW31+BX31</f>
        <v>25</v>
      </c>
      <c r="BZ31">
        <f>Table3[[#This Row],[TimesPredictedWinner]]/Table3[[#This Row],[GP]]</f>
        <v>0.21875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9.3000000000000007</v>
      </c>
      <c r="CK31">
        <f>Table3[[#This Row],[Column4]]+Table3[[#This Row],[Column3]]</f>
        <v>17</v>
      </c>
      <c r="CL31">
        <f>Table3[[#This Row],[Column5]]/Table3[[#This Row],[GP]]</f>
        <v>0.53125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33</v>
      </c>
      <c r="E32" s="10">
        <f>Table3[[#This Row],[Watched]]/Table3[[#This Row],[GP]]</f>
        <v>1</v>
      </c>
      <c r="F32">
        <f>COUNTIFS(DataRegularSeason20242025!$N$3:$N$1315,1,DataRegularSeason20242025!$D$3:$D$1315,$A32)</f>
        <v>19</v>
      </c>
      <c r="G32">
        <f>41-Table3[[#This Row],[GP_A]]</f>
        <v>22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>F32+H32</f>
        <v>33</v>
      </c>
      <c r="K32">
        <f>82-Table3[[#This Row],[GP]]</f>
        <v>49</v>
      </c>
      <c r="L32">
        <f>COUNTIFS(DataRegularSeason20242025!$D$3:$D$1315,$A32, DataRegularSeason20242025!$L$3:$L$1315, $A32,DataRegularSeason20242025!$N$3:$N$1315,1)</f>
        <v>6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0.39393939393939392</v>
      </c>
      <c r="AC32">
        <f>Table3[[#This Row],[W_A]]+Table3[[#This Row],[W_H]]</f>
        <v>13</v>
      </c>
      <c r="AD32">
        <f>Table3[[#This Row],[L_A]]+Table3[[#This Row],[L_H]]</f>
        <v>20</v>
      </c>
      <c r="AE32">
        <f>Table3[[#This Row],[RW_A]]+Table3[[#This Row],[RW_H]]</f>
        <v>10</v>
      </c>
      <c r="AF32">
        <f>Table3[[#This Row],[RL_A]]+Table3[[#This Row],[RL_H]]</f>
        <v>16</v>
      </c>
      <c r="AG32">
        <f>Table3[[#This Row],[OTW_A]]+Table3[[#This Row],[OTW_H]]</f>
        <v>1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0.21212121212121213</v>
      </c>
      <c r="AO32">
        <f>(2*(Table3[[#This Row],[W_A]]+Table3[[#This Row],[W_H]]))+Table3[[#This Row],[OTL_A]]+Table3[[#This Row],[SOL_A]]+Table3[[#This Row],[OTL_H]]+Table3[[#This Row],[SOL_H]]</f>
        <v>30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2" s="10">
        <f>Table3[[#This Row],[PTS]]/(2*Table3[[#This Row],[GP]])</f>
        <v>0.45454545454545453</v>
      </c>
      <c r="AR32" s="10">
        <f>Table3[[#This Row],[PTS2]]/(3*Table3[[#This Row],[GP]])</f>
        <v>0.40404040404040403</v>
      </c>
      <c r="AS32">
        <f>(2*Table3[[#This Row],[GR]])+Table3[[#This Row],[PTS]]</f>
        <v>128</v>
      </c>
      <c r="AT32">
        <f>(3*Table3[[#This Row],[GR]])+Table3[[#This Row],[PTS2]]</f>
        <v>187</v>
      </c>
      <c r="AU32">
        <f>Table3[[#This Row],[PTS]]+(2 * Table3[[#This Row],[GR]] * Table3[[#This Row],[PTS%]])</f>
        <v>74.545454545454547</v>
      </c>
      <c r="AV32">
        <f>Table3[[#This Row],[PTS2]]+(3 * Table3[[#This Row],[GR]] * Table3[[#This Row],[PTS%2]])</f>
        <v>99.393939393939391</v>
      </c>
      <c r="AW32" s="15" t="str">
        <f>_xlfn.CONCAT(TEXT(Table3[[#This Row],[W]], "0"), "-", TEXT(Table3[[#This Row],[RL]],"0"), "-", TEXT(Table3[[#This Row],[OTL]]+Table3[[#This Row],[SOL]], "0"))</f>
        <v>13-16-4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44</v>
      </c>
      <c r="AZ32">
        <f>SUMIF(DataRegularSeason20242025!$D$3:$D$1315,$A32, DataRegularSeason20242025!$K$3:$K$1315)</f>
        <v>64</v>
      </c>
      <c r="BA32">
        <f>AY32-AZ32</f>
        <v>-20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>BC32-BD32</f>
        <v>7</v>
      </c>
      <c r="BF32">
        <f>AY32+BC32</f>
        <v>84</v>
      </c>
      <c r="BG32">
        <f>AZ32+BD32</f>
        <v>97</v>
      </c>
      <c r="BH32">
        <f>BF32-BG32</f>
        <v>-13</v>
      </c>
      <c r="BI32" s="12">
        <f>Table3[[#This Row],[GF]]/Table3[[#This Row],[GP]]</f>
        <v>2.5454545454545454</v>
      </c>
      <c r="BJ32" s="12">
        <f>Table3[[#This Row],[GA]]/Table3[[#This Row],[GP]]</f>
        <v>2.9393939393939394</v>
      </c>
      <c r="BK32" s="12">
        <f>(Table3[[#This Row],[GF]]-Table3[[#This Row],[GA]])/Table3[[#This Row],[GP]]</f>
        <v>-0.39393939393939392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6-11-2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0.36842105263157893</v>
      </c>
      <c r="BP32" s="16">
        <f>(Table3[[#This Row],[W]]*$CX$3)+(Table3[[#This Row],[L]]*$CX$4)+(Table3[[#This Row],[GF]]*$CX$5)+(Table3[[#This Row],[GA]]*$CX$6)</f>
        <v>34.800000000000004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91.183471074380165</v>
      </c>
      <c r="BR32" s="16">
        <f>(Table3[[#This Row],[W]]*0.7) + ((Table3[[#This Row],[GF]] - Table3[[#This Row],[GA]])*0.25)+(Table3[[#This Row],[GF]]*0.1)+(Table3[[#This Row],[GA]]*0.05)+(Table3[[#This Row],[L]]*0.3)</f>
        <v>25.1</v>
      </c>
      <c r="BS32" s="16">
        <f>Table3[[#This Row],[TeamCost83]]/Table3[[#This Row],[GP]]</f>
        <v>0.76060606060606062</v>
      </c>
      <c r="BT32">
        <f>COUNTIFS(Table2[AwayTeam],$A32,Table2[PredictedWinner], $A32, Table2[GameIsOver], 1)</f>
        <v>16</v>
      </c>
      <c r="BU32">
        <f>COUNTIFS(Table2[HomeTeam],$A32,Table2[PredictedWinner], $A32, Table2[GameIsOver], 1)</f>
        <v>14</v>
      </c>
      <c r="BV32">
        <f>BT32+BU32</f>
        <v>30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0.90909090909090906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6</v>
      </c>
      <c r="CK32">
        <f>Table3[[#This Row],[Column4]]+Table3[[#This Row],[Column3]]</f>
        <v>12</v>
      </c>
      <c r="CL32">
        <f>Table3[[#This Row],[Column5]]/Table3[[#This Row],[GP]]</f>
        <v>0.36363636363636365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  <c r="DY32" t="e">
        <f>Table2[#Headers]</f>
        <v>#VALUE!</v>
      </c>
    </row>
    <row r="33" spans="1:129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29</v>
      </c>
      <c r="E33" s="10">
        <f>Table3[[#This Row],[Watched]]/Table3[[#This Row],[GP]]</f>
        <v>0.90625</v>
      </c>
      <c r="F33">
        <f>COUNTIFS(DataRegularSeason20242025!$N$3:$N$1315,1,DataRegularSeason20242025!$D$3:$D$1315,$A33)</f>
        <v>17</v>
      </c>
      <c r="G33">
        <f>41-Table3[[#This Row],[GP_A]]</f>
        <v>24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>F33+H33</f>
        <v>32</v>
      </c>
      <c r="K33">
        <f>82-Table3[[#This Row],[GP]]</f>
        <v>50</v>
      </c>
      <c r="L33">
        <f>COUNTIFS(DataRegularSeason20242025!$D$3:$D$1315,$A33, DataRegularSeason20242025!$L$3:$L$1315, $A33,DataRegularSeason20242025!$N$3:$N$1315,1)</f>
        <v>8</v>
      </c>
      <c r="M33">
        <f>COUNTIFS(DataRegularSeason20242025!$D$3:$D$1315,$A33, DataRegularSeason20242025!$L$3:$L$1315, $A33,DataRegularSeason20242025!$N$3:$N$1315,1,DataRegularSeason20242025!$M$3:$M$1315,"REG")</f>
        <v>5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>F33-L33</f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0.375</v>
      </c>
      <c r="AC33">
        <f>Table3[[#This Row],[W_A]]+Table3[[#This Row],[W_H]]</f>
        <v>12</v>
      </c>
      <c r="AD33">
        <f>Table3[[#This Row],[L_A]]+Table3[[#This Row],[L_H]]</f>
        <v>20</v>
      </c>
      <c r="AE33">
        <f>Table3[[#This Row],[RW_A]]+Table3[[#This Row],[RW_H]]</f>
        <v>8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0.21875</v>
      </c>
      <c r="AO33">
        <f>(2*(Table3[[#This Row],[W_A]]+Table3[[#This Row],[W_H]]))+Table3[[#This Row],[OTL_A]]+Table3[[#This Row],[SOL_A]]+Table3[[#This Row],[OTL_H]]+Table3[[#This Row],[SOL_H]]</f>
        <v>27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3" s="10">
        <f>Table3[[#This Row],[PTS]]/(2*Table3[[#This Row],[GP]])</f>
        <v>0.421875</v>
      </c>
      <c r="AR33" s="10">
        <f>Table3[[#This Row],[PTS2]]/(3*Table3[[#This Row],[GP]])</f>
        <v>0.36458333333333331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69.1875</v>
      </c>
      <c r="AV33">
        <f>Table3[[#This Row],[PTS2]]+(3 * Table3[[#This Row],[GR]] * Table3[[#This Row],[PTS%2]])</f>
        <v>89.6875</v>
      </c>
      <c r="AW33" s="15" t="str">
        <f>_xlfn.CONCAT(TEXT(Table3[[#This Row],[W]], "0"), "-", TEXT(Table3[[#This Row],[RL]],"0"), "-", TEXT(Table3[[#This Row],[OTL]]+Table3[[#This Row],[SOL]], "0"))</f>
        <v>12-17-3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51</v>
      </c>
      <c r="AZ33">
        <f>SUMIF(DataRegularSeason20242025!$D$3:$D$1315,$A33, DataRegularSeason20242025!$K$3:$K$1315)</f>
        <v>57</v>
      </c>
      <c r="BA33">
        <f>AY33-AZ33</f>
        <v>-6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>BC33-BD33</f>
        <v>-17</v>
      </c>
      <c r="BF33">
        <f>AY33+BC33</f>
        <v>89</v>
      </c>
      <c r="BG33">
        <f>AZ33+BD33</f>
        <v>112</v>
      </c>
      <c r="BH33">
        <f>BF33-BG33</f>
        <v>-23</v>
      </c>
      <c r="BI33" s="12">
        <f>Table3[[#This Row],[GF]]/Table3[[#This Row],[GP]]</f>
        <v>2.78125</v>
      </c>
      <c r="BJ33" s="12">
        <f>Table3[[#This Row],[GA]]/Table3[[#This Row],[GP]]</f>
        <v>3.5</v>
      </c>
      <c r="BK33" s="12">
        <f>(Table3[[#This Row],[GF]]-Table3[[#This Row],[GA]])/Table3[[#This Row],[GP]]</f>
        <v>-0.71875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8-7-2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0.52941176470588236</v>
      </c>
      <c r="BP33" s="16">
        <f>(Table3[[#This Row],[W]]*$CX$3)+(Table3[[#This Row],[L]]*$CX$4)+(Table3[[#This Row],[GF]]*$CX$5)+(Table3[[#This Row],[GA]]*$CX$6)</f>
        <v>36.550000000000004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100.44433593750001</v>
      </c>
      <c r="BR33" s="16">
        <f>(Table3[[#This Row],[W]]*0.7) + ((Table3[[#This Row],[GF]] - Table3[[#This Row],[GA]])*0.25)+(Table3[[#This Row],[GF]]*0.1)+(Table3[[#This Row],[GA]]*0.05)+(Table3[[#This Row],[L]]*0.3)</f>
        <v>23.15</v>
      </c>
      <c r="BS33" s="16">
        <f>Table3[[#This Row],[TeamCost83]]/Table3[[#This Row],[GP]]</f>
        <v>0.72343749999999996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>BT33+BU33</f>
        <v>10</v>
      </c>
      <c r="BW33">
        <f>F33-BT33</f>
        <v>12</v>
      </c>
      <c r="BX33">
        <f>H33-BU33</f>
        <v>10</v>
      </c>
      <c r="BY33">
        <f>BW33+BX33</f>
        <v>22</v>
      </c>
      <c r="BZ33">
        <f>Table3[[#This Row],[TimesPredictedWinner]]/Table3[[#This Row],[GP]]</f>
        <v>0.3125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10.4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19.200000000000003</v>
      </c>
      <c r="CL33">
        <f>Table3[[#This Row],[Column5]]/Table3[[#This Row],[GP]]</f>
        <v>0.60000000000000009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19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  <c r="DY33" t="e">
        <f ca="1">LET(
  idx, _xlfn.AGGREGATE(15,6,ROW(Table2[PaySearchTeam])/(Table2[PaySearchTeam]=1), ROWS($DY$32:DY32)),
  INDEX(Table2[], idx - ROW(Table2[#Headers]), 0)
)</f>
        <v>#NAME?</v>
      </c>
    </row>
    <row r="34" spans="1:129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2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38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17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9" x14ac:dyDescent="0.25">
      <c r="A35" t="s">
        <v>436</v>
      </c>
      <c r="D35">
        <f>SUM(D$2:D$33)</f>
        <v>874</v>
      </c>
      <c r="E35">
        <f t="shared" ref="E35:CA35" si="13">SUM(E$2:E$33)</f>
        <v>26.999942139612436</v>
      </c>
      <c r="F35">
        <f t="shared" si="13"/>
        <v>518</v>
      </c>
      <c r="G35">
        <f t="shared" si="13"/>
        <v>794</v>
      </c>
      <c r="H35">
        <f t="shared" si="13"/>
        <v>518</v>
      </c>
      <c r="I35">
        <f t="shared" si="13"/>
        <v>794</v>
      </c>
      <c r="J35">
        <f t="shared" si="13"/>
        <v>1036</v>
      </c>
      <c r="K35">
        <f t="shared" si="13"/>
        <v>1588</v>
      </c>
      <c r="L35">
        <f t="shared" si="13"/>
        <v>251</v>
      </c>
      <c r="M35">
        <f t="shared" si="13"/>
        <v>180</v>
      </c>
      <c r="N35">
        <f t="shared" si="13"/>
        <v>48</v>
      </c>
      <c r="O35">
        <f t="shared" si="13"/>
        <v>23</v>
      </c>
      <c r="P35">
        <f t="shared" si="13"/>
        <v>267</v>
      </c>
      <c r="Q35">
        <f t="shared" si="13"/>
        <v>198</v>
      </c>
      <c r="R35">
        <f t="shared" si="13"/>
        <v>41</v>
      </c>
      <c r="S35">
        <f t="shared" si="13"/>
        <v>28</v>
      </c>
      <c r="T35">
        <f t="shared" si="13"/>
        <v>267</v>
      </c>
      <c r="U35">
        <f t="shared" si="13"/>
        <v>198</v>
      </c>
      <c r="V35">
        <f t="shared" si="13"/>
        <v>41</v>
      </c>
      <c r="W35">
        <f t="shared" si="13"/>
        <v>28</v>
      </c>
      <c r="X35">
        <f t="shared" si="13"/>
        <v>251</v>
      </c>
      <c r="Y35">
        <f t="shared" si="13"/>
        <v>180</v>
      </c>
      <c r="Z35">
        <f t="shared" si="13"/>
        <v>48</v>
      </c>
      <c r="AA35">
        <f t="shared" si="13"/>
        <v>23</v>
      </c>
      <c r="AC35">
        <f t="shared" si="13"/>
        <v>518</v>
      </c>
      <c r="AD35">
        <f t="shared" si="13"/>
        <v>518</v>
      </c>
      <c r="AE35">
        <f t="shared" si="13"/>
        <v>378</v>
      </c>
      <c r="AF35">
        <f t="shared" si="13"/>
        <v>378</v>
      </c>
      <c r="AG35">
        <f t="shared" si="13"/>
        <v>89</v>
      </c>
      <c r="AH35">
        <f t="shared" si="13"/>
        <v>89</v>
      </c>
      <c r="AI35">
        <f t="shared" si="13"/>
        <v>51</v>
      </c>
      <c r="AJ35">
        <f t="shared" si="13"/>
        <v>51</v>
      </c>
      <c r="AO35">
        <f t="shared" si="13"/>
        <v>1176</v>
      </c>
      <c r="AP35">
        <f t="shared" si="13"/>
        <v>1554</v>
      </c>
      <c r="AQ35">
        <f t="shared" si="13"/>
        <v>18.161690134264845</v>
      </c>
      <c r="AR35">
        <f t="shared" si="13"/>
        <v>15.994585202116042</v>
      </c>
      <c r="AS35">
        <f t="shared" si="13"/>
        <v>4352</v>
      </c>
      <c r="AT35">
        <f t="shared" si="13"/>
        <v>6318</v>
      </c>
      <c r="AU35">
        <f t="shared" si="13"/>
        <v>2978.5171820194355</v>
      </c>
      <c r="AV35">
        <f t="shared" si="13"/>
        <v>3934.6679597205457</v>
      </c>
      <c r="AX35">
        <f t="shared" si="13"/>
        <v>29</v>
      </c>
      <c r="AY35">
        <f t="shared" si="13"/>
        <v>1574</v>
      </c>
      <c r="AZ35">
        <f t="shared" si="13"/>
        <v>1606</v>
      </c>
      <c r="BA35">
        <f t="shared" si="13"/>
        <v>-32</v>
      </c>
      <c r="BB35">
        <f t="shared" si="13"/>
        <v>20</v>
      </c>
      <c r="BC35">
        <f t="shared" si="13"/>
        <v>1606</v>
      </c>
      <c r="BD35">
        <f t="shared" si="13"/>
        <v>1574</v>
      </c>
      <c r="BE35">
        <f t="shared" si="13"/>
        <v>32</v>
      </c>
      <c r="BF35">
        <f t="shared" si="13"/>
        <v>3180</v>
      </c>
      <c r="BG35">
        <f t="shared" si="13"/>
        <v>3180</v>
      </c>
      <c r="BH35">
        <f t="shared" si="13"/>
        <v>0</v>
      </c>
      <c r="BI35">
        <f t="shared" si="13"/>
        <v>98.222713256857006</v>
      </c>
      <c r="BJ35">
        <f t="shared" si="13"/>
        <v>98.244077755735717</v>
      </c>
      <c r="BK35">
        <f t="shared" si="13"/>
        <v>-2.1364498878730376E-2</v>
      </c>
      <c r="BL35">
        <f t="shared" si="13"/>
        <v>0</v>
      </c>
      <c r="BM35">
        <f t="shared" si="13"/>
        <v>0</v>
      </c>
      <c r="BN35">
        <f t="shared" si="13"/>
        <v>18.651898127672126</v>
      </c>
      <c r="BO35">
        <f t="shared" si="13"/>
        <v>17.630296943338738</v>
      </c>
      <c r="BP35">
        <f t="shared" si="13"/>
        <v>1209.3999999999996</v>
      </c>
      <c r="BQ35">
        <f t="shared" si="13"/>
        <v>3256.6852618015396</v>
      </c>
      <c r="BR35">
        <f t="shared" si="13"/>
        <v>995.00000000000023</v>
      </c>
      <c r="BS35">
        <f t="shared" si="13"/>
        <v>30.722371826663213</v>
      </c>
      <c r="BT35">
        <f t="shared" si="13"/>
        <v>229</v>
      </c>
      <c r="BU35">
        <f t="shared" si="13"/>
        <v>289</v>
      </c>
      <c r="BV35">
        <f t="shared" si="13"/>
        <v>518</v>
      </c>
      <c r="BW35">
        <f t="shared" si="13"/>
        <v>289</v>
      </c>
      <c r="BX35">
        <f t="shared" si="13"/>
        <v>229</v>
      </c>
      <c r="BY35">
        <f t="shared" si="13"/>
        <v>518</v>
      </c>
      <c r="BZ35">
        <f t="shared" si="13"/>
        <v>15.995683471335745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42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9" x14ac:dyDescent="0.25">
      <c r="A36" t="s">
        <v>467</v>
      </c>
      <c r="D36">
        <f>AVERAGE(D$2:D$33)</f>
        <v>27.3125</v>
      </c>
      <c r="E36">
        <f t="shared" ref="E36:CA36" si="14">AVERAGE(E$2:E$33)</f>
        <v>0.84374819186288863</v>
      </c>
      <c r="F36">
        <f t="shared" si="14"/>
        <v>16.1875</v>
      </c>
      <c r="G36">
        <f t="shared" si="14"/>
        <v>24.8125</v>
      </c>
      <c r="H36">
        <f t="shared" si="14"/>
        <v>16.1875</v>
      </c>
      <c r="I36">
        <f t="shared" si="14"/>
        <v>24.8125</v>
      </c>
      <c r="J36">
        <f t="shared" si="14"/>
        <v>32.375</v>
      </c>
      <c r="K36">
        <f t="shared" si="14"/>
        <v>49.625</v>
      </c>
      <c r="L36">
        <f t="shared" si="14"/>
        <v>7.84375</v>
      </c>
      <c r="M36">
        <f t="shared" si="14"/>
        <v>5.625</v>
      </c>
      <c r="N36">
        <f t="shared" si="14"/>
        <v>1.5</v>
      </c>
      <c r="O36">
        <f t="shared" si="14"/>
        <v>0.71875</v>
      </c>
      <c r="P36">
        <f t="shared" si="14"/>
        <v>8.34375</v>
      </c>
      <c r="Q36">
        <f t="shared" si="14"/>
        <v>6.1875</v>
      </c>
      <c r="R36">
        <f t="shared" si="14"/>
        <v>1.28125</v>
      </c>
      <c r="S36">
        <f t="shared" si="14"/>
        <v>0.875</v>
      </c>
      <c r="T36">
        <f t="shared" si="14"/>
        <v>8.34375</v>
      </c>
      <c r="U36">
        <f t="shared" si="14"/>
        <v>6.1875</v>
      </c>
      <c r="V36">
        <f t="shared" si="14"/>
        <v>1.28125</v>
      </c>
      <c r="W36">
        <f t="shared" si="14"/>
        <v>0.875</v>
      </c>
      <c r="X36">
        <f t="shared" si="14"/>
        <v>7.84375</v>
      </c>
      <c r="Y36">
        <f t="shared" si="14"/>
        <v>5.625</v>
      </c>
      <c r="Z36">
        <f t="shared" si="14"/>
        <v>1.5</v>
      </c>
      <c r="AA36">
        <f t="shared" si="14"/>
        <v>0.71875</v>
      </c>
      <c r="AC36">
        <f t="shared" si="14"/>
        <v>16.1875</v>
      </c>
      <c r="AD36">
        <f t="shared" si="14"/>
        <v>16.1875</v>
      </c>
      <c r="AE36">
        <f t="shared" si="14"/>
        <v>11.8125</v>
      </c>
      <c r="AF36">
        <f t="shared" si="14"/>
        <v>11.8125</v>
      </c>
      <c r="AG36">
        <f t="shared" si="14"/>
        <v>2.78125</v>
      </c>
      <c r="AH36">
        <f t="shared" si="14"/>
        <v>2.78125</v>
      </c>
      <c r="AI36">
        <f t="shared" si="14"/>
        <v>1.59375</v>
      </c>
      <c r="AJ36">
        <f t="shared" si="14"/>
        <v>1.59375</v>
      </c>
      <c r="AO36">
        <f t="shared" si="14"/>
        <v>36.75</v>
      </c>
      <c r="AP36">
        <f t="shared" si="14"/>
        <v>48.5625</v>
      </c>
      <c r="AQ36">
        <f t="shared" si="14"/>
        <v>0.5675528166957764</v>
      </c>
      <c r="AR36">
        <f t="shared" si="14"/>
        <v>0.49983078756612631</v>
      </c>
      <c r="AS36">
        <f t="shared" si="14"/>
        <v>136</v>
      </c>
      <c r="AT36">
        <f t="shared" si="14"/>
        <v>197.4375</v>
      </c>
      <c r="AU36">
        <f t="shared" si="14"/>
        <v>93.078661938107359</v>
      </c>
      <c r="AV36">
        <f t="shared" si="14"/>
        <v>122.95837374126705</v>
      </c>
      <c r="AX36">
        <f t="shared" si="14"/>
        <v>0.90625</v>
      </c>
      <c r="AY36">
        <f t="shared" si="14"/>
        <v>49.1875</v>
      </c>
      <c r="AZ36">
        <f t="shared" si="14"/>
        <v>50.1875</v>
      </c>
      <c r="BA36">
        <f t="shared" si="14"/>
        <v>-1</v>
      </c>
      <c r="BB36">
        <f t="shared" si="14"/>
        <v>0.625</v>
      </c>
      <c r="BC36">
        <f t="shared" si="14"/>
        <v>50.1875</v>
      </c>
      <c r="BD36">
        <f t="shared" si="14"/>
        <v>49.1875</v>
      </c>
      <c r="BE36">
        <f t="shared" si="14"/>
        <v>1</v>
      </c>
      <c r="BF36">
        <f t="shared" si="14"/>
        <v>99.375</v>
      </c>
      <c r="BG36">
        <f t="shared" si="14"/>
        <v>99.375</v>
      </c>
      <c r="BH36">
        <f t="shared" si="14"/>
        <v>0</v>
      </c>
      <c r="BI36">
        <f t="shared" si="14"/>
        <v>3.0694597892767814</v>
      </c>
      <c r="BJ36">
        <f t="shared" si="14"/>
        <v>3.0701274298667411</v>
      </c>
      <c r="BK36">
        <f t="shared" si="14"/>
        <v>-6.6764058996032424E-4</v>
      </c>
      <c r="BL36" t="e">
        <f t="shared" si="14"/>
        <v>#DIV/0!</v>
      </c>
      <c r="BM36" t="e">
        <f t="shared" si="14"/>
        <v>#DIV/0!</v>
      </c>
      <c r="BN36">
        <f t="shared" si="14"/>
        <v>0.58287181648975395</v>
      </c>
      <c r="BO36">
        <f t="shared" si="14"/>
        <v>0.55094677947933557</v>
      </c>
      <c r="BP36">
        <f t="shared" si="14"/>
        <v>37.793749999999989</v>
      </c>
      <c r="BQ36">
        <f t="shared" si="14"/>
        <v>101.77141443129811</v>
      </c>
      <c r="BR36">
        <f t="shared" si="14"/>
        <v>31.093750000000007</v>
      </c>
      <c r="BS36">
        <f t="shared" si="14"/>
        <v>0.96007411958322542</v>
      </c>
      <c r="BT36">
        <f t="shared" si="14"/>
        <v>7.15625</v>
      </c>
      <c r="BU36">
        <f t="shared" si="14"/>
        <v>9.03125</v>
      </c>
      <c r="BV36">
        <f t="shared" si="14"/>
        <v>16.1875</v>
      </c>
      <c r="BW36">
        <f t="shared" si="14"/>
        <v>9.03125</v>
      </c>
      <c r="BX36">
        <f t="shared" si="14"/>
        <v>7.15625</v>
      </c>
      <c r="BY36">
        <f t="shared" si="14"/>
        <v>16.1875</v>
      </c>
      <c r="BZ36">
        <f t="shared" si="14"/>
        <v>0.49986510847924204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24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9" x14ac:dyDescent="0.25">
      <c r="A37" t="s">
        <v>468</v>
      </c>
      <c r="D37">
        <f>_xlfn.STDEV.P(D$2:D$33)</f>
        <v>2.6033331999573162</v>
      </c>
      <c r="E37">
        <f t="shared" ref="E37:CA37" si="15">_xlfn.STDEV.P(E$2:E$33)</f>
        <v>7.7547194630784355E-2</v>
      </c>
      <c r="F37">
        <f t="shared" si="15"/>
        <v>1.8445443204217133</v>
      </c>
      <c r="G37">
        <f t="shared" si="15"/>
        <v>1.8445443204217133</v>
      </c>
      <c r="H37">
        <f t="shared" si="15"/>
        <v>1.4882351124738322</v>
      </c>
      <c r="I37">
        <f t="shared" si="15"/>
        <v>1.4882351124738322</v>
      </c>
      <c r="J37">
        <f t="shared" si="15"/>
        <v>0.96014321848357598</v>
      </c>
      <c r="K37">
        <f t="shared" si="15"/>
        <v>0.96014321848357598</v>
      </c>
      <c r="L37">
        <f t="shared" si="15"/>
        <v>1.8389768724755622</v>
      </c>
      <c r="M37">
        <f t="shared" si="15"/>
        <v>1.9960899278339139</v>
      </c>
      <c r="N37">
        <f t="shared" si="15"/>
        <v>1.1989578808281798</v>
      </c>
      <c r="O37">
        <f t="shared" si="15"/>
        <v>0.83794297986199517</v>
      </c>
      <c r="P37">
        <f t="shared" si="15"/>
        <v>1.9463005773775026</v>
      </c>
      <c r="Q37">
        <f t="shared" si="15"/>
        <v>2.4294739656971012</v>
      </c>
      <c r="R37">
        <f t="shared" si="15"/>
        <v>1.0964252995530521</v>
      </c>
      <c r="S37">
        <f t="shared" si="15"/>
        <v>1.0231690964840563</v>
      </c>
      <c r="T37">
        <f t="shared" si="15"/>
        <v>2.2024045807934565</v>
      </c>
      <c r="U37">
        <f t="shared" si="15"/>
        <v>2.0377300483626382</v>
      </c>
      <c r="V37">
        <f t="shared" si="15"/>
        <v>1.1245658884654113</v>
      </c>
      <c r="W37">
        <f t="shared" si="15"/>
        <v>0.92702481088695787</v>
      </c>
      <c r="X37">
        <f t="shared" si="15"/>
        <v>2.0632101050305081</v>
      </c>
      <c r="Y37">
        <f t="shared" si="15"/>
        <v>1.8666480653835098</v>
      </c>
      <c r="Z37">
        <f t="shared" si="15"/>
        <v>1.0897247358851685</v>
      </c>
      <c r="AA37">
        <f t="shared" si="15"/>
        <v>0.71739001770306232</v>
      </c>
      <c r="AC37">
        <f t="shared" si="15"/>
        <v>2.8878787630369804</v>
      </c>
      <c r="AD37">
        <f t="shared" si="15"/>
        <v>2.6976552318634046</v>
      </c>
      <c r="AE37">
        <f t="shared" si="15"/>
        <v>3.076498618559742</v>
      </c>
      <c r="AF37">
        <f t="shared" si="15"/>
        <v>3.1567140747935976</v>
      </c>
      <c r="AG37">
        <f t="shared" si="15"/>
        <v>1.5758802103903711</v>
      </c>
      <c r="AH37">
        <f t="shared" si="15"/>
        <v>1.5955871764024678</v>
      </c>
      <c r="AI37">
        <f t="shared" si="15"/>
        <v>1.3430230591840187</v>
      </c>
      <c r="AJ37">
        <f t="shared" si="15"/>
        <v>1.4760457098274429</v>
      </c>
      <c r="AO37">
        <f t="shared" si="15"/>
        <v>5.4715171570598224</v>
      </c>
      <c r="AP37">
        <f t="shared" si="15"/>
        <v>8.0929656955902143</v>
      </c>
      <c r="AQ37">
        <f t="shared" si="15"/>
        <v>8.2726769134496753E-2</v>
      </c>
      <c r="AR37">
        <f t="shared" si="15"/>
        <v>8.1127840413291061E-2</v>
      </c>
      <c r="AS37">
        <f t="shared" si="15"/>
        <v>5.4198708471697001</v>
      </c>
      <c r="AT37">
        <f t="shared" si="15"/>
        <v>7.9054470936184247</v>
      </c>
      <c r="AU37">
        <f t="shared" si="15"/>
        <v>13.567190138057285</v>
      </c>
      <c r="AV37">
        <f t="shared" si="15"/>
        <v>19.957448741669701</v>
      </c>
      <c r="AX37">
        <f t="shared" si="15"/>
        <v>1.0111681054602148</v>
      </c>
      <c r="AY37">
        <f t="shared" si="15"/>
        <v>7.384263250318206</v>
      </c>
      <c r="AZ37">
        <f t="shared" si="15"/>
        <v>9.3556049376830792</v>
      </c>
      <c r="BA37">
        <f t="shared" si="15"/>
        <v>10.301698889018258</v>
      </c>
      <c r="BB37">
        <f t="shared" si="15"/>
        <v>0.69597054535375269</v>
      </c>
      <c r="BC37">
        <f t="shared" si="15"/>
        <v>9.0706859580739536</v>
      </c>
      <c r="BD37">
        <f t="shared" si="15"/>
        <v>8.4129271808330781</v>
      </c>
      <c r="BE37">
        <f t="shared" si="15"/>
        <v>11.101801655587259</v>
      </c>
      <c r="BF37">
        <f t="shared" si="15"/>
        <v>10.641164175032729</v>
      </c>
      <c r="BG37">
        <f t="shared" si="15"/>
        <v>10.740548170368214</v>
      </c>
      <c r="BH37">
        <f t="shared" si="15"/>
        <v>16.280740155164935</v>
      </c>
      <c r="BI37">
        <f t="shared" si="15"/>
        <v>0.31696538677529107</v>
      </c>
      <c r="BJ37">
        <f t="shared" si="15"/>
        <v>0.32349864401611333</v>
      </c>
      <c r="BK37">
        <f t="shared" si="15"/>
        <v>0.50198020570649737</v>
      </c>
      <c r="BL37" t="e">
        <f t="shared" si="15"/>
        <v>#DIV/0!</v>
      </c>
      <c r="BM37" t="e">
        <f t="shared" si="15"/>
        <v>#DIV/0!</v>
      </c>
      <c r="BN37">
        <f t="shared" si="15"/>
        <v>0.11592331750536537</v>
      </c>
      <c r="BO37">
        <f t="shared" si="15"/>
        <v>0.113362280045698</v>
      </c>
      <c r="BP37">
        <f t="shared" si="15"/>
        <v>2.2317226390167746</v>
      </c>
      <c r="BQ37">
        <f t="shared" si="15"/>
        <v>6.1375029653959814</v>
      </c>
      <c r="BR37">
        <f t="shared" si="15"/>
        <v>5.6713334796588635</v>
      </c>
      <c r="BS37">
        <f t="shared" si="15"/>
        <v>0.1710322521124035</v>
      </c>
      <c r="BT37">
        <f t="shared" si="15"/>
        <v>3.5978237779941362</v>
      </c>
      <c r="BU37">
        <f t="shared" si="15"/>
        <v>3.4953931735213994</v>
      </c>
      <c r="BV37">
        <f t="shared" si="15"/>
        <v>6.1208531880776231</v>
      </c>
      <c r="BW37">
        <f t="shared" si="15"/>
        <v>3.2738010687120256</v>
      </c>
      <c r="BX37">
        <f t="shared" si="15"/>
        <v>3.5978237779941362</v>
      </c>
      <c r="BY37">
        <f t="shared" si="15"/>
        <v>6.1055174842104911</v>
      </c>
      <c r="BZ37">
        <f t="shared" si="15"/>
        <v>0.18831958011818764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9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9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9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9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9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9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9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9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9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5.4</v>
      </c>
      <c r="DP46" s="131">
        <f>ABS(DP32*DB18)</f>
        <v>4.1999999999999993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9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2.8499999999999996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12.349999999999998</v>
      </c>
      <c r="DO47" s="131">
        <f t="shared" si="19"/>
        <v>8.25</v>
      </c>
      <c r="DP47" s="131">
        <f t="shared" si="19"/>
        <v>16.150000000000002</v>
      </c>
      <c r="DQ47" s="131">
        <f t="shared" si="19"/>
        <v>7.6</v>
      </c>
      <c r="DR47" s="131">
        <f t="shared" si="19"/>
        <v>3.1500000000000004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9" x14ac:dyDescent="0.25">
      <c r="CR48" t="str">
        <v/>
      </c>
      <c r="CV48" s="85"/>
      <c r="CW48" s="57">
        <v>2</v>
      </c>
      <c r="CX48" s="131">
        <f t="shared" ref="CX48:DH48" si="20">ABS(CX34*CX20)</f>
        <v>1.6</v>
      </c>
      <c r="CY48" s="131">
        <f t="shared" si="20"/>
        <v>1.8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34.200000000000003</v>
      </c>
      <c r="DP48" s="131">
        <f t="shared" si="21"/>
        <v>12</v>
      </c>
      <c r="DQ48" s="131">
        <f t="shared" si="21"/>
        <v>18.700000000000003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1.1499999999999999</v>
      </c>
      <c r="DA49" s="127"/>
      <c r="DB49" s="131">
        <f t="shared" si="22"/>
        <v>4.5999999999999996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4.75</v>
      </c>
      <c r="DM49" s="131">
        <f t="shared" si="23"/>
        <v>12.599999999999998</v>
      </c>
      <c r="DN49" s="131">
        <f t="shared" si="23"/>
        <v>48.3</v>
      </c>
      <c r="DO49" s="127"/>
      <c r="DP49" s="131">
        <f t="shared" si="23"/>
        <v>47.15</v>
      </c>
      <c r="DQ49" s="131">
        <f t="shared" si="23"/>
        <v>11.25</v>
      </c>
      <c r="DR49" s="131">
        <f t="shared" si="23"/>
        <v>10.8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1.2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28.799999999999997</v>
      </c>
      <c r="DN50" s="131">
        <f t="shared" si="25"/>
        <v>14.3</v>
      </c>
      <c r="DO50" s="131">
        <f t="shared" si="25"/>
        <v>54.599999999999994</v>
      </c>
      <c r="DP50" s="127"/>
      <c r="DQ50" s="131">
        <f t="shared" si="25"/>
        <v>19.600000000000001</v>
      </c>
      <c r="DR50" s="131">
        <f t="shared" si="25"/>
        <v>0</v>
      </c>
      <c r="DS50" s="131">
        <f t="shared" si="25"/>
        <v>1.6</v>
      </c>
      <c r="DT50" s="131">
        <f t="shared" si="25"/>
        <v>3.4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1.45</v>
      </c>
      <c r="DA51" s="131">
        <f t="shared" si="26"/>
        <v>1.55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20.25</v>
      </c>
      <c r="DN51" s="131">
        <f t="shared" si="27"/>
        <v>24.65</v>
      </c>
      <c r="DO51" s="131">
        <f t="shared" si="27"/>
        <v>15.5</v>
      </c>
      <c r="DP51" s="131">
        <f t="shared" si="27"/>
        <v>13.2</v>
      </c>
      <c r="DQ51" s="127"/>
      <c r="DR51" s="131">
        <f t="shared" si="27"/>
        <v>6.6000000000000005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9.6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7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34.800000000000004</v>
      </c>
      <c r="DW57" s="88">
        <f>SUM(DL46:DV56)</f>
        <v>607.09999999999991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8" priority="8">
      <formula>LEN(TRIM(CC2))=0</formula>
    </cfRule>
  </conditionalFormatting>
  <conditionalFormatting sqref="CD2:CD33">
    <cfRule type="containsBlanks" dxfId="17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T2" sqref="T2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.28515625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41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38</v>
      </c>
      <c r="E3" s="62">
        <f>INDEX(Table3[PTS], MATCH(Table6[[#This Row],[Teams]], Table3[Teams],0))</f>
        <v>38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36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41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2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53</v>
      </c>
      <c r="E9" s="62">
        <f>INDEX(Table3[PTS], MATCH(Table6[[#This Row],[Teams]], Table3[Teams],0))</f>
        <v>53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49</v>
      </c>
      <c r="E10" s="62">
        <f>INDEX(Table3[PTS], MATCH(Table6[[#This Row],[Teams]], Table3[Teams],0))</f>
        <v>49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39</v>
      </c>
      <c r="E11" s="62">
        <f>INDEX(Table3[PTS], MATCH(Table6[[#This Row],[Teams]], Table3[Teams],0))</f>
        <v>39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36</v>
      </c>
      <c r="E12" s="62">
        <f>INDEX(Table3[PTS], MATCH(Table6[[#This Row],[Teams]], Table3[Teams],0))</f>
        <v>36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1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36</v>
      </c>
      <c r="E13" s="62">
        <f>INDEX(Table3[PTS], MATCH(Table6[[#This Row],[Teams]], Table3[Teams],0))</f>
        <v>36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3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53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43</v>
      </c>
      <c r="E15" s="62">
        <f>INDEX(Table3[PTS], MATCH(Table6[[#This Row],[Teams]], Table3[Teams],0))</f>
        <v>43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30</v>
      </c>
      <c r="E18" s="62">
        <f>INDEX(Table3[PTS], MATCH(Table6[[#This Row],[Teams]], Table3[Teams],0))</f>
        <v>30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30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4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34</v>
      </c>
      <c r="E21" s="62">
        <f>INDEX(Table3[PTS], MATCH(Table6[[#This Row],[Teams]], Table3[Teams],0))</f>
        <v>34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37</v>
      </c>
      <c r="E22" s="62">
        <f>INDEX(Table3[PTS], MATCH(Table6[[#This Row],[Teams]], Table3[Teams],0))</f>
        <v>37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35</v>
      </c>
      <c r="E25" s="62">
        <f>INDEX(Table3[PTS], MATCH(Table6[[#This Row],[Teams]], Table3[Teams],0))</f>
        <v>35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33</v>
      </c>
      <c r="E28" s="62">
        <f>INDEX(Table3[PTS], MATCH(Table6[[#This Row],[Teams]], Table3[Teams],0))</f>
        <v>33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37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27</v>
      </c>
      <c r="E30" s="62">
        <f>INDEX(Table3[PTS], MATCH(Table6[[#This Row],[Teams]], Table3[Teams],0))</f>
        <v>27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32</v>
      </c>
      <c r="E32" s="62">
        <f>INDEX(Table3[PTS], MATCH(Table6[[#This Row],[Teams]], Table3[Teams],0))</f>
        <v>32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36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2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2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39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38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39</v>
      </c>
    </row>
    <row r="42" spans="1:53" x14ac:dyDescent="0.25">
      <c r="U42" cm="1">
        <f t="array" ref="U42">SMALL(U35:U39 + U25:U29,5)</f>
        <v>79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6" priority="4" rank="3"/>
  </conditionalFormatting>
  <conditionalFormatting sqref="U12:U19">
    <cfRule type="top10" dxfId="15" priority="3" rank="3"/>
  </conditionalFormatting>
  <conditionalFormatting sqref="U22:U29">
    <cfRule type="top10" dxfId="14" priority="2" rank="3"/>
  </conditionalFormatting>
  <conditionalFormatting sqref="U32:U39">
    <cfRule type="top10" dxfId="1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18</v>
      </c>
      <c r="BP3" s="177">
        <f>BO3+BO4</f>
        <v>33</v>
      </c>
      <c r="BQ3" s="173">
        <f>82-BP3</f>
        <v>49</v>
      </c>
    </row>
    <row r="4" spans="1:69" ht="12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19</v>
      </c>
      <c r="BP5" s="177">
        <f t="shared" ref="BP5" si="1">BO5+BO6</f>
        <v>33</v>
      </c>
      <c r="BQ5" s="173">
        <f t="shared" ref="BQ5" si="2">82-BP5</f>
        <v>49</v>
      </c>
    </row>
    <row r="6" spans="1:69" ht="12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7"/>
      <c r="BQ6" s="173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19</v>
      </c>
      <c r="BP7" s="177">
        <f t="shared" ref="BP7" si="3">BO7+BO8</f>
        <v>33</v>
      </c>
      <c r="BQ7" s="173">
        <f t="shared" ref="BQ7" si="4">82-BP7</f>
        <v>49</v>
      </c>
    </row>
    <row r="8" spans="1:69" ht="12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7"/>
      <c r="BQ8" s="173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18</v>
      </c>
      <c r="BP9" s="177">
        <f t="shared" ref="BP9" si="5">BO9+BO10</f>
        <v>32</v>
      </c>
      <c r="BQ9" s="173">
        <f t="shared" ref="BQ9" si="6">82-BP9</f>
        <v>50</v>
      </c>
    </row>
    <row r="10" spans="1:69" ht="12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7"/>
      <c r="BQ10" s="173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7">
        <f t="shared" ref="BP11" si="7">BO11+BO12</f>
        <v>30</v>
      </c>
      <c r="BQ11" s="173">
        <f t="shared" ref="BQ11" si="8">82-BP11</f>
        <v>52</v>
      </c>
    </row>
    <row r="12" spans="1:69" ht="12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16</v>
      </c>
      <c r="BP12" s="177"/>
      <c r="BQ12" s="173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7">
        <f t="shared" ref="BP13" si="9">BO13+BO14</f>
        <v>33</v>
      </c>
      <c r="BQ13" s="173">
        <f t="shared" ref="BQ13" si="10">82-BP13</f>
        <v>49</v>
      </c>
    </row>
    <row r="14" spans="1:69" ht="12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7"/>
      <c r="BQ14" s="173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17</v>
      </c>
      <c r="BP15" s="177">
        <f t="shared" ref="BP15" si="11">BO15+BO16</f>
        <v>32</v>
      </c>
      <c r="BQ15" s="173">
        <f t="shared" ref="BQ15" si="12">82-BP15</f>
        <v>50</v>
      </c>
    </row>
    <row r="16" spans="1:69" ht="12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7"/>
      <c r="BQ16" s="173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7">
        <f t="shared" ref="BP17" si="13">BO17+BO18</f>
        <v>31</v>
      </c>
      <c r="BQ17" s="173">
        <f t="shared" ref="BQ17" si="14">82-BP17</f>
        <v>51</v>
      </c>
    </row>
    <row r="18" spans="1:69" ht="12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7"/>
      <c r="BQ18" s="173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16</v>
      </c>
      <c r="BP19" s="177">
        <f t="shared" ref="BP19" si="15">BO19+BO20</f>
        <v>32</v>
      </c>
      <c r="BQ19" s="173">
        <f t="shared" ref="BQ19" si="16">82-BP19</f>
        <v>50</v>
      </c>
    </row>
    <row r="20" spans="1:69" ht="12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7"/>
      <c r="BQ20" s="173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7">
        <f t="shared" ref="BP21" si="17">BO21+BO22</f>
        <v>32</v>
      </c>
      <c r="BQ21" s="173">
        <f t="shared" ref="BQ21" si="18">82-BP21</f>
        <v>50</v>
      </c>
    </row>
    <row r="22" spans="1:69" ht="12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7"/>
      <c r="BQ22" s="173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7">
        <f t="shared" ref="BP23" si="19">BO23+BO24</f>
        <v>34</v>
      </c>
      <c r="BQ23" s="173">
        <f t="shared" ref="BQ23" si="20">82-BP23</f>
        <v>48</v>
      </c>
    </row>
    <row r="24" spans="1:69" ht="12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17</v>
      </c>
      <c r="BP24" s="177"/>
      <c r="BQ24" s="173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7">
        <f t="shared" ref="BP25" si="21">BO25+BO26</f>
        <v>33</v>
      </c>
      <c r="BQ25" s="173">
        <f t="shared" ref="BQ25" si="22">82-BP25</f>
        <v>49</v>
      </c>
    </row>
    <row r="26" spans="1:69" ht="12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18</v>
      </c>
      <c r="BP26" s="177"/>
      <c r="BQ26" s="173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14</v>
      </c>
      <c r="BP27" s="177">
        <f t="shared" ref="BP27" si="23">BO27+BO28</f>
        <v>32</v>
      </c>
      <c r="BQ27" s="173">
        <f t="shared" ref="BQ27" si="24">82-BP27</f>
        <v>50</v>
      </c>
    </row>
    <row r="28" spans="1:69" ht="12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7"/>
      <c r="BQ28" s="173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7">
        <f t="shared" ref="BP29" si="25">BO29+BO30</f>
        <v>34</v>
      </c>
      <c r="BQ29" s="173">
        <f t="shared" ref="BQ29" si="26">82-BP29</f>
        <v>48</v>
      </c>
    </row>
    <row r="30" spans="1:69" ht="12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18</v>
      </c>
      <c r="BP30" s="177"/>
      <c r="BQ30" s="173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20</v>
      </c>
      <c r="BP31" s="177">
        <f t="shared" ref="BP31" si="27">BO31+BO32</f>
        <v>34</v>
      </c>
      <c r="BQ31" s="173">
        <f t="shared" ref="BQ31" si="28">82-BP31</f>
        <v>48</v>
      </c>
    </row>
    <row r="32" spans="1:69" ht="12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7"/>
      <c r="BQ32" s="173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7">
        <f t="shared" ref="BP33" si="29">BO33+BO34</f>
        <v>32</v>
      </c>
      <c r="BQ33" s="173">
        <f t="shared" ref="BQ33" si="30">82-BP33</f>
        <v>50</v>
      </c>
    </row>
    <row r="34" spans="1:69" ht="12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16</v>
      </c>
      <c r="BP34" s="177"/>
      <c r="BQ34" s="173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7">
        <f t="shared" ref="BP35" si="31">BO35+BO36</f>
        <v>32</v>
      </c>
      <c r="BQ35" s="173">
        <f t="shared" ref="BQ35" si="32">82-BP35</f>
        <v>50</v>
      </c>
    </row>
    <row r="36" spans="1:69" ht="12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7"/>
      <c r="BQ36" s="173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7">
        <f t="shared" ref="BP37" si="33">BO37+BO38</f>
        <v>32</v>
      </c>
      <c r="BQ37" s="173">
        <f t="shared" ref="BQ37" si="34">82-BP37</f>
        <v>50</v>
      </c>
    </row>
    <row r="38" spans="1:69" ht="12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14</v>
      </c>
      <c r="BP38" s="177"/>
      <c r="BQ38" s="173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7">
        <f t="shared" ref="BP39" si="35">BO39+BO40</f>
        <v>33</v>
      </c>
      <c r="BQ39" s="173">
        <f t="shared" ref="BQ39" si="36">82-BP39</f>
        <v>49</v>
      </c>
    </row>
    <row r="40" spans="1:69" ht="12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7"/>
      <c r="BQ40" s="173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7">
        <f t="shared" ref="BP41" si="37">BO41+BO42</f>
        <v>33</v>
      </c>
      <c r="BQ41" s="173">
        <f t="shared" ref="BQ41" si="38">82-BP41</f>
        <v>49</v>
      </c>
    </row>
    <row r="42" spans="1:69" ht="12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7"/>
      <c r="BQ42" s="173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7">
        <f t="shared" ref="BP43" si="39">BO43+BO44</f>
        <v>34</v>
      </c>
      <c r="BQ43" s="173">
        <f t="shared" ref="BQ43" si="40">82-BP43</f>
        <v>48</v>
      </c>
    </row>
    <row r="44" spans="1:69" ht="12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16</v>
      </c>
      <c r="BP44" s="177"/>
      <c r="BQ44" s="173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12</v>
      </c>
      <c r="BP45" s="177">
        <f t="shared" ref="BP45" si="41">BO45+BO46</f>
        <v>31</v>
      </c>
      <c r="BQ45" s="173">
        <f t="shared" ref="BQ45" si="42">82-BP45</f>
        <v>51</v>
      </c>
    </row>
    <row r="46" spans="1:69" ht="12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7"/>
      <c r="BQ46" s="173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7">
        <f t="shared" ref="BP47" si="43">BO47+BO48</f>
        <v>31</v>
      </c>
      <c r="BQ47" s="173">
        <f t="shared" ref="BQ47" si="44">82-BP47</f>
        <v>51</v>
      </c>
    </row>
    <row r="48" spans="1:69" ht="12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16</v>
      </c>
      <c r="BP48" s="177"/>
      <c r="BQ48" s="173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15</v>
      </c>
      <c r="BP49" s="177">
        <f t="shared" ref="BP49" si="45">BO49+BO50</f>
        <v>32</v>
      </c>
      <c r="BQ49" s="173">
        <f t="shared" ref="BQ49" si="46">82-BP49</f>
        <v>50</v>
      </c>
    </row>
    <row r="50" spans="1:69" ht="12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7"/>
      <c r="BQ50" s="173"/>
    </row>
    <row r="51" spans="1:69" ht="12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7">
        <f t="shared" ref="BP51" si="47">BO51+BO52</f>
        <v>33</v>
      </c>
      <c r="BQ51" s="173">
        <f t="shared" ref="BQ51" si="48">82-BP51</f>
        <v>49</v>
      </c>
    </row>
    <row r="52" spans="1:69" ht="12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7"/>
      <c r="BQ52" s="173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7">
        <f t="shared" ref="BP53" si="49">BO53+BO54</f>
        <v>32</v>
      </c>
      <c r="BQ53" s="173">
        <f t="shared" ref="BQ53" si="50">82-BP53</f>
        <v>50</v>
      </c>
    </row>
    <row r="54" spans="1:69" ht="12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7">
        <f t="shared" ref="BP55" si="51">BO55+BO56</f>
        <v>33</v>
      </c>
      <c r="BQ55" s="173">
        <f t="shared" ref="BQ55" si="52">82-BP55</f>
        <v>49</v>
      </c>
    </row>
    <row r="56" spans="1:69" ht="12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7"/>
      <c r="BQ56" s="173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14</v>
      </c>
      <c r="BP57" s="177">
        <f t="shared" ref="BP57" si="53">BO57+BO58</f>
        <v>32</v>
      </c>
      <c r="BQ57" s="173">
        <f t="shared" ref="BQ57" si="54">82-BP57</f>
        <v>50</v>
      </c>
    </row>
    <row r="58" spans="1:69" ht="12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7"/>
      <c r="BQ58" s="173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7">
        <f t="shared" ref="BP59" si="55">BO59+BO60</f>
        <v>32</v>
      </c>
      <c r="BQ59" s="173">
        <f t="shared" ref="BQ59" si="56">82-BP59</f>
        <v>50</v>
      </c>
    </row>
    <row r="60" spans="1:69" ht="12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17</v>
      </c>
      <c r="BP60" s="177"/>
      <c r="BQ60" s="173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18</v>
      </c>
      <c r="BP61" s="177">
        <f t="shared" ref="BP61" si="57">BO61+BO62</f>
        <v>32</v>
      </c>
      <c r="BQ61" s="173">
        <f t="shared" ref="BQ61" si="58">82-BP61</f>
        <v>50</v>
      </c>
    </row>
    <row r="62" spans="1:69" ht="12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7"/>
      <c r="BQ62" s="173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7">
        <f t="shared" ref="BP63" si="59">BO63+BO64</f>
        <v>33</v>
      </c>
      <c r="BQ63" s="173">
        <f t="shared" ref="BQ63" si="60">82-BP63</f>
        <v>49</v>
      </c>
    </row>
    <row r="64" spans="1:69" ht="12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16</v>
      </c>
      <c r="BP64" s="177"/>
      <c r="BQ64" s="173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7">
        <f t="shared" ref="BP65" si="61">BO65+BO66</f>
        <v>31</v>
      </c>
      <c r="BQ65" s="173">
        <f t="shared" ref="BQ65" si="62">82-BP65</f>
        <v>51</v>
      </c>
    </row>
    <row r="66" spans="1:69" ht="12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19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69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1-0-0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1-1-0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1-0-1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2-0-0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0-2-0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0-0-1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0-1-0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1-1-0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1-0-0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1-1-0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>1</v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0.47727272727272729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0.4236111111111111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0.5178571428571429</v>
      </c>
      <c r="AI39" s="101">
        <f t="shared" si="1"/>
        <v>0.45</v>
      </c>
      <c r="AJ39" s="103">
        <f t="shared" si="2"/>
        <v>0.6071428571428571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0.5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0.61904761904761918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0.61458333333333326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0.50757575757575757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0.54166666666666663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0.39393939393939398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0.54545454545454541</v>
      </c>
      <c r="AI43" s="101">
        <f t="shared" si="1"/>
        <v>0.5</v>
      </c>
      <c r="AJ43" s="103">
        <f t="shared" si="2"/>
        <v>0.5</v>
      </c>
      <c r="AK43" s="103">
        <f t="shared" si="3"/>
        <v>0.58333333333333337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0.47499999999999998</v>
      </c>
      <c r="AI45" s="101">
        <f t="shared" si="1"/>
        <v>0.46794871794871795</v>
      </c>
      <c r="AJ45" s="103">
        <f t="shared" si="2"/>
        <v>0.46875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0.71969696969696972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0.6</v>
      </c>
      <c r="AJ48" s="103">
        <f t="shared" si="2"/>
        <v>0.5</v>
      </c>
      <c r="AK48" s="103">
        <f t="shared" si="3"/>
        <v>0.5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0.75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0.53030303030303039</v>
      </c>
      <c r="AJ49" s="103">
        <f t="shared" si="2"/>
        <v>0.625</v>
      </c>
      <c r="AK49" s="103">
        <f t="shared" si="3"/>
        <v>0.2</v>
      </c>
      <c r="AL49" s="103">
        <f t="shared" si="4"/>
        <v>0.54761904761904756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0.25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0.52083333333333337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0.45</v>
      </c>
      <c r="AI51" s="101">
        <f t="shared" si="1"/>
        <v>0.50555555555555565</v>
      </c>
      <c r="AJ51" s="103">
        <f t="shared" si="2"/>
        <v>0.35714285714285715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>0.5</v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0.52500000000000002</v>
      </c>
      <c r="AI52" s="102">
        <f t="shared" si="1"/>
        <v>0.44444444444444448</v>
      </c>
      <c r="AJ52" s="104">
        <f t="shared" si="2"/>
        <v>0.4375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0.45454545454545453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0.53472222222222221</v>
      </c>
      <c r="AI56" s="101">
        <f t="shared" si="1"/>
        <v>0.59090909090909094</v>
      </c>
      <c r="AJ56" s="103">
        <f t="shared" si="2"/>
        <v>0.54999999999999993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>0.5</v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0.44642857142857145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0.5714285714285714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0.5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0.3125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0.41666666666666669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0.75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0.44444444444444442</v>
      </c>
      <c r="AI64" s="101">
        <f t="shared" si="1"/>
        <v>0.54166666666666663</v>
      </c>
      <c r="AJ64" s="103">
        <f t="shared" si="2"/>
        <v>0.45833333333333331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>1</v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0.5178571428571429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0.35714285714285715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0.75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0.66666666666666663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0.44444444444444442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2" priority="1" operator="equal">
      <formula>"2-2-0"</formula>
    </cfRule>
    <cfRule type="cellIs" dxfId="11" priority="2" operator="equal">
      <formula>"1-1-0"</formula>
    </cfRule>
    <cfRule type="containsText" dxfId="10" priority="23" operator="containsText" text="0-1-0">
      <formula>NOT(ISERROR(SEARCH("0-1-0",B2)))</formula>
    </cfRule>
    <cfRule type="containsText" dxfId="9" priority="24" operator="containsText" text="0-2-0">
      <formula>NOT(ISERROR(SEARCH("0-2-0",B2)))</formula>
    </cfRule>
    <cfRule type="containsText" dxfId="8" priority="25" operator="containsText" text="0-3-0">
      <formula>NOT(ISERROR(SEARCH("0-3-0",B2)))</formula>
    </cfRule>
    <cfRule type="containsText" dxfId="7" priority="26" operator="containsText" text="0-4-0">
      <formula>NOT(ISERROR(SEARCH("0-4-0",B2)))</formula>
    </cfRule>
    <cfRule type="containsText" dxfId="6" priority="27" operator="containsText" text="1-0-0">
      <formula>NOT(ISERROR(SEARCH("1-0-0",B2)))</formula>
    </cfRule>
    <cfRule type="containsText" dxfId="5" priority="28" operator="containsText" text="2-0-0">
      <formula>NOT(ISERROR(SEARCH("2-0-0",B2)))</formula>
    </cfRule>
    <cfRule type="containsText" dxfId="4" priority="29" operator="containsText" text="3-0-0">
      <formula>NOT(ISERROR(SEARCH("3-0-0",B2)))</formula>
    </cfRule>
    <cfRule type="containsText" dxfId="3" priority="30" operator="containsText" text="4-0-0">
      <formula>NOT(ISERROR(SEARCH("4-0-0",B2)))</formula>
    </cfRule>
    <cfRule type="containsText" dxfId="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2025-12-16T05:28:26Z</dcterms:modified>
</cp:coreProperties>
</file>