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/>
  <c r="U24" s="1"/>
  <c r="X2"/>
  <c r="Q9"/>
  <c r="R9"/>
  <c r="S9"/>
  <c r="T9"/>
  <c r="U9"/>
  <c r="V9"/>
  <c r="W9"/>
  <c r="P9"/>
  <c r="X9"/>
  <c r="X11"/>
  <c r="W11"/>
  <c r="V11"/>
  <c r="U11"/>
  <c r="T11"/>
  <c r="S11"/>
  <c r="R11"/>
  <c r="Q11"/>
  <c r="P11"/>
  <c r="W10"/>
  <c r="V10"/>
  <c r="U10"/>
  <c r="T10"/>
  <c r="S10"/>
  <c r="R10"/>
  <c r="Q10"/>
  <c r="P10"/>
  <c r="W8"/>
  <c r="V8"/>
  <c r="U8"/>
  <c r="T8"/>
  <c r="S8"/>
  <c r="R8"/>
  <c r="Q8"/>
  <c r="P8"/>
  <c r="W7"/>
  <c r="V7"/>
  <c r="U7"/>
  <c r="T7"/>
  <c r="S7"/>
  <c r="R7"/>
  <c r="Q7"/>
  <c r="P7"/>
  <c r="W6"/>
  <c r="V6"/>
  <c r="U6"/>
  <c r="T6"/>
  <c r="S6"/>
  <c r="R6"/>
  <c r="Q6"/>
  <c r="P6"/>
  <c r="W5"/>
  <c r="V5"/>
  <c r="U5"/>
  <c r="T5"/>
  <c r="S5"/>
  <c r="R5"/>
  <c r="Q5"/>
  <c r="P5"/>
  <c r="W4"/>
  <c r="V4"/>
  <c r="U4"/>
  <c r="T4"/>
  <c r="S4"/>
  <c r="R4"/>
  <c r="Q4"/>
  <c r="P4"/>
  <c r="W3"/>
  <c r="V3"/>
  <c r="U3"/>
  <c r="T3"/>
  <c r="S3"/>
  <c r="Q3"/>
  <c r="R3"/>
  <c r="P3"/>
  <c r="P12" s="1"/>
  <c r="P15" s="1"/>
  <c r="P13" l="1"/>
  <c r="P14"/>
  <c r="O22"/>
  <c r="Q12"/>
  <c r="Q13" s="1"/>
  <c r="R12"/>
  <c r="S12"/>
  <c r="S13" s="1"/>
  <c r="T12"/>
  <c r="T13" s="1"/>
  <c r="U12"/>
  <c r="V12"/>
  <c r="W12"/>
  <c r="V14" l="1"/>
  <c r="V15"/>
  <c r="W14"/>
  <c r="W15"/>
  <c r="U14"/>
  <c r="U15"/>
  <c r="Q15"/>
  <c r="Q14"/>
  <c r="R15"/>
  <c r="R14"/>
  <c r="S14"/>
  <c r="S15"/>
  <c r="T15"/>
  <c r="T14"/>
  <c r="V13"/>
  <c r="W13"/>
  <c r="U13"/>
  <c r="R13"/>
  <c r="W2" l="1"/>
  <c r="V2"/>
  <c r="U2"/>
  <c r="T2"/>
  <c r="S2"/>
  <c r="R2"/>
  <c r="Q2"/>
  <c r="X10"/>
  <c r="X8"/>
  <c r="X7"/>
  <c r="X6"/>
  <c r="X5"/>
  <c r="X4"/>
  <c r="X3"/>
  <c r="P2"/>
  <c r="L19"/>
  <c r="M18"/>
  <c r="Q21" l="1"/>
  <c r="Q22"/>
  <c r="P21"/>
  <c r="P22"/>
  <c r="X12"/>
  <c r="M19"/>
  <c r="R21" l="1"/>
  <c r="R22"/>
</calcChain>
</file>

<file path=xl/connections.xml><?xml version="1.0" encoding="utf-8"?>
<connections xmlns="http://schemas.openxmlformats.org/spreadsheetml/2006/main">
  <connection id="1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<sst xmlns="http://schemas.openxmlformats.org/spreadsheetml/2006/main" count="156" uniqueCount="59">
  <si>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</si>
  <si>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</si>
  <si>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</si>
  <si>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</si>
  <si>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</si>
  <si>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</si>
  <si>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</si>
  <si>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</si>
  <si>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</si>
  <si>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</si>
  <si>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</si>
  <si>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</si>
  <si>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</si>
  <si>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</si>
  <si>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</si>
  <si>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</si>
  <si>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</si>
  <si>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</si>
  <si>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</si>
  <si>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</si>
  <si>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</si>
  <si>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</si>
  <si>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</si>
  <si>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</si>
  <si>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</si>
  <si>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</si>
  <si>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</si>
  <si>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</si>
  <si>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</si>
  <si>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</si>
  <si>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</si>
  <si>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</si>
  <si>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</si>
  <si>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</si>
  <si>
    <t>SOLD</t>
  </si>
  <si>
    <t>Total $</t>
  </si>
  <si>
    <t>$ / Seat</t>
  </si>
  <si>
    <t>$ / Used Seat</t>
  </si>
  <si>
    <t>Value Used</t>
  </si>
  <si>
    <t>Robert</t>
  </si>
  <si>
    <t>Hayley</t>
  </si>
  <si>
    <t>Column1</t>
  </si>
  <si>
    <t>All</t>
  </si>
  <si>
    <t>Empty</t>
  </si>
  <si>
    <t>% Sold</t>
  </si>
  <si>
    <t>% Used</t>
  </si>
  <si>
    <t>Total Seats</t>
  </si>
  <si>
    <t>Total Seats Unused</t>
  </si>
  <si>
    <t>Total Seats Available</t>
  </si>
  <si>
    <t>Total Games</t>
  </si>
  <si>
    <t>Total Seats Sold</t>
  </si>
  <si>
    <t>% Viewed</t>
  </si>
  <si>
    <t>Used by Us</t>
  </si>
  <si>
    <t>Used by All</t>
  </si>
  <si>
    <t>Value Returned</t>
  </si>
  <si>
    <t>Sell Price</t>
  </si>
  <si>
    <t>Value To Me</t>
  </si>
  <si>
    <t>Games</t>
  </si>
  <si>
    <t>Teams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</si>
</sst>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3" fillId="5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9" fontId="0" fillId="7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</cellXfs>
  <cellStyles count="1">
    <cellStyle name="Normal" xfId="0" builtinId="0"/>
  </cellStyles>
  <dxfs count="35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9393"/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9" totalsRowCount="1" dataDxfId="26">
  <autoFilter ref="A1:M18"/>
  <tableColumns count="13">
    <tableColumn id="1" name="WkDay" dataDxfId="25" totalsRowDxfId="12"/>
    <tableColumn id="2" name="Month" dataDxfId="24" totalsRowDxfId="11"/>
    <tableColumn id="3" name="Day" dataDxfId="23" totalsRowDxfId="10"/>
    <tableColumn id="4" name="Year" dataDxfId="22" totalsRowDxfId="9"/>
    <tableColumn id="5" name="Time" dataDxfId="21" totalsRowDxfId="8"/>
    <tableColumn id="6" name="Home" dataDxfId="20" totalsRowDxfId="7"/>
    <tableColumn id="7" name="Away" dataDxfId="19" totalsRowDxfId="6"/>
    <tableColumn id="13" name="Column1" dataDxfId="18" totalsRowDxfId="5"/>
    <tableColumn id="8" name="1" dataDxfId="17" totalsRowDxfId="4"/>
    <tableColumn id="9" name="2" dataDxfId="16" totalsRowDxfId="3"/>
    <tableColumn id="10" name="3" dataDxfId="15" totalsRowDxfId="2"/>
    <tableColumn id="11" name="4" totalsRowFunction="custom" dataDxfId="14" totalsRowDxfId="1">
      <totalsRowFormula>COUNTA(I2:K18)</totalsRowFormula>
    </tableColumn>
    <tableColumn id="12" name="5" totalsRowFunction="custom" dataDxfId="13" totalsRowDxfId="0">
      <totalsRowFormula>Table1[[#Totals],[4]]/M18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topLeftCell="I1" zoomScaleNormal="100" workbookViewId="0">
      <selection activeCell="X5" sqref="X5"/>
    </sheetView>
  </sheetViews>
  <sheetFormatPr defaultRowHeight="15.95" customHeight="1"/>
  <cols>
    <col min="1" max="1" width="9.5703125" bestFit="1" customWidth="1"/>
    <col min="2" max="2" width="9.28515625" bestFit="1" customWidth="1"/>
    <col min="3" max="3" width="6.5703125" bestFit="1" customWidth="1"/>
    <col min="4" max="4" width="7.28515625" bestFit="1" customWidth="1"/>
    <col min="5" max="5" width="7.7109375" bestFit="1" customWidth="1"/>
    <col min="6" max="7" width="13.140625" bestFit="1" customWidth="1"/>
    <col min="8" max="8" width="11.140625" hidden="1" customWidth="1"/>
    <col min="9" max="9" width="6.140625" bestFit="1" customWidth="1"/>
    <col min="10" max="11" width="7" bestFit="1" customWidth="1"/>
    <col min="12" max="12" width="4.28515625" bestFit="1" customWidth="1"/>
    <col min="13" max="13" width="12" bestFit="1" customWidth="1"/>
    <col min="14" max="14" width="5.42578125" customWidth="1"/>
    <col min="15" max="15" width="10.5703125" bestFit="1" customWidth="1"/>
    <col min="16" max="16" width="8.140625" bestFit="1" customWidth="1"/>
    <col min="17" max="17" width="12.5703125" customWidth="1"/>
    <col min="18" max="18" width="11.42578125" customWidth="1"/>
    <col min="19" max="19" width="15" bestFit="1" customWidth="1"/>
    <col min="20" max="20" width="9.140625" bestFit="1" customWidth="1"/>
    <col min="21" max="21" width="13.140625" bestFit="1" customWidth="1"/>
    <col min="22" max="22" width="7.5703125" customWidth="1"/>
    <col min="23" max="23" width="8.140625" customWidth="1"/>
    <col min="24" max="24" width="3.42578125" customWidth="1"/>
    <col min="25" max="25" width="19.5703125" bestFit="1" customWidth="1"/>
    <col min="26" max="26" width="9.140625" customWidth="1"/>
  </cols>
  <sheetData>
    <row r="1" spans="1:26" ht="15.95" customHeight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41</v>
      </c>
      <c r="I1" t="s">
        <v>22</v>
      </c>
      <c r="J1" t="s">
        <v>23</v>
      </c>
      <c r="K1" t="s">
        <v>24</v>
      </c>
      <c r="L1" t="s">
        <v>30</v>
      </c>
      <c r="M1" t="s">
        <v>31</v>
      </c>
      <c r="O1" s="12" t="s">
        <v>58</v>
      </c>
      <c r="P1" s="15" t="s">
        <v>20</v>
      </c>
      <c r="Q1" s="15" t="s">
        <v>33</v>
      </c>
      <c r="R1" s="15" t="s">
        <v>2</v>
      </c>
      <c r="S1" s="15" t="s">
        <v>7</v>
      </c>
      <c r="T1" s="16" t="s">
        <v>21</v>
      </c>
      <c r="U1" s="16" t="s">
        <v>4</v>
      </c>
      <c r="V1" s="16" t="s">
        <v>3</v>
      </c>
      <c r="W1" s="15" t="s">
        <v>5</v>
      </c>
      <c r="X1" s="17" t="s">
        <v>42</v>
      </c>
    </row>
    <row r="2" spans="1:26" ht="15.95" customHeight="1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4" t="s">
        <v>20</v>
      </c>
      <c r="G2" s="4" t="s">
        <v>33</v>
      </c>
      <c r="H2" s="4"/>
      <c r="I2" s="5" t="s">
        <v>25</v>
      </c>
      <c r="J2" s="5" t="s">
        <v>27</v>
      </c>
      <c r="K2" s="6"/>
      <c r="L2" s="1"/>
      <c r="M2" s="1"/>
      <c r="O2" s="12" t="s">
        <v>57</v>
      </c>
      <c r="P2" s="9">
        <f>COUNTIF(F2:G18, "Canada")</f>
        <v>4</v>
      </c>
      <c r="Q2" s="9">
        <f>COUNTIF(F2:G18, "USports")</f>
        <v>2</v>
      </c>
      <c r="R2" s="9">
        <f>COUNTIF(F2:G18, "Switzerland")</f>
        <v>5</v>
      </c>
      <c r="S2" s="9">
        <f>COUNTIF(F2:G18, "Slovakia")</f>
        <v>5</v>
      </c>
      <c r="T2" s="9">
        <f>COUNTIF(F2:G18, "Sweden")</f>
        <v>1</v>
      </c>
      <c r="U2" s="9">
        <f>COUNTIF(F2:G18, "United States")</f>
        <v>5</v>
      </c>
      <c r="V2" s="9">
        <f>COUNTIF(F2:G18, "Finland")</f>
        <v>4</v>
      </c>
      <c r="W2" s="9">
        <f>COUNTIF(F2:G18, "Latvia")</f>
        <v>4</v>
      </c>
      <c r="X2" s="13">
        <f>SUM(P2:W2) / 2</f>
        <v>15</v>
      </c>
      <c r="Y2" t="s">
        <v>49</v>
      </c>
    </row>
    <row r="3" spans="1:26" ht="15.95" customHeight="1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4" t="s">
        <v>20</v>
      </c>
      <c r="G3" s="4" t="s">
        <v>33</v>
      </c>
      <c r="H3" s="4"/>
      <c r="I3" s="6"/>
      <c r="J3" s="6"/>
      <c r="K3" s="6"/>
      <c r="L3" s="1"/>
      <c r="M3" s="1"/>
      <c r="O3" s="12" t="s">
        <v>25</v>
      </c>
      <c r="P3" s="10">
        <f>(COUNTIFS(F2:F18, "Canada", I2:I18, "Avery") + COUNTIFS(F2:F18, "Canada", J2:J18, "Avery") + COUNTIFS(F2:F18, "Canada", K2:K18, "Avery")) + (COUNTIFS(G2:G18, "Canada", I2:I18, "Avery") + COUNTIFS(G2:G18, "Canada", J2:J18, "Avery") + COUNTIFS(G2:G18, "Canada", K2:K18, "Avery"))</f>
        <v>3</v>
      </c>
      <c r="Q3" s="10">
        <f>(COUNTIFS(F2:F18, "USports", I2:I18, "Avery") + COUNTIFS(F2:F18, "USports", J2:J18, "Avery") + COUNTIFS(F2:F18, "USports", K2:K18, "Avery")) + (COUNTIFS(G2:G18, "USports", I2:I18, "Avery") + COUNTIFS(G2:G18, "USports", J2:J18, "Avery") + COUNTIFS(G2:G18, "USports", K2:K18, "Avery"))</f>
        <v>1</v>
      </c>
      <c r="R3" s="10">
        <f>(COUNTIFS(F2:F18, "Switzerland", I2:I18, "Avery") + COUNTIFS(F2:F18, "Switzerland", J2:J18, "Avery") + COUNTIFS(F2:F18, "Switzerland", K2:K18, "Avery")) + (COUNTIFS(G2:G18, "Switzerland", I2:I18, "Avery") + COUNTIFS(G2:G18, "Switzerland", J2:J18, "Avery") + COUNTIFS(G2:G18, "Switzerland", K2:K18, "Avery"))</f>
        <v>5</v>
      </c>
      <c r="S3" s="10">
        <f>(COUNTIFS(F2:F18, "Slovakia", I2:I18, "Avery") + COUNTIFS(F2:F18, "Slovakia", J2:J18, "Avery") + COUNTIFS(F2:F18, "Slovakia", K2:K18, "Avery")) + (COUNTIFS(G2:G18, "Slovakia", I2:I18, "Avery") + COUNTIFS(G2:G18, "Slovakia", J2:J18, "Avery") + COUNTIFS(G2:G18, "Slovakia", K2:K18, "Avery"))</f>
        <v>4</v>
      </c>
      <c r="T3" s="10">
        <f>(COUNTIFS(F2:F18, "Sweden", I2:I18, "Avery") + COUNTIFS(F2:F18, "Sweden", J2:J18, "Avery") + COUNTIFS(F2:F18, "Sweden", K2:K18, "Avery")) + (COUNTIFS(G2:G18, "Sweden", I2:I18, "Avery") + COUNTIFS(G2:G18, "Sweden", J2:J18, "Avery") + COUNTIFS(G2:G18, "Sweden", K2:K18, "Avery"))</f>
        <v>0</v>
      </c>
      <c r="U3" s="10">
        <f>(COUNTIFS(F2:F18, "United States", I2:I18, "Avery") + COUNTIFS(F2:F18, "United States", J2:J18, "Avery") + COUNTIFS(F2:F18, "United States", K2:K18, "Avery")) + (COUNTIFS(G2:G18, "United States", I2:I18, "Avery") + COUNTIFS(G2:G18, "United States", J2:J18, "Avery") + COUNTIFS(G2:G18, "United States", K2:K18, "Avery"))</f>
        <v>2</v>
      </c>
      <c r="V3" s="10">
        <f>(COUNTIFS(F2:F18, "Finland", I2:I18, "Avery") + COUNTIFS(F2:F18, "Finland", J2:J18, "Avery") + COUNTIFS(F2:F18, "Finland", K2:K18, "Avery")) + (COUNTIFS(G2:G18, "Finland", I2:I18, "Avery") + COUNTIFS(G2:G18, "Finland", J2:J18, "Avery") + COUNTIFS(G2:G18, "Finland", K2:K18, "Avery"))</f>
        <v>3</v>
      </c>
      <c r="W3" s="10">
        <f>(COUNTIFS(F2:F18, "Latvia", I2:I18, "Avery") + COUNTIFS(F2:F18, "Latvia", J2:J18, "Avery") + COUNTIFS(F2:F18, "Latvia", K2:K18, "Avery")) + (COUNTIFS(G2:G18, "Latvia", I2:I18, "Avery") + COUNTIFS(G2:G18, "Latvia", J2:J18, "Avery") + COUNTIFS(G2:G18, "Latvia", K2:K18, "Avery"))</f>
        <v>4</v>
      </c>
      <c r="X3" s="9">
        <f>COUNTIF(I2:K18, "Avery")</f>
        <v>13</v>
      </c>
      <c r="Z3" s="7"/>
    </row>
    <row r="4" spans="1:26" ht="15.95" customHeight="1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4" t="s">
        <v>2</v>
      </c>
      <c r="G4" s="4" t="s">
        <v>20</v>
      </c>
      <c r="H4" s="4"/>
      <c r="I4" s="5" t="s">
        <v>25</v>
      </c>
      <c r="J4" s="5" t="s">
        <v>27</v>
      </c>
      <c r="K4" s="5" t="s">
        <v>40</v>
      </c>
      <c r="L4" s="1"/>
      <c r="M4" s="1"/>
      <c r="O4" s="12" t="s">
        <v>27</v>
      </c>
      <c r="P4" s="10">
        <f>(COUNTIFS(F2:F18, "Canada", I2:I18, "Emily") + COUNTIFS(F2:F18, "Canada", J2:J18, "Emily") + COUNTIFS(F2:F18, "Canada", K2:K18, "Emily")) + (COUNTIFS(G2:G18, "Canada", I2:I18, "Emily") + COUNTIFS(G2:G18, "Canada", J2:J18, "Emily") + COUNTIFS(G2:G18, "Canada", K2:K18, "Emily"))</f>
        <v>3</v>
      </c>
      <c r="Q4" s="10">
        <f>(COUNTIFS(F2:F18, "USports", I2:I18, "Emily") + COUNTIFS(F2:F18, "USports", J2:J18, "Emily") + COUNTIFS(F2:F18, "USports", K2:K18, "Emily")) + (COUNTIFS(G2:G18, "USports", I2:I18, "Emily") + COUNTIFS(G2:G18, "USports", J2:J18, "Emily") + COUNTIFS(G2:G18, "USports", K2:K18, "Emily"))</f>
        <v>1</v>
      </c>
      <c r="R4" s="10">
        <f>(COUNTIFS(F2:F18, "Switzerland", I2:I18, "Emily") + COUNTIFS(F2:F18, "Switzerland", J2:J18, "Emily") + COUNTIFS(F2:F18, "Switzerland", K2:K18, "Emily")) + (COUNTIFS(G2:G18, "Switzerland", I2:I18, "Emily") + COUNTIFS(G2:G18, "Switzerland", J2:J18, "Emily") + COUNTIFS(G2:G18, "Switzerland", K2:K18, "Emily"))</f>
        <v>3</v>
      </c>
      <c r="S4" s="10">
        <f>(COUNTIFS(F2:F18, "Slovakia", I2:I18, "Emily") + COUNTIFS(F2:F18, "Slovakia", J2:J18, "Emily") + COUNTIFS(F2:F18, "Slovakia", K2:K18, "Emily")) + (COUNTIFS(G2:G18, "Slovakia", I2:I18, "Emily") + COUNTIFS(G2:G18, "Slovakia", J2:J18, "Emily") + COUNTIFS(G2:G18, "Slovakia", K2:K18, "Emily"))</f>
        <v>3</v>
      </c>
      <c r="T4" s="10">
        <f>(COUNTIFS(F2:F18, "Sweden", I2:I18, "Emily") + COUNTIFS(F2:F18, "Sweden", J2:J18, "Emily") + COUNTIFS(F2:F18, "Sweden", K2:K18, "Emily")) + (COUNTIFS(G2:G18, "Sweden", I2:I18, "Emily") + COUNTIFS(G2:G18, "Sweden", J2:J18, "Emily") + COUNTIFS(G2:G18, "Sweden", K2:K18, "Emily"))</f>
        <v>0</v>
      </c>
      <c r="U4" s="10">
        <f>(COUNTIFS(F2:F18, "United States", I2:I18, "Emily") + COUNTIFS(F2:F18, "United States", J2:J18, "Emily") + COUNTIFS(F2:F18, "United States", K2:K18, "Emily")) + (COUNTIFS(G2:G18, "United States", I2:I18, "Emily") + COUNTIFS(G2:G18, "United States", J2:J18, "Emily") + COUNTIFS(G2:G18, "United States", K2:K18, "Emily"))</f>
        <v>1</v>
      </c>
      <c r="V4" s="10">
        <f>(COUNTIFS(F2:F18, "Finland", I2:I18, "Emily") + COUNTIFS(F2:F18, "Finland", J2:J18, "Emily") + COUNTIFS(F2:F18, "Finland", K2:K18, "Emily")) + (COUNTIFS(G2:G18, "Finland", I2:I18, "Emily") + COUNTIFS(G2:G18, "Finland", J2:J18, "Emily") + COUNTIFS(G2:G18, "Finland", K2:K18, "Emily"))</f>
        <v>1</v>
      </c>
      <c r="W4" s="10">
        <f>(COUNTIFS(F2:F18, "Latvia", I2:I18, "Emily") + COUNTIFS(F2:F18, "Latvia", J2:J18, "Emily") + COUNTIFS(F2:F18, "Latvia", K2:K18, "Emily")) + (COUNTIFS(G2:G18, "Latvia", I2:I18, "Emily") + COUNTIFS(G2:G18, "Latvia", J2:J18, "Emily") + COUNTIFS(G2:G18, "Latvia", K2:K18, "Emily"))</f>
        <v>2</v>
      </c>
      <c r="X4" s="9">
        <f>COUNTIF(I2:K18, "Emily")</f>
        <v>7</v>
      </c>
    </row>
    <row r="5" spans="1:26" ht="15.95" customHeight="1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4" t="s">
        <v>4</v>
      </c>
      <c r="G5" s="4" t="s">
        <v>21</v>
      </c>
      <c r="H5" s="4"/>
      <c r="I5" s="5" t="s">
        <v>34</v>
      </c>
      <c r="J5" s="5" t="s">
        <v>34</v>
      </c>
      <c r="K5" s="6"/>
      <c r="L5" s="1"/>
      <c r="M5" s="1"/>
      <c r="O5" s="12" t="s">
        <v>26</v>
      </c>
      <c r="P5" s="10">
        <f>(COUNTIFS(F2:F18, "Canada", I2:I18, "Mom") + COUNTIFS(F2:F18, "Canada", J2:J18, "Mom") + COUNTIFS(F2:F18, "Canada", K2:K18, "Mom")) + (COUNTIFS(G2:G18, "Canada", I2:I18, "Mom") + COUNTIFS(G2:G18, "Canada", J2:J18, "Mom") + COUNTIFS(G2:G18, "Canada", K2:K18, "Mom"))</f>
        <v>1</v>
      </c>
      <c r="Q5" s="10">
        <f>(COUNTIFS(F2:F18, "USports", I2:I18, "Mom") + COUNTIFS(F2:F18, "USports", J2:J18, "Mom") + COUNTIFS(F2:F18, "USports", K2:K18, "Mom")) + (COUNTIFS(G2:G18, "USports", I2:I18, "Mom") + COUNTIFS(G2:G18, "USports", J2:J18, "Mom") + COUNTIFS(G2:G18, "USports", K2:K18, "Mom"))</f>
        <v>0</v>
      </c>
      <c r="R5" s="10">
        <f>(COUNTIFS(F2:F18, "Switzerland", I2:I18, "Mom") + COUNTIFS(F2:F18, "Switzerland", J2:J18, "Mom") + COUNTIFS(F2:F18, "Switzerland", K2:K18, "Mom")) + (COUNTIFS(G2:G18, "Switzerland", I2:I18, "Mom") + COUNTIFS(G2:G18, "Switzerland", J2:J18, "Mom") + COUNTIFS(G2:G18, "Switzerland", K2:K18, "Mom"))</f>
        <v>2</v>
      </c>
      <c r="S5" s="10">
        <f>(COUNTIFS(F2:F18, "Slovakia", I2:I18, "Mom") + COUNTIFS(F2:F18, "Slovakia", J2:J18, "Mom") + COUNTIFS(F2:F18, "Slovakia", K2:K18, "Mom")) + (COUNTIFS(G2:G18, "Slovakia", I2:I18, "Mom") + COUNTIFS(G2:G18, "Slovakia", J2:J18, "Mom") + COUNTIFS(G2:G18, "Slovakia", K2:K18, "Mom"))</f>
        <v>3</v>
      </c>
      <c r="T5" s="10">
        <f>(COUNTIFS(F2:F18, "Sweden", I2:I18, "Mom") + COUNTIFS(F2:F18, "Sweden", J2:J18, "Mom") + COUNTIFS(F2:F18, "Sweden", K2:K18, "Mom")) + (COUNTIFS(G2:G18, "Sweden", I2:I18, "Mom") + COUNTIFS(G2:G18, "Sweden", J2:J18, "Mom") + COUNTIFS(G2:G18, "Sweden", K2:K18, "Mom"))</f>
        <v>0</v>
      </c>
      <c r="U5" s="10">
        <f>(COUNTIFS(F2:F18, "United States", I2:I18, "Mom") + COUNTIFS(F2:F18, "United States", J2:J18, "Mom") + COUNTIFS(F2:F18, "United States", K2:K18, "Mom")) + (COUNTIFS(G2:G18, "United States", I2:I18, "Mom") + COUNTIFS(G2:G18, "United States", J2:J18, "Mom") + COUNTIFS(G2:G18, "United States", K2:K18, "Mom"))</f>
        <v>1</v>
      </c>
      <c r="V5" s="10">
        <f>(COUNTIFS(F2:F18, "Finland", I2:I18, "Mom") + COUNTIFS(F2:F18, "Finland", J2:J18, "Mom") + COUNTIFS(F2:F18, "Finland", K2:K18, "Mom")) + (COUNTIFS(G2:G18, "Finland", I2:I18, "Mom") + COUNTIFS(G2:G18, "Finland", J2:J18, "Mom") + COUNTIFS(G2:G18, "Finland", K2:K18, "Mom"))</f>
        <v>1</v>
      </c>
      <c r="W5" s="10">
        <f>(COUNTIFS(F2:F18, "Latvia", I2:I18, "Mom") + COUNTIFS(F2:F18, "Latvia", J2:J18, "Mom") + COUNTIFS(F2:F18, "Latvia", K2:K18, "Mom")) + (COUNTIFS(G2:G18, "Latvia", I2:I18, "Mom") + COUNTIFS(G2:G18, "Latvia", J2:J18, "Mom") + COUNTIFS(G2:G18, "Latvia", K2:K18, "Mom"))</f>
        <v>2</v>
      </c>
      <c r="X5" s="9">
        <f>COUNTIF(I2:K18, "Mom")</f>
        <v>5</v>
      </c>
    </row>
    <row r="6" spans="1:26" ht="15.95" customHeight="1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4" t="s">
        <v>7</v>
      </c>
      <c r="G6" s="4" t="s">
        <v>20</v>
      </c>
      <c r="H6" s="4"/>
      <c r="I6" s="5" t="s">
        <v>25</v>
      </c>
      <c r="J6" s="5" t="s">
        <v>26</v>
      </c>
      <c r="K6" s="5" t="s">
        <v>27</v>
      </c>
      <c r="L6" s="1"/>
      <c r="M6" s="1"/>
      <c r="O6" s="12" t="s">
        <v>28</v>
      </c>
      <c r="P6" s="10">
        <f>(COUNTIFS(F2:F18, "Canada", I2:I18, "Patrick") + COUNTIFS(F2:F18, "Canada", J2:J18, "Patrick") + COUNTIFS(F2:F18, "Canada", K2:K18, "Patrick")) + (COUNTIFS(G2:G18, "Canada", I2:I18, "Patrick") + COUNTIFS(G2:G18, "Canada", J2:J18, "Patrick") + COUNTIFS(G2:G18, "Canada", K2:K18, "Patrick"))</f>
        <v>0</v>
      </c>
      <c r="Q6" s="10">
        <f>(COUNTIFS(F2:F18, "USports", I2:I18, "Patrick") + COUNTIFS(F2:F18, "USports", J2:J18, "Patrick") + COUNTIFS(F2:F18, "USports", K2:K18, "Patrick")) + (COUNTIFS(G2:G18, "USports", I2:I18, "Patrick") + COUNTIFS(G2:G18, "USports", J2:J18, "Patrick") + COUNTIFS(G2:G18, "USports", K2:K18, "Patrick"))</f>
        <v>0</v>
      </c>
      <c r="R6" s="10">
        <f>(COUNTIFS(F2:F18, "Switzerland", I2:I18, "Patrick") + COUNTIFS(F2:F18, "Switzerland", J2:J18, "Patrick") + COUNTIFS(F2:F18, "Switzerland", K2:K18, "Patrick")) + (COUNTIFS(G2:G18, "Switzerland", I2:I18, "Patrick") + COUNTIFS(G2:G18, "Switzerland", J2:J18, "Patrick") + COUNTIFS(G2:G18, "Switzerland", K2:K18, "Patrick"))</f>
        <v>2</v>
      </c>
      <c r="S6" s="10">
        <f>(COUNTIFS(F2:F18, "Slovakia", I2:I18, "Patrick") + COUNTIFS(F2:F18, "Slovakia", J2:J18, "Patrick") + COUNTIFS(F2:F18, "Slovakia", K2:K18, "Patrick")) + (COUNTIFS(G2:G18, "Slovakia", I2:I18, "Patrick") + COUNTIFS(G2:G18, "Slovakia", J2:J18, "Patrick") + COUNTIFS(G2:G18, "Slovakia", K2:K18, "Patrick"))</f>
        <v>1</v>
      </c>
      <c r="T6" s="10">
        <f>(COUNTIFS(F2:F18, "Sweden", I2:I18, "Patrick") + COUNTIFS(F2:F18, "Sweden", J2:J18, "Patrick") + COUNTIFS(F2:F18, "Sweden", K2:K18, "Patrick")) + (COUNTIFS(G2:G18, "Sweden", I2:I18, "Patrick") + COUNTIFS(G2:G18, "Sweden", J2:J18, "Patrick") + COUNTIFS(G2:G18, "Sweden", K2:K18, "Patrick"))</f>
        <v>0</v>
      </c>
      <c r="U6" s="10">
        <f>(COUNTIFS(F2:F18, "United States", I2:I18, "Patrick") + COUNTIFS(F2:F18, "United States", J2:J18, "Patrick") + COUNTIFS(F2:F18, "United States", K2:K18, "Patrick")) + (COUNTIFS(G2:G18, "United States", I2:I18, "Patrick") + COUNTIFS(G2:G18, "United States", J2:J18, "Patrick") + COUNTIFS(G2:G18, "United States", K2:K18, "Patrick"))</f>
        <v>1</v>
      </c>
      <c r="V6" s="10">
        <f>(COUNTIFS(F2:F18, "Finland", I2:I18, "Patrick") + COUNTIFS(F2:F18, "Finland", J2:J18, "Patrick") + COUNTIFS(F2:F18, "Finland", K2:K18, "Patrick")) + (COUNTIFS(G2:G18, "Finland", I2:I18, "Patrick") + COUNTIFS(G2:G18, "Finland", J2:J18, "Patrick") + COUNTIFS(G2:G18, "Finland", K2:K18, "Patrick"))</f>
        <v>2</v>
      </c>
      <c r="W6" s="10">
        <f>(COUNTIFS(F2:F18, "Latvia", I2:I18, "Patrick") + COUNTIFS(F2:F18, "Latvia", J2:J18, "Patrick") + COUNTIFS(F2:F18, "Latvia", K2:K18, "Patrick")) + (COUNTIFS(G2:G18, "Latvia", I2:I18, "Patrick") + COUNTIFS(G2:G18, "Latvia", J2:J18, "Patrick") + COUNTIFS(G2:G18, "Latvia", K2:K18, "Patrick"))</f>
        <v>2</v>
      </c>
      <c r="X6" s="9">
        <f>COUNTIF(I2:K18, "Patrick")</f>
        <v>4</v>
      </c>
    </row>
    <row r="7" spans="1:26" ht="15.95" customHeight="1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4" t="s">
        <v>2</v>
      </c>
      <c r="G7" s="4" t="s">
        <v>3</v>
      </c>
      <c r="H7" s="4"/>
      <c r="I7" s="4" t="s">
        <v>25</v>
      </c>
      <c r="J7" s="4" t="s">
        <v>28</v>
      </c>
      <c r="K7" s="4"/>
      <c r="L7" s="1"/>
      <c r="M7" s="1"/>
      <c r="O7" s="12" t="s">
        <v>39</v>
      </c>
      <c r="P7" s="10">
        <f>(COUNTIFS(F2:F18, "Canada", I2:I18, "Robert") + COUNTIFS(F2:F18, "Canada", J2:J18, "Robert") + COUNTIFS(F2:F18, "Canada", K2:K18, "Robert")) + (COUNTIFS(G2:G18, "Canada", I2:I18, "Robert") + COUNTIFS(G2:G18, "Canada", J2:J18, "Robert") + COUNTIFS(G2:G18, "Canada", K2:K18, "Robert"))</f>
        <v>0</v>
      </c>
      <c r="Q7" s="10">
        <f>(COUNTIFS(F2:F18, "USports", I2:I18, "Robert") + COUNTIFS(F2:F18, "USports", J2:J18, "Robert") + COUNTIFS(F2:F18, "USports", K2:K18, "Robert")) + (COUNTIFS(G2:G18, "USports", I2:I18, "Robert") + COUNTIFS(G2:G18, "USports", J2:J18, "Robert") + COUNTIFS(G2:G18, "USports", K2:K18, "Robert"))</f>
        <v>0</v>
      </c>
      <c r="R7" s="10">
        <f>(COUNTIFS(F2:F18, "Switzerland", I2:I18, "Robert") + COUNTIFS(F2:F18, "Switzerland", J2:J18, "Robert") + COUNTIFS(F2:F18, "Switzerland", K2:K18, "Robert")) + (COUNTIFS(G2:G18, "Switzerland", I2:I18, "Robert") + COUNTIFS(G2:G18, "Switzerland", J2:J18, "Robert") + COUNTIFS(G2:G18, "Switzerland", K2:K18, "Robert"))</f>
        <v>1</v>
      </c>
      <c r="S7" s="10">
        <f>(COUNTIFS(F2:F18, "Slovakia", I2:I18, "Robert") + COUNTIFS(F2:F18, "Slovakia", J2:J18, "Robert") + COUNTIFS(F2:F18, "Slovakia", K2:K18, "Robert")) + (COUNTIFS(G2:G18, "Slovakia", I2:I18, "Robert") + COUNTIFS(G2:G18, "Slovakia", J2:J18, "Robert") + COUNTIFS(G2:G18, "Slovakia", K2:K18, "Robert"))</f>
        <v>1</v>
      </c>
      <c r="T7" s="10">
        <f>(COUNTIFS(F2:F18, "Sweden", I2:I18, "Robert") + COUNTIFS(F2:F18, "Sweden", J2:J18, "Robert") + COUNTIFS(F2:F18, "Sweden", K2:K18, "Robert")) + (COUNTIFS(G2:G18, "Sweden", I2:I18, "Robert") + COUNTIFS(G2:G18, "Sweden", J2:J18, "Robert") + COUNTIFS(G2:G18, "Sweden", K2:K18, "Robert"))</f>
        <v>0</v>
      </c>
      <c r="U7" s="10">
        <f>(COUNTIFS(F2:F18, "United States", I2:I18, "Robert") + COUNTIFS(F2:F18, "United States", J2:J18, "Robert") + COUNTIFS(F2:F18, "United States", K2:K18, "Robert")) + (COUNTIFS(G2:G18, "United States", I2:I18, "Robert") + COUNTIFS(G2:G18, "United States", J2:J18, "Robert") + COUNTIFS(G2:G18, "United States", K2:K18, "Robert"))</f>
        <v>0</v>
      </c>
      <c r="V7" s="10">
        <f>(COUNTIFS(F2:F18, "Finland", I2:I18, "Robert") + COUNTIFS(F2:F18, "Finland", J2:J18, "Robert") + COUNTIFS(F2:F18, "Finland", K2:K18, "Robert")) + (COUNTIFS(G2:G18, "Finland", I2:I18, "Robert") + COUNTIFS(G2:G18, "Finland", J2:J18, "Robert") + COUNTIFS(G2:G18, "Finland", K2:K18, "Robert"))</f>
        <v>1</v>
      </c>
      <c r="W7" s="10">
        <f>(COUNTIFS(F2:F18, "Latvia", I2:I18, "Robert") + COUNTIFS(F2:F18, "Latvia", J2:J18, "Robert") + COUNTIFS(F2:F18, "Latvia", K2:K18, "Robert")) + (COUNTIFS(G2:G18, "Latvia", I2:I18, "Robert") + COUNTIFS(G2:G18, "Latvia", J2:J18, "Robert") + COUNTIFS(G2:G18, "Latvia", K2:K18, "Robert"))</f>
        <v>1</v>
      </c>
      <c r="X7" s="9">
        <f>COUNTIF(I2:K18, "Robert")</f>
        <v>2</v>
      </c>
    </row>
    <row r="8" spans="1:26" ht="15.95" customHeight="1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4" t="s">
        <v>4</v>
      </c>
      <c r="G8" s="4" t="s">
        <v>5</v>
      </c>
      <c r="H8" s="4"/>
      <c r="I8" s="4" t="s">
        <v>25</v>
      </c>
      <c r="J8" s="4" t="s">
        <v>28</v>
      </c>
      <c r="K8" s="4"/>
      <c r="L8" s="1"/>
      <c r="M8" s="1"/>
      <c r="O8" s="12" t="s">
        <v>29</v>
      </c>
      <c r="P8" s="10">
        <f>(COUNTIFS(F2:F18, "Canada", I2:I18, "Alex") + COUNTIFS(F2:F18, "Canada", J2:J18, "Alex") + COUNTIFS(F2:F18, "Canada", K2:K18, "Alex")) + (COUNTIFS(G2:G18, "Canada", I2:I18, "Alex") + COUNTIFS(G2:G18, "Canada", J2:J18, "Alex") + COUNTIFS(G2:G18, "Canada", K2:K18, "Alex"))</f>
        <v>0</v>
      </c>
      <c r="Q8" s="10">
        <f>(COUNTIFS(F2:F18, "USports", I2:I18, "Alex") + COUNTIFS(F2:F18, "USports", J2:J18, "Alex") + COUNTIFS(F2:F18, "USports", K2:K18, "Alex")) + (COUNTIFS(G2:G18, "USports", I2:I18, "Alex") + COUNTIFS(G2:G18, "USports", J2:J18, "Alex") + COUNTIFS(G2:G18, "USports", K2:K18, "Alex"))</f>
        <v>0</v>
      </c>
      <c r="R8" s="10">
        <f>(COUNTIFS(F2:F18, "Switzerland", I2:I18, "Alex") + COUNTIFS(F2:F18, "Switzerland", J2:J18, "Alex") + COUNTIFS(F2:F18, "Switzerland", K2:K18, "Alex")) + (COUNTIFS(G2:G18, "Switzerland", I2:I18, "Alex") + COUNTIFS(G2:G18, "Switzerland", J2:J18, "Alex") + COUNTIFS(G2:G18, "Switzerland", K2:K18, "Alex"))</f>
        <v>0</v>
      </c>
      <c r="S8" s="10">
        <f>(COUNTIFS(F2:F18, "Slovakia", I2:I18, "Alex") + COUNTIFS(F2:F18, "Slovakia", J2:J18, "Alex") + COUNTIFS(F2:F18, "Slovakia", K2:K18, "Alex")) + (COUNTIFS(G2:G18, "Slovakia", I2:I18, "Alex") + COUNTIFS(G2:G18, "Slovakia", J2:J18, "Alex") + COUNTIFS(G2:G18, "Slovakia", K2:K18, "Alex"))</f>
        <v>0</v>
      </c>
      <c r="T8" s="10">
        <f>(COUNTIFS(F2:F18, "Sweden", I2:I18, "Alex") + COUNTIFS(F2:F18, "Sweden", J2:J18, "Alex") + COUNTIFS(F2:F18, "Sweden", K2:K18, "Alex")) + (COUNTIFS(G2:G18, "Sweden", I2:I18, "Alex") + COUNTIFS(G2:G18, "Sweden", J2:J18, "Alex") + COUNTIFS(G2:G18, "Sweden", K2:K18, "Alex"))</f>
        <v>0</v>
      </c>
      <c r="U8" s="10">
        <f>(COUNTIFS(F2:F18, "United States", I2:I18, "Alex") + COUNTIFS(F2:F18, "United States", J2:J18, "Alex") + COUNTIFS(F2:F18, "United States", K2:K18, "Alex")) + (COUNTIFS(G2:G18, "United States", I2:I18, "Alex") + COUNTIFS(G2:G18, "United States", J2:J18, "Alex") + COUNTIFS(G2:G18, "United States", K2:K18, "Alex"))</f>
        <v>0</v>
      </c>
      <c r="V8" s="10">
        <f>(COUNTIFS(F2:F18, "Finland", I2:I18, "Alex") + COUNTIFS(F2:F18, "Finland", J2:J18, "Alex") + COUNTIFS(F2:F18, "Finland", K2:K18, "Alex")) + (COUNTIFS(G2:G18, "Finland", I2:I18, "Alex") + COUNTIFS(G2:G18, "Finland", J2:J18, "Alex") + COUNTIFS(G2:G18, "Finland", K2:K18, "Alex"))</f>
        <v>0</v>
      </c>
      <c r="W8" s="10">
        <f>(COUNTIFS(F2:F18, "Latvia", I2:I18, "Alex") + COUNTIFS(F2:F18, "Latvia", J2:J18, "Alex") + COUNTIFS(F2:F18, "Latvia", K2:K18, "Alex")) + (COUNTIFS(G2:G18, "Latvia", I2:I18, "Alex") + COUNTIFS(G2:G18, "Latvia", J2:J18, "Alex") + COUNTIFS(G2:G18, "Latvia", K2:K18, "Alex"))</f>
        <v>0</v>
      </c>
      <c r="X8" s="9">
        <f>COUNTIF(I2:K18, "Alex")</f>
        <v>2</v>
      </c>
    </row>
    <row r="9" spans="1:26" ht="15.95" customHeight="1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4" t="s">
        <v>7</v>
      </c>
      <c r="G9" s="4" t="s">
        <v>3</v>
      </c>
      <c r="H9" s="4"/>
      <c r="I9" s="4" t="s">
        <v>25</v>
      </c>
      <c r="J9" s="4" t="s">
        <v>28</v>
      </c>
      <c r="K9" s="4" t="s">
        <v>39</v>
      </c>
      <c r="L9" s="1"/>
      <c r="M9" s="1"/>
      <c r="O9" s="12" t="s">
        <v>40</v>
      </c>
      <c r="P9" s="1">
        <f>(COUNTIFS(F2:F18, "Canada", I2:I18, "Hayley") + COUNTIFS(F2:F18, "Canada", J2:J18, "Hayley") + COUNTIFS(F2:F18, "Canada", K2:K18, "Hayley")) + (COUNTIFS(G2:G18, "Canada", I2:I18, "Hayley") + COUNTIFS(G2:G18, "Canada", J2:J18, "Hayley") + COUNTIFS(G2:G18, "Canada", K2:K18, "Hayley"))</f>
        <v>1</v>
      </c>
      <c r="Q9" s="1">
        <f>(COUNTIFS(F2:F18, "USports", I2:I18, "Hayley") + COUNTIFS(F2:F18, "USports", J2:J18, "Hayley") + COUNTIFS(F2:F18, "USports", K2:K18, "Hayley")) + (COUNTIFS(G2:G18, "USports", I2:I18, "Hayley") + COUNTIFS(G2:G18, "USports", J2:J18, "Hayley") + COUNTIFS(G2:G18, "USports", K2:K18, "Hayley"))</f>
        <v>0</v>
      </c>
      <c r="R9" s="1">
        <f>(COUNTIFS(F2:F18, "Switzerland", I2:I18, "Hayley") + COUNTIFS(F2:F18, "Switzerland", J2:J18, "Hayley") + COUNTIFS(F2:F18, "Switzerland", K2:K18, "Hayley")) + (COUNTIFS(G2:G18, "Switzerland", I2:I18, "Hayley") + COUNTIFS(G2:G18, "Switzerland", J2:J18, "Hayley") + COUNTIFS(G2:G18, "Switzerland", K2:K18, "Hayley"))</f>
        <v>1</v>
      </c>
      <c r="S9" s="1">
        <f>(COUNTIFS(F2:F18, "Slovakia", I2:I18, "Hayley") + COUNTIFS(F2:F18, "Slovakia", J2:J18, "Hayley") + COUNTIFS(F2:F18, "Slovakia", K2:K18, "Hayley")) + (COUNTIFS(G2:G18, "Slovakia", I2:I18, "Hayley") + COUNTIFS(G2:G18, "Slovakia", J2:J18, "Hayley") + COUNTIFS(G2:G18, "Slovakia", K2:K18, "Hayley"))</f>
        <v>0</v>
      </c>
      <c r="T9" s="1">
        <f>(COUNTIFS(F2:F18, "Sweden", I2:I18, "Hayley") + COUNTIFS(F2:F18, "Sweden", J2:J18, "Hayley") + COUNTIFS(F2:F18, "Sweden", K2:K18, "Hayley")) + (COUNTIFS(G2:G18, "Sweden", I2:I18, "Hayley") + COUNTIFS(G2:G18, "Sweden", J2:J18, "Hayley") + COUNTIFS(G2:G18, "Sweden", K2:K18, "Hayley"))</f>
        <v>0</v>
      </c>
      <c r="U9" s="1">
        <f>(COUNTIFS(F2:F18, "United States", I2:I18, "Hayley") + COUNTIFS(F2:F18, "United States", J2:J18, "Hayley") + COUNTIFS(F2:F18, "United States", K2:K18, "Hayley")) + (COUNTIFS(G2:G18, "United States", I2:I18, "Hayley") + COUNTIFS(G2:G18, "United States", J2:J18, "Hayley") + COUNTIFS(G2:G18, "United States", K2:K18, "Hayley"))</f>
        <v>0</v>
      </c>
      <c r="V9" s="1">
        <f>(COUNTIFS(F2:F18, "Finland", I2:I18, "Hayley") + COUNTIFS(F2:F18, "Finland", J2:J18, "Hayley") + COUNTIFS(F2:F18, "Finland", K2:K18, "Hayley")) + (COUNTIFS(G2:G18, "Finland", I2:I18, "Hayley") + COUNTIFS(G2:G18, "Finland", J2:J18, "Hayley") + COUNTIFS(G2:G18, "Finland", K2:K18, "Hayley"))</f>
        <v>0</v>
      </c>
      <c r="W9" s="1">
        <f>(COUNTIFS(F2:F18, "Latvia", I2:I18, "Hayley") + COUNTIFS(F2:F18, "Latvia", J2:J18, "Hayley") + COUNTIFS(F2:F18, "Latvia", K2:K18, "Hayley")) + (COUNTIFS(G2:G18, "Latvia", I2:I18, "Hayley") + COUNTIFS(G2:G18, "Latvia", J2:J18, "Hayley") + COUNTIFS(G2:G18, "Latvia", K2:K18, "Hayley"))</f>
        <v>0</v>
      </c>
      <c r="X9" s="9">
        <f>COUNTIF(I2:K18, "Hayley")</f>
        <v>1</v>
      </c>
    </row>
    <row r="10" spans="1:26" ht="15.95" customHeight="1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4" t="s">
        <v>5</v>
      </c>
      <c r="G10" s="4" t="s">
        <v>2</v>
      </c>
      <c r="H10" s="4"/>
      <c r="I10" s="4" t="s">
        <v>25</v>
      </c>
      <c r="J10" s="4" t="s">
        <v>28</v>
      </c>
      <c r="K10" s="4" t="s">
        <v>39</v>
      </c>
      <c r="L10" s="1"/>
      <c r="M10" s="1"/>
      <c r="O10" s="12" t="s">
        <v>34</v>
      </c>
      <c r="P10" s="10">
        <f>(COUNTIFS(F2:F18, "Canada", I2:I18, "SOLD") + COUNTIFS(F2:F18, "Canada", J2:J18, "SOLD") + COUNTIFS(F2:F18, "Canada", K2:K18, "SOLD")) + (COUNTIFS(G2:G18, "Canada", I2:I18, "SOLD") + COUNTIFS(G2:G18, "Canada", J2:J18, "SOLD") + COUNTIFS(G2:G18, "Canada", K2:K18, "SOLD"))</f>
        <v>0</v>
      </c>
      <c r="Q10" s="10">
        <f>(COUNTIFS(F2:F18, "USports", I2:I18, "SOLD") + COUNTIFS(F2:F18, "USports", J2:J18, "SOLD") + COUNTIFS(F2:F18, "USports", K2:K18, "SOLD")) + (COUNTIFS(G2:G18, "USports", I2:I18, "SOLD") + COUNTIFS(G2:G18, "USports", J2:J18, "SOLD") + COUNTIFS(G2:G18, "USports", K2:K18, "SOLD"))</f>
        <v>0</v>
      </c>
      <c r="R10" s="10">
        <f>(COUNTIFS(F2:F18, "Switzerland", I2:I18, "SOLD") + COUNTIFS(F2:F18, "Switzerland", J2:J18, "SOLD") + COUNTIFS(F2:F18, "Switzerland", K2:K18, "SOLD")) + (COUNTIFS(G2:G18, "Switzerland", I2:I18, "SOLD") + COUNTIFS(G2:G18, "Switzerland", J2:J18, "SOLD") + COUNTIFS(G2:G18, "Switzerland", K2:K18, "SOLD"))</f>
        <v>0</v>
      </c>
      <c r="S10" s="10">
        <f>(COUNTIFS(F2:F18, "Slovakia", I2:I18, "SOLD") + COUNTIFS(F2:F18, "Slovakia", J2:J18, "SOLD") + COUNTIFS(F2:F18, "Slovakia", K2:K18, "SOLD")) + (COUNTIFS(G2:G18, "Slovakia", I2:I18, "SOLD") + COUNTIFS(G2:G18, "Slovakia", J2:J18, "SOLD") + COUNTIFS(G2:G18, "Slovakia", K2:K18, "SOLD"))</f>
        <v>3</v>
      </c>
      <c r="T10" s="10">
        <f>(COUNTIFS(F2:F18, "Sweden", I2:I18, "SOLD") + COUNTIFS(F2:F18, "Sweden", J2:J18, "SOLD") + COUNTIFS(F2:F18, "Sweden", K2:K18, "SOLD")) + (COUNTIFS(G2:G18, "Sweden", I2:I18, "SOLD") + COUNTIFS(G2:G18, "Sweden", J2:J18, "SOLD") + COUNTIFS(G2:G18, "Sweden", K2:K18, "SOLD"))</f>
        <v>2</v>
      </c>
      <c r="U10" s="10">
        <f>(COUNTIFS(F2:F18, "United States", I2:I18, "SOLD") + COUNTIFS(F2:F18, "United States", J2:J18, "SOLD") + COUNTIFS(F2:F18, "United States", K2:K18, "SOLD")) + (COUNTIFS(G2:G18, "United States", I2:I18, "SOLD") + COUNTIFS(G2:G18, "United States", J2:J18, "SOLD") + COUNTIFS(G2:G18, "United States", K2:K18, "SOLD"))</f>
        <v>8</v>
      </c>
      <c r="V10" s="10">
        <f>(COUNTIFS(F2:F18, "Finland", I2:I18, "SOLD") + COUNTIFS(F2:F18, "Finland", J2:J18, "SOLD") + COUNTIFS(F2:F18, "Finland", K2:K18, "SOLD")) + (COUNTIFS(G2:G18, "Finland", I2:I18, "SOLD") + COUNTIFS(G2:G18, "Finland", J2:J18, "SOLD") + COUNTIFS(G2:G18, "Finland", K2:K18, "SOLD"))</f>
        <v>3</v>
      </c>
      <c r="W10" s="10">
        <f>(COUNTIFS(F2:F18, "Latvia", I2:I18, "SOLD") + COUNTIFS(F2:F18, "Latvia", J2:J18, "SOLD") + COUNTIFS(F2:F18, "Latvia", K2:K18, "SOLD")) + (COUNTIFS(G2:G18, "Latvia", I2:I18, "SOLD") + COUNTIFS(G2:G18, "Latvia", J2:J18, "SOLD") + COUNTIFS(G2:G18, "Latvia", K2:K18, "SOLD"))</f>
        <v>0</v>
      </c>
      <c r="X10" s="13">
        <f>COUNTIF(I2:K18, "SOLD")</f>
        <v>8</v>
      </c>
      <c r="Y10" t="s">
        <v>50</v>
      </c>
    </row>
    <row r="11" spans="1:26" ht="15.95" customHeight="1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4" t="s">
        <v>4</v>
      </c>
      <c r="G11" s="4" t="s">
        <v>7</v>
      </c>
      <c r="H11" s="4"/>
      <c r="I11" s="4" t="s">
        <v>34</v>
      </c>
      <c r="J11" s="4" t="s">
        <v>34</v>
      </c>
      <c r="K11" s="4" t="s">
        <v>34</v>
      </c>
      <c r="L11" s="1"/>
      <c r="M11" s="1"/>
      <c r="O11" s="12" t="s">
        <v>43</v>
      </c>
      <c r="P11" s="1">
        <f>(COUNTIFS(F2:F18, "Canada", I2:I18, "") + COUNTIFS(F2:F18, "Canada", J2:J18, "") + COUNTIFS(F2:F18, "Canada", K2:K18, "")) + (COUNTIFS(G2:G18, "Canada", I2:I18, "") + COUNTIFS(G2:G18, "Canada", J2:J18, "") + COUNTIFS(G2:G18, "Canada", K2:K18, ""))</f>
        <v>4</v>
      </c>
      <c r="Q11" s="1">
        <f>(COUNTIFS(F2:F18, "USports", I2:I18, "") + COUNTIFS(F2:F18, "USports", J2:J18, "") + COUNTIFS(F2:F18, "USports", K2:K18, "")) + (COUNTIFS(G2:G18, "USports", I2:I18, "") + COUNTIFS(G2:G18, "USports", J2:J18, "") + COUNTIFS(G2:G18, "USports", K2:K18, ""))</f>
        <v>4</v>
      </c>
      <c r="R11" s="1">
        <f>(COUNTIFS(F2:F18, "Switzerland", I2:I18, "") + COUNTIFS(F2:F18, "Switzerland", J2:J18, "") + COUNTIFS(F2:F18, "Switzerland", K2:K18, "")) + (COUNTIFS(G2:G18, "Switzerland", I2:I18, "") + COUNTIFS(G2:G18, "Switzerland", J2:J18, "") + COUNTIFS(G2:G18, "Switzerland", K2:K18, ""))</f>
        <v>1</v>
      </c>
      <c r="S11" s="1">
        <f>(COUNTIFS(F2:F18, "Slovakia", I2:I18, "") + COUNTIFS(F2:F18, "Slovakia", J2:J18, "") + COUNTIFS(F2:F18, "Slovakia", K2:K18, "")) + (COUNTIFS(G2:G18, "Slovakia", I2:I18, "") + COUNTIFS(G2:G18, "Slovakia", J2:J18, "") + COUNTIFS(G2:G18, "Slovakia", K2:K18, ""))</f>
        <v>0</v>
      </c>
      <c r="T11" s="1">
        <f>(COUNTIFS(F2:F18, "Sweden", I2:I18, "") + COUNTIFS(F2:F18, "Sweden", J2:J18, "") + COUNTIFS(F2:F18, "Sweden", K2:K18, "")) + (COUNTIFS(G2:G18, "Sweden", I2:I18, "") + COUNTIFS(G2:G18, "Sweden", J2:J18, "") + COUNTIFS(G2:G18, "Sweden", K2:K18, ""))</f>
        <v>1</v>
      </c>
      <c r="U11" s="1">
        <f>(COUNTIFS(F2:F18, "United States", I2:I18, "") + COUNTIFS(F2:F18, "United States", J2:J18, "") + COUNTIFS(F2:F18, "United States", K2:K18, "")) + (COUNTIFS(G2:G18, "United States", I2:I18, "") + COUNTIFS(G2:G18, "United States", J2:J18, "") + COUNTIFS(G2:G18, "United States", K2:K18, ""))</f>
        <v>2</v>
      </c>
      <c r="V11" s="1">
        <f>(COUNTIFS(F2:F18, "Finland", I2:I18, "") + COUNTIFS(F2:F18, "Finland", J2:J18, "") + COUNTIFS(F2:F18, "Finland", K2:K18, "")) + (COUNTIFS(G2:G18, "Finland", I2:I18, "") + COUNTIFS(G2:G18, "Finland", J2:J18, "") + COUNTIFS(G2:G18, "Finland", K2:K18, ""))</f>
        <v>1</v>
      </c>
      <c r="W11" s="1">
        <f>(COUNTIFS(F2:F18, "Latvia", I2:I18, "") + COUNTIFS(F2:F18, "Latvia", J2:J18, "") + COUNTIFS(F2:F18, "Latvia", K2:K18, "")) + (COUNTIFS(G2:G18, "Latvia", I2:I18, "") + COUNTIFS(G2:G18, "Latvia", J2:J18, "") + COUNTIFS(G2:G18, "Latvia", K2:K18, ""))</f>
        <v>1</v>
      </c>
      <c r="X11" s="13">
        <f>COUNTBLANK(I2:K18)</f>
        <v>9</v>
      </c>
      <c r="Y11" t="s">
        <v>47</v>
      </c>
    </row>
    <row r="12" spans="1:26" ht="15.95" customHeight="1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4" t="s">
        <v>3</v>
      </c>
      <c r="G12" s="4" t="s">
        <v>5</v>
      </c>
      <c r="H12" s="4"/>
      <c r="I12" s="4" t="s">
        <v>25</v>
      </c>
      <c r="J12" s="4" t="s">
        <v>26</v>
      </c>
      <c r="K12" s="4" t="s">
        <v>27</v>
      </c>
      <c r="L12" s="1"/>
      <c r="M12" s="1"/>
      <c r="O12" s="12" t="s">
        <v>46</v>
      </c>
      <c r="P12" s="11">
        <f t="shared" ref="P12:X12" si="0">SUM(P3:P11)</f>
        <v>12</v>
      </c>
      <c r="Q12" s="11">
        <f t="shared" si="0"/>
        <v>6</v>
      </c>
      <c r="R12" s="11">
        <f t="shared" si="0"/>
        <v>15</v>
      </c>
      <c r="S12" s="11">
        <f t="shared" si="0"/>
        <v>15</v>
      </c>
      <c r="T12" s="11">
        <f t="shared" si="0"/>
        <v>3</v>
      </c>
      <c r="U12" s="11">
        <f t="shared" si="0"/>
        <v>15</v>
      </c>
      <c r="V12" s="11">
        <f t="shared" si="0"/>
        <v>12</v>
      </c>
      <c r="W12" s="11">
        <f t="shared" si="0"/>
        <v>12</v>
      </c>
      <c r="X12" s="14">
        <f t="shared" si="0"/>
        <v>51</v>
      </c>
      <c r="Y12" t="s">
        <v>48</v>
      </c>
    </row>
    <row r="13" spans="1:26" ht="15.95" customHeight="1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4" t="s">
        <v>2</v>
      </c>
      <c r="G13" s="4" t="s">
        <v>4</v>
      </c>
      <c r="H13" s="4"/>
      <c r="I13" s="4" t="s">
        <v>25</v>
      </c>
      <c r="J13" s="4" t="s">
        <v>26</v>
      </c>
      <c r="K13" s="4" t="s">
        <v>27</v>
      </c>
      <c r="L13" s="1"/>
      <c r="M13" s="1"/>
      <c r="O13" s="12" t="s">
        <v>44</v>
      </c>
      <c r="P13" s="18">
        <f t="shared" ref="P13:W13" si="1">P10/P12</f>
        <v>0</v>
      </c>
      <c r="Q13" s="18">
        <f t="shared" si="1"/>
        <v>0</v>
      </c>
      <c r="R13" s="18">
        <f t="shared" si="1"/>
        <v>0</v>
      </c>
      <c r="S13" s="18">
        <f t="shared" si="1"/>
        <v>0.2</v>
      </c>
      <c r="T13" s="18">
        <f t="shared" si="1"/>
        <v>0.66666666666666663</v>
      </c>
      <c r="U13" s="18">
        <f t="shared" si="1"/>
        <v>0.53333333333333333</v>
      </c>
      <c r="V13" s="18">
        <f t="shared" si="1"/>
        <v>0.25</v>
      </c>
      <c r="W13" s="18">
        <f t="shared" si="1"/>
        <v>0</v>
      </c>
      <c r="X13" s="8"/>
    </row>
    <row r="14" spans="1:26" ht="15.95" customHeight="1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4" t="s">
        <v>5</v>
      </c>
      <c r="G14" s="4" t="s">
        <v>7</v>
      </c>
      <c r="H14" s="4"/>
      <c r="I14" s="4" t="s">
        <v>25</v>
      </c>
      <c r="J14" s="4" t="s">
        <v>26</v>
      </c>
      <c r="K14" s="4" t="s">
        <v>27</v>
      </c>
      <c r="L14" s="1"/>
      <c r="M14" s="1"/>
      <c r="O14" s="12" t="s">
        <v>45</v>
      </c>
      <c r="P14" s="18">
        <f t="shared" ref="P14:W14" si="2">(P12-P10) / P12</f>
        <v>1</v>
      </c>
      <c r="Q14" s="18">
        <f t="shared" si="2"/>
        <v>1</v>
      </c>
      <c r="R14" s="18">
        <f t="shared" si="2"/>
        <v>1</v>
      </c>
      <c r="S14" s="18">
        <f t="shared" si="2"/>
        <v>0.8</v>
      </c>
      <c r="T14" s="18">
        <f t="shared" si="2"/>
        <v>0.33333333333333331</v>
      </c>
      <c r="U14" s="18">
        <f t="shared" si="2"/>
        <v>0.46666666666666667</v>
      </c>
      <c r="V14" s="18">
        <f t="shared" si="2"/>
        <v>0.75</v>
      </c>
      <c r="W14" s="18">
        <f t="shared" si="2"/>
        <v>1</v>
      </c>
      <c r="X14" s="8"/>
      <c r="Y14" t="s">
        <v>52</v>
      </c>
    </row>
    <row r="15" spans="1:26" ht="15.95" customHeight="1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4" t="s">
        <v>7</v>
      </c>
      <c r="G15" s="4" t="s">
        <v>2</v>
      </c>
      <c r="H15" s="4"/>
      <c r="I15" s="4" t="s">
        <v>25</v>
      </c>
      <c r="J15" s="4" t="s">
        <v>26</v>
      </c>
      <c r="K15" s="4" t="s">
        <v>27</v>
      </c>
      <c r="L15" s="1"/>
      <c r="M15" s="1"/>
      <c r="O15" s="8" t="s">
        <v>51</v>
      </c>
      <c r="P15" s="19">
        <f t="shared" ref="P15:W15" si="3">(P12-P11) / P12</f>
        <v>0.66666666666666663</v>
      </c>
      <c r="Q15" s="19">
        <f t="shared" si="3"/>
        <v>0.33333333333333331</v>
      </c>
      <c r="R15" s="19">
        <f t="shared" si="3"/>
        <v>0.93333333333333335</v>
      </c>
      <c r="S15" s="19">
        <f t="shared" si="3"/>
        <v>1</v>
      </c>
      <c r="T15" s="19">
        <f t="shared" si="3"/>
        <v>0.66666666666666663</v>
      </c>
      <c r="U15" s="19">
        <f t="shared" si="3"/>
        <v>0.8666666666666667</v>
      </c>
      <c r="V15" s="19">
        <f t="shared" si="3"/>
        <v>0.91666666666666663</v>
      </c>
      <c r="W15" s="19">
        <f t="shared" si="3"/>
        <v>0.91666666666666663</v>
      </c>
      <c r="X15" s="8"/>
      <c r="Y15" t="s">
        <v>53</v>
      </c>
    </row>
    <row r="16" spans="1:26" ht="15.95" customHeight="1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4" t="s">
        <v>3</v>
      </c>
      <c r="G16" s="4" t="s">
        <v>4</v>
      </c>
      <c r="H16" s="4"/>
      <c r="I16" s="4" t="s">
        <v>34</v>
      </c>
      <c r="J16" s="4" t="s">
        <v>34</v>
      </c>
      <c r="K16" s="4" t="s">
        <v>34</v>
      </c>
      <c r="L16" s="1"/>
      <c r="M16" s="1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1" ht="15.95" customHeight="1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4"/>
      <c r="G17" s="4"/>
      <c r="H17" s="4"/>
      <c r="I17" s="4" t="s">
        <v>25</v>
      </c>
      <c r="J17" s="4" t="s">
        <v>29</v>
      </c>
      <c r="K17" s="4"/>
      <c r="L17" s="1"/>
      <c r="M17" s="1"/>
    </row>
    <row r="18" spans="1:21" ht="15.95" customHeight="1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4"/>
      <c r="G18" s="4"/>
      <c r="H18" s="4"/>
      <c r="I18" s="4" t="s">
        <v>25</v>
      </c>
      <c r="J18" s="4" t="s">
        <v>29</v>
      </c>
      <c r="K18" s="4"/>
      <c r="L18" s="1"/>
      <c r="M18" s="1">
        <f>COUNTA(I2:K18) + COUNTBLANK(I2:K18)</f>
        <v>51</v>
      </c>
    </row>
    <row r="19" spans="1:21" ht="15.95" customHeight="1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>COUNTA(I2:K18)</f>
        <v>42</v>
      </c>
      <c r="M19" s="1">
        <f>Table1[[#Totals],[4]]/M18</f>
        <v>0.82352941176470584</v>
      </c>
    </row>
    <row r="20" spans="1:21" ht="15.95" customHeight="1" thickTop="1" thickBot="1">
      <c r="O20" s="2" t="s">
        <v>35</v>
      </c>
      <c r="P20" s="2" t="s">
        <v>36</v>
      </c>
      <c r="Q20" s="2" t="s">
        <v>37</v>
      </c>
      <c r="R20" s="2" t="s">
        <v>38</v>
      </c>
    </row>
    <row r="21" spans="1:21" ht="15.95" customHeight="1" thickTop="1" thickBot="1">
      <c r="O21" s="3">
        <v>2002</v>
      </c>
      <c r="P21" s="3">
        <f>O21/M18</f>
        <v>39.254901960784316</v>
      </c>
      <c r="Q21" s="3">
        <f>O21/Table1[[#Totals],[4]]</f>
        <v>47.666666666666664</v>
      </c>
      <c r="R21" s="3">
        <f>O21*Table1[[#Totals],[5]]</f>
        <v>1648.705882352941</v>
      </c>
    </row>
    <row r="22" spans="1:21" ht="15.95" customHeight="1" thickTop="1" thickBot="1">
      <c r="O22" s="3">
        <f>O21-S24</f>
        <v>1682</v>
      </c>
      <c r="P22" s="3">
        <f>O22/M18</f>
        <v>32.980392156862742</v>
      </c>
      <c r="Q22" s="3">
        <f>O22/Table1[[#Totals],[4]]</f>
        <v>40.047619047619051</v>
      </c>
      <c r="R22" s="3">
        <f>O22*Table1[[#Totals],[5]]</f>
        <v>1385.1764705882351</v>
      </c>
    </row>
    <row r="23" spans="1:21" ht="15.95" customHeight="1" thickTop="1" thickBot="1">
      <c r="S23" s="2" t="s">
        <v>54</v>
      </c>
      <c r="T23" s="2" t="s">
        <v>55</v>
      </c>
      <c r="U23" s="2" t="s">
        <v>56</v>
      </c>
    </row>
    <row r="24" spans="1:21" ht="15.95" customHeight="1" thickTop="1" thickBot="1">
      <c r="S24" s="3">
        <f>COUNTIF(I2:K18, "SOLD") *T24</f>
        <v>320</v>
      </c>
      <c r="T24" s="3">
        <v>40</v>
      </c>
      <c r="U24" s="3">
        <f>O21-S24</f>
        <v>1682</v>
      </c>
    </row>
    <row r="25" spans="1:21" ht="15.95" customHeight="1" thickTop="1"/>
  </sheetData>
  <phoneticPr fontId="1" type="noConversion"/>
  <conditionalFormatting sqref="F1:H1048576 P1:W1">
    <cfRule type="cellIs" dxfId="34" priority="66" operator="equal">
      <formula>"Finland"</formula>
    </cfRule>
    <cfRule type="cellIs" dxfId="33" priority="67" operator="equal">
      <formula>"Slovakia"</formula>
    </cfRule>
    <cfRule type="cellIs" dxfId="32" priority="68" operator="equal">
      <formula>"Latvia"</formula>
    </cfRule>
    <cfRule type="cellIs" dxfId="31" priority="69" operator="equal">
      <formula>"Sweden"</formula>
    </cfRule>
    <cfRule type="cellIs" dxfId="30" priority="70" operator="equal">
      <formula>"United States"</formula>
    </cfRule>
    <cfRule type="cellIs" dxfId="29" priority="71" operator="equal">
      <formula>"Switzerland"</formula>
    </cfRule>
    <cfRule type="cellIs" dxfId="28" priority="72" operator="equal">
      <formula>"Canada"</formula>
    </cfRule>
  </conditionalFormatting>
  <conditionalFormatting sqref="F2:H18 P1:W1">
    <cfRule type="cellIs" dxfId="27" priority="65" operator="equal">
      <formula>"USports"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2022-12-22T17:21:42Z</dcterms:modified>
</cp:coreProperties>
</file>